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C3FFB4A1-4052-42AF-B2C0-74775A2516D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JUNI 2025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Qty cons analysis" sheetId="33" state="hidden" r:id="rId9"/>
    <sheet name="Utility" sheetId="32" state="hidden" r:id="rId10"/>
    <sheet name="Prod" sheetId="31" state="hidden" r:id="rId11"/>
    <sheet name="OIP Refinery " sheetId="36" r:id="rId12"/>
    <sheet name="Oip Fract ." sheetId="37" r:id="rId13"/>
    <sheet name="2025" sheetId="16" r:id="rId14"/>
    <sheet name="Downtime Juni" sheetId="41" state="hidden" r:id="rId15"/>
    <sheet name="Downtime Ref Juni" sheetId="34" state="hidden" r:id="rId16"/>
    <sheet name="Downtime Fract Juni 25" sheetId="35" state="hidden" r:id="rId17"/>
    <sheet name="Steam" sheetId="26" state="hidden" r:id="rId18"/>
    <sheet name="WWTP" sheetId="27" state="hidden" r:id="rId19"/>
    <sheet name="WTP" sheetId="28" state="hidden" r:id="rId20"/>
    <sheet name="lab" sheetId="29" state="hidden" r:id="rId21"/>
    <sheet name="genset" sheetId="30" state="hidden" r:id="rId22"/>
    <sheet name="AMOR" sheetId="24" state="hidden" r:id="rId23"/>
    <sheet name="DEP" sheetId="23" state="hidden" r:id="rId24"/>
    <sheet name="MTC" sheetId="20" state="hidden" r:id="rId25"/>
    <sheet name="LOG" sheetId="21" state="hidden" r:id="rId26"/>
    <sheet name="OH" sheetId="22" state="hidden" r:id="rId27"/>
    <sheet name="Time Sheet Bulanan" sheetId="25" state="hidden" r:id="rId28"/>
    <sheet name="Flow Meter" sheetId="8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'JUNI 2025'!$A$4:$VUA$4</definedName>
    <definedName name="_xlnm.Print_Area" localSheetId="16">'Downtime Fract Juni 25'!$C$1:$H$69</definedName>
    <definedName name="_xlnm.Print_Area" localSheetId="15">'Downtime Ref Juni'!$D$1:$J$70</definedName>
    <definedName name="_xlnm.Print_Area" localSheetId="0">'JUNI 2025'!$C$1:$AL$282</definedName>
    <definedName name="_xlnm.Print_Area" localSheetId="2">'Peformance Test REFINERY 1'!#REF!</definedName>
    <definedName name="_xlnm.Print_Area" localSheetId="10">Prod!$B$2:$H$85</definedName>
    <definedName name="_xlnm.Print_Area" localSheetId="8">'Qty cons analysis'!$D$2:$I$53</definedName>
    <definedName name="_xlnm.Print_Area" localSheetId="9">Utility!$D$1:$L$57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72" i="6" l="1"/>
  <c r="AL271" i="6"/>
  <c r="J227" i="16"/>
  <c r="I227" i="16"/>
  <c r="J226" i="16"/>
  <c r="I226" i="16"/>
  <c r="J225" i="16"/>
  <c r="I225" i="16"/>
  <c r="J224" i="16"/>
  <c r="I224" i="16"/>
  <c r="J223" i="16"/>
  <c r="I223" i="16"/>
  <c r="J215" i="16"/>
  <c r="J222" i="16" s="1"/>
  <c r="I215" i="16"/>
  <c r="I222" i="16" s="1"/>
  <c r="J211" i="16"/>
  <c r="J218" i="16" s="1"/>
  <c r="I211" i="16"/>
  <c r="I218" i="16" s="1"/>
  <c r="J207" i="16"/>
  <c r="I207" i="16"/>
  <c r="J203" i="16"/>
  <c r="J219" i="16" s="1"/>
  <c r="I203" i="16"/>
  <c r="I219" i="16" s="1"/>
  <c r="J202" i="16"/>
  <c r="J208" i="16" s="1"/>
  <c r="I202" i="16"/>
  <c r="I208" i="16" s="1"/>
  <c r="J198" i="16"/>
  <c r="I198" i="16"/>
  <c r="J197" i="16"/>
  <c r="J199" i="16" s="1"/>
  <c r="I197" i="16"/>
  <c r="I199" i="16" s="1"/>
  <c r="J196" i="16"/>
  <c r="I196" i="16"/>
  <c r="J175" i="16"/>
  <c r="I175" i="16"/>
  <c r="J173" i="16"/>
  <c r="J194" i="16" s="1"/>
  <c r="I173" i="16"/>
  <c r="I194" i="16" s="1"/>
  <c r="J171" i="16"/>
  <c r="J192" i="16" s="1"/>
  <c r="I171" i="16"/>
  <c r="I192" i="16" s="1"/>
  <c r="J169" i="16"/>
  <c r="J190" i="16" s="1"/>
  <c r="I169" i="16"/>
  <c r="I190" i="16" s="1"/>
  <c r="J168" i="16"/>
  <c r="J172" i="16" s="1"/>
  <c r="J193" i="16" s="1"/>
  <c r="I168" i="16"/>
  <c r="I172" i="16" s="1"/>
  <c r="I193" i="16" s="1"/>
  <c r="J167" i="16"/>
  <c r="J188" i="16" s="1"/>
  <c r="I167" i="16"/>
  <c r="I188" i="16" s="1"/>
  <c r="J166" i="16"/>
  <c r="I166" i="16"/>
  <c r="J163" i="16"/>
  <c r="I163" i="16"/>
  <c r="J162" i="16"/>
  <c r="J174" i="16" s="1"/>
  <c r="I162" i="16"/>
  <c r="I174" i="16" s="1"/>
  <c r="J150" i="16"/>
  <c r="J157" i="16" s="1"/>
  <c r="I150" i="16"/>
  <c r="J149" i="16"/>
  <c r="J156" i="16" s="1"/>
  <c r="I149" i="16"/>
  <c r="I156" i="16" s="1"/>
  <c r="J146" i="16"/>
  <c r="I146" i="16"/>
  <c r="I144" i="16"/>
  <c r="J141" i="16"/>
  <c r="J144" i="16" s="1"/>
  <c r="I141" i="16"/>
  <c r="J140" i="16"/>
  <c r="J143" i="16" s="1"/>
  <c r="I140" i="16"/>
  <c r="I143" i="16" s="1"/>
  <c r="J137" i="16"/>
  <c r="I137" i="16"/>
  <c r="J136" i="16"/>
  <c r="J145" i="16" s="1"/>
  <c r="I136" i="16"/>
  <c r="I145" i="16" s="1"/>
  <c r="J135" i="16"/>
  <c r="I135" i="16"/>
  <c r="I130" i="16"/>
  <c r="J123" i="16"/>
  <c r="J130" i="16" s="1"/>
  <c r="I123" i="16"/>
  <c r="I126" i="16" s="1"/>
  <c r="I133" i="16" s="1"/>
  <c r="J122" i="16"/>
  <c r="J129" i="16" s="1"/>
  <c r="I122" i="16"/>
  <c r="I129" i="16" s="1"/>
  <c r="J119" i="16"/>
  <c r="I119" i="16"/>
  <c r="I117" i="16"/>
  <c r="J114" i="16"/>
  <c r="J117" i="16" s="1"/>
  <c r="I114" i="16"/>
  <c r="J113" i="16"/>
  <c r="J116" i="16" s="1"/>
  <c r="I113" i="16"/>
  <c r="I116" i="16" s="1"/>
  <c r="J109" i="16"/>
  <c r="I109" i="16"/>
  <c r="J108" i="16"/>
  <c r="J118" i="16" s="1"/>
  <c r="I108" i="16"/>
  <c r="I118" i="16" s="1"/>
  <c r="J96" i="16"/>
  <c r="J103" i="16" s="1"/>
  <c r="I96" i="16"/>
  <c r="I103" i="16" s="1"/>
  <c r="J95" i="16"/>
  <c r="J102" i="16" s="1"/>
  <c r="I95" i="16"/>
  <c r="I98" i="16" s="1"/>
  <c r="J87" i="16"/>
  <c r="J90" i="16" s="1"/>
  <c r="I87" i="16"/>
  <c r="I90" i="16" s="1"/>
  <c r="J86" i="16"/>
  <c r="J92" i="16" s="1"/>
  <c r="I86" i="16"/>
  <c r="J84" i="16"/>
  <c r="I84" i="16"/>
  <c r="J81" i="16"/>
  <c r="J91" i="16" s="1"/>
  <c r="I81" i="16"/>
  <c r="I91" i="16" s="1"/>
  <c r="J80" i="16"/>
  <c r="I80" i="16"/>
  <c r="J54" i="16"/>
  <c r="I54" i="16"/>
  <c r="J23" i="16"/>
  <c r="I23" i="16"/>
  <c r="T10" i="16"/>
  <c r="AL285" i="6"/>
  <c r="AL284" i="6"/>
  <c r="AI282" i="6"/>
  <c r="K282" i="6"/>
  <c r="E282" i="6"/>
  <c r="AL281" i="6"/>
  <c r="AI280" i="6"/>
  <c r="E280" i="6"/>
  <c r="W279" i="6"/>
  <c r="V279" i="6"/>
  <c r="U279" i="6"/>
  <c r="U287" i="6" s="1"/>
  <c r="T279" i="6"/>
  <c r="S279" i="6"/>
  <c r="R279" i="6"/>
  <c r="Q279" i="6"/>
  <c r="Q287" i="6" s="1"/>
  <c r="P279" i="6"/>
  <c r="O279" i="6"/>
  <c r="AL279" i="6" s="1"/>
  <c r="N279" i="6"/>
  <c r="AJ277" i="6"/>
  <c r="AI277" i="6"/>
  <c r="AH277" i="6"/>
  <c r="AG277" i="6"/>
  <c r="AF277" i="6"/>
  <c r="AE277" i="6"/>
  <c r="AD277" i="6"/>
  <c r="AC277" i="6"/>
  <c r="AB277" i="6"/>
  <c r="AA277" i="6"/>
  <c r="Z277" i="6"/>
  <c r="Y277" i="6"/>
  <c r="W277" i="6"/>
  <c r="V277" i="6"/>
  <c r="U277" i="6"/>
  <c r="T277" i="6"/>
  <c r="S277" i="6"/>
  <c r="R277" i="6"/>
  <c r="Q277" i="6"/>
  <c r="P277" i="6"/>
  <c r="O277" i="6"/>
  <c r="N277" i="6"/>
  <c r="M277" i="6"/>
  <c r="I277" i="6"/>
  <c r="E277" i="6"/>
  <c r="AN276" i="6"/>
  <c r="AL276" i="6"/>
  <c r="AJ275" i="6"/>
  <c r="AI275" i="6"/>
  <c r="AH275" i="6"/>
  <c r="AG275" i="6"/>
  <c r="AF275" i="6"/>
  <c r="AE275" i="6"/>
  <c r="AD275" i="6"/>
  <c r="AC275" i="6"/>
  <c r="AB275" i="6"/>
  <c r="AA275" i="6"/>
  <c r="Z275" i="6"/>
  <c r="Y275" i="6"/>
  <c r="W275" i="6"/>
  <c r="V275" i="6"/>
  <c r="U275" i="6"/>
  <c r="T275" i="6"/>
  <c r="S275" i="6"/>
  <c r="R275" i="6"/>
  <c r="Q275" i="6"/>
  <c r="P275" i="6"/>
  <c r="O275" i="6"/>
  <c r="N275" i="6"/>
  <c r="I275" i="6"/>
  <c r="E275" i="6"/>
  <c r="AL274" i="6"/>
  <c r="AJ272" i="6"/>
  <c r="AH272" i="6"/>
  <c r="AG272" i="6"/>
  <c r="AF272" i="6"/>
  <c r="AE272" i="6"/>
  <c r="AD272" i="6"/>
  <c r="AB272" i="6"/>
  <c r="AA272" i="6"/>
  <c r="Z272" i="6"/>
  <c r="Y272" i="6"/>
  <c r="V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AL267" i="6"/>
  <c r="AJ266" i="6"/>
  <c r="AH266" i="6"/>
  <c r="AG266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J266" i="6"/>
  <c r="I266" i="6"/>
  <c r="H266" i="6"/>
  <c r="G266" i="6"/>
  <c r="AL266" i="6" s="1"/>
  <c r="AL265" i="6"/>
  <c r="AL260" i="6" s="1"/>
  <c r="AI264" i="6"/>
  <c r="M264" i="6"/>
  <c r="L264" i="6"/>
  <c r="K264" i="6"/>
  <c r="J264" i="6"/>
  <c r="I264" i="6"/>
  <c r="H264" i="6"/>
  <c r="G264" i="6"/>
  <c r="E264" i="6"/>
  <c r="AL263" i="6"/>
  <c r="AJ262" i="6"/>
  <c r="AI262" i="6"/>
  <c r="AH262" i="6"/>
  <c r="AG262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M262" i="6"/>
  <c r="I262" i="6"/>
  <c r="E262" i="6"/>
  <c r="AL261" i="6"/>
  <c r="AL259" i="6"/>
  <c r="AG257" i="6"/>
  <c r="AF257" i="6"/>
  <c r="AB257" i="6"/>
  <c r="AA257" i="6"/>
  <c r="X257" i="6"/>
  <c r="W257" i="6"/>
  <c r="T257" i="6"/>
  <c r="S257" i="6"/>
  <c r="P257" i="6"/>
  <c r="O257" i="6"/>
  <c r="M257" i="6"/>
  <c r="L257" i="6"/>
  <c r="K257" i="6"/>
  <c r="J257" i="6"/>
  <c r="I257" i="6"/>
  <c r="H257" i="6"/>
  <c r="G257" i="6"/>
  <c r="AJ255" i="6"/>
  <c r="AJ257" i="6" s="1"/>
  <c r="AH255" i="6"/>
  <c r="AH257" i="6" s="1"/>
  <c r="AG255" i="6"/>
  <c r="AF255" i="6"/>
  <c r="AE255" i="6"/>
  <c r="AE257" i="6" s="1"/>
  <c r="AD255" i="6"/>
  <c r="AD257" i="6" s="1"/>
  <c r="AB255" i="6"/>
  <c r="AA255" i="6"/>
  <c r="Z255" i="6"/>
  <c r="Z257" i="6" s="1"/>
  <c r="Y255" i="6"/>
  <c r="Y257" i="6" s="1"/>
  <c r="X255" i="6"/>
  <c r="W255" i="6"/>
  <c r="V255" i="6"/>
  <c r="V257" i="6" s="1"/>
  <c r="U255" i="6"/>
  <c r="U257" i="6" s="1"/>
  <c r="T255" i="6"/>
  <c r="S255" i="6"/>
  <c r="R255" i="6"/>
  <c r="R257" i="6" s="1"/>
  <c r="Q255" i="6"/>
  <c r="Q257" i="6" s="1"/>
  <c r="P255" i="6"/>
  <c r="O255" i="6"/>
  <c r="N255" i="6"/>
  <c r="N257" i="6" s="1"/>
  <c r="H255" i="6"/>
  <c r="G255" i="6"/>
  <c r="AL255" i="6" s="1"/>
  <c r="AJ254" i="6"/>
  <c r="AI254" i="6"/>
  <c r="AH254" i="6"/>
  <c r="AG254" i="6"/>
  <c r="O254" i="6"/>
  <c r="N254" i="6"/>
  <c r="M254" i="6"/>
  <c r="L254" i="6"/>
  <c r="K254" i="6"/>
  <c r="J254" i="6"/>
  <c r="I254" i="6"/>
  <c r="H254" i="6"/>
  <c r="G254" i="6"/>
  <c r="E254" i="6"/>
  <c r="AL253" i="6"/>
  <c r="AJ252" i="6"/>
  <c r="AI252" i="6"/>
  <c r="AH252" i="6"/>
  <c r="AG252" i="6"/>
  <c r="AF252" i="6"/>
  <c r="AE252" i="6"/>
  <c r="AD252" i="6"/>
  <c r="AC252" i="6"/>
  <c r="AB252" i="6"/>
  <c r="AA252" i="6"/>
  <c r="Z252" i="6"/>
  <c r="Y252" i="6"/>
  <c r="W252" i="6"/>
  <c r="V252" i="6"/>
  <c r="U252" i="6"/>
  <c r="T252" i="6"/>
  <c r="S252" i="6"/>
  <c r="R252" i="6"/>
  <c r="Q252" i="6"/>
  <c r="P252" i="6"/>
  <c r="O252" i="6"/>
  <c r="N252" i="6"/>
  <c r="M252" i="6"/>
  <c r="I252" i="6"/>
  <c r="E252" i="6"/>
  <c r="AL251" i="6"/>
  <c r="AL249" i="6"/>
  <c r="AI247" i="6"/>
  <c r="AH247" i="6"/>
  <c r="AE247" i="6"/>
  <c r="AD247" i="6"/>
  <c r="AA247" i="6"/>
  <c r="Z247" i="6"/>
  <c r="W247" i="6"/>
  <c r="V247" i="6"/>
  <c r="S247" i="6"/>
  <c r="R247" i="6"/>
  <c r="O247" i="6"/>
  <c r="N247" i="6"/>
  <c r="K247" i="6"/>
  <c r="J247" i="6"/>
  <c r="G247" i="6"/>
  <c r="AJ246" i="6"/>
  <c r="AJ247" i="6" s="1"/>
  <c r="AH246" i="6"/>
  <c r="AG246" i="6"/>
  <c r="AG247" i="6" s="1"/>
  <c r="AF246" i="6"/>
  <c r="AF247" i="6" s="1"/>
  <c r="AE246" i="6"/>
  <c r="AD246" i="6"/>
  <c r="AC246" i="6"/>
  <c r="AC247" i="6" s="1"/>
  <c r="AB246" i="6"/>
  <c r="AB247" i="6" s="1"/>
  <c r="AA246" i="6"/>
  <c r="Z246" i="6"/>
  <c r="Y246" i="6"/>
  <c r="Y247" i="6" s="1"/>
  <c r="X246" i="6"/>
  <c r="X247" i="6" s="1"/>
  <c r="W246" i="6"/>
  <c r="V246" i="6"/>
  <c r="U246" i="6"/>
  <c r="U247" i="6" s="1"/>
  <c r="T246" i="6"/>
  <c r="T247" i="6" s="1"/>
  <c r="S246" i="6"/>
  <c r="R246" i="6"/>
  <c r="Q246" i="6"/>
  <c r="Q247" i="6" s="1"/>
  <c r="P246" i="6"/>
  <c r="P247" i="6" s="1"/>
  <c r="O246" i="6"/>
  <c r="N246" i="6"/>
  <c r="M246" i="6"/>
  <c r="M247" i="6" s="1"/>
  <c r="L246" i="6"/>
  <c r="L247" i="6" s="1"/>
  <c r="K246" i="6"/>
  <c r="J246" i="6"/>
  <c r="I246" i="6"/>
  <c r="I247" i="6" s="1"/>
  <c r="H246" i="6"/>
  <c r="H247" i="6" s="1"/>
  <c r="G246" i="6"/>
  <c r="AJ245" i="6"/>
  <c r="AI245" i="6"/>
  <c r="AH245" i="6"/>
  <c r="AG245" i="6"/>
  <c r="AF245" i="6"/>
  <c r="AE245" i="6"/>
  <c r="AD245" i="6"/>
  <c r="AC245" i="6"/>
  <c r="AB245" i="6"/>
  <c r="AA245" i="6"/>
  <c r="Z245" i="6"/>
  <c r="Y245" i="6"/>
  <c r="W245" i="6"/>
  <c r="V245" i="6"/>
  <c r="U245" i="6"/>
  <c r="T245" i="6"/>
  <c r="S245" i="6"/>
  <c r="R245" i="6"/>
  <c r="Q245" i="6"/>
  <c r="P245" i="6"/>
  <c r="O245" i="6"/>
  <c r="N245" i="6"/>
  <c r="M245" i="6"/>
  <c r="I245" i="6"/>
  <c r="AL244" i="6"/>
  <c r="AL243" i="6"/>
  <c r="Q243" i="6"/>
  <c r="E243" i="6"/>
  <c r="AL241" i="6"/>
  <c r="AL239" i="6"/>
  <c r="AJ88" i="6"/>
  <c r="AF88" i="6"/>
  <c r="AE88" i="6"/>
  <c r="AD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AL87" i="6"/>
  <c r="AG86" i="6"/>
  <c r="AC86" i="6"/>
  <c r="Y86" i="6"/>
  <c r="U86" i="6"/>
  <c r="Q86" i="6"/>
  <c r="M86" i="6"/>
  <c r="I86" i="6"/>
  <c r="AJ85" i="6"/>
  <c r="AJ86" i="6" s="1"/>
  <c r="AI85" i="6"/>
  <c r="AI86" i="6" s="1"/>
  <c r="AH85" i="6"/>
  <c r="AH86" i="6" s="1"/>
  <c r="AG85" i="6"/>
  <c r="AF85" i="6"/>
  <c r="AF86" i="6" s="1"/>
  <c r="AE85" i="6"/>
  <c r="AE86" i="6" s="1"/>
  <c r="AD85" i="6"/>
  <c r="AD86" i="6" s="1"/>
  <c r="AC85" i="6"/>
  <c r="AB85" i="6"/>
  <c r="AB86" i="6" s="1"/>
  <c r="AA85" i="6"/>
  <c r="AA86" i="6" s="1"/>
  <c r="Z85" i="6"/>
  <c r="Z86" i="6" s="1"/>
  <c r="Y85" i="6"/>
  <c r="X85" i="6"/>
  <c r="X86" i="6" s="1"/>
  <c r="W85" i="6"/>
  <c r="W86" i="6" s="1"/>
  <c r="V85" i="6"/>
  <c r="V86" i="6" s="1"/>
  <c r="U85" i="6"/>
  <c r="T85" i="6"/>
  <c r="T86" i="6" s="1"/>
  <c r="S85" i="6"/>
  <c r="S86" i="6" s="1"/>
  <c r="R85" i="6"/>
  <c r="R86" i="6" s="1"/>
  <c r="Q85" i="6"/>
  <c r="P85" i="6"/>
  <c r="P86" i="6" s="1"/>
  <c r="M85" i="6"/>
  <c r="I85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I84" i="6"/>
  <c r="AL83" i="6"/>
  <c r="AI82" i="6"/>
  <c r="Q82" i="6"/>
  <c r="AL81" i="6"/>
  <c r="AL79" i="6"/>
  <c r="AL77" i="6"/>
  <c r="AI76" i="6"/>
  <c r="AC76" i="6"/>
  <c r="X76" i="6"/>
  <c r="K76" i="6"/>
  <c r="AL75" i="6"/>
  <c r="AV74" i="6"/>
  <c r="AI73" i="6"/>
  <c r="X73" i="6"/>
  <c r="R73" i="6"/>
  <c r="L73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J71" i="6"/>
  <c r="I71" i="6"/>
  <c r="H71" i="6"/>
  <c r="G71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J70" i="6"/>
  <c r="I70" i="6"/>
  <c r="H70" i="6"/>
  <c r="G70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I69" i="6"/>
  <c r="H69" i="6"/>
  <c r="G69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I68" i="6"/>
  <c r="H68" i="6"/>
  <c r="G68" i="6"/>
  <c r="AI67" i="6"/>
  <c r="AC67" i="6"/>
  <c r="Z67" i="6"/>
  <c r="Y67" i="6"/>
  <c r="X67" i="6"/>
  <c r="S67" i="6"/>
  <c r="AI66" i="6"/>
  <c r="AC66" i="6"/>
  <c r="Z66" i="6"/>
  <c r="Y66" i="6"/>
  <c r="X66" i="6"/>
  <c r="S66" i="6"/>
  <c r="AI65" i="6"/>
  <c r="AC65" i="6"/>
  <c r="Z65" i="6"/>
  <c r="Y65" i="6"/>
  <c r="X65" i="6"/>
  <c r="S65" i="6"/>
  <c r="AI64" i="6"/>
  <c r="AC64" i="6"/>
  <c r="Z64" i="6"/>
  <c r="Y64" i="6"/>
  <c r="X64" i="6"/>
  <c r="S64" i="6"/>
  <c r="AI63" i="6"/>
  <c r="AC63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Q62" i="6"/>
  <c r="P62" i="6"/>
  <c r="O62" i="6"/>
  <c r="N62" i="6"/>
  <c r="M62" i="6"/>
  <c r="L62" i="6"/>
  <c r="J62" i="6"/>
  <c r="I62" i="6"/>
  <c r="H62" i="6"/>
  <c r="G62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W61" i="6"/>
  <c r="V61" i="6"/>
  <c r="U61" i="6"/>
  <c r="T61" i="6"/>
  <c r="S61" i="6"/>
  <c r="R61" i="6"/>
  <c r="Q61" i="6"/>
  <c r="P61" i="6"/>
  <c r="O61" i="6"/>
  <c r="N61" i="6"/>
  <c r="M61" i="6"/>
  <c r="I61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W60" i="6"/>
  <c r="V60" i="6"/>
  <c r="U60" i="6"/>
  <c r="T60" i="6"/>
  <c r="S60" i="6"/>
  <c r="R60" i="6"/>
  <c r="Q60" i="6"/>
  <c r="P60" i="6"/>
  <c r="M60" i="6"/>
  <c r="I60" i="6"/>
  <c r="AL58" i="6"/>
  <c r="AL57" i="6"/>
  <c r="AL56" i="6"/>
  <c r="AJ55" i="6"/>
  <c r="AJ73" i="6" s="1"/>
  <c r="AH55" i="6"/>
  <c r="AH73" i="6" s="1"/>
  <c r="AG55" i="6"/>
  <c r="AG73" i="6" s="1"/>
  <c r="AF55" i="6"/>
  <c r="AF73" i="6" s="1"/>
  <c r="AE55" i="6"/>
  <c r="AE73" i="6" s="1"/>
  <c r="AD55" i="6"/>
  <c r="AD73" i="6" s="1"/>
  <c r="AC55" i="6"/>
  <c r="AC73" i="6" s="1"/>
  <c r="AB55" i="6"/>
  <c r="AB73" i="6" s="1"/>
  <c r="AA55" i="6"/>
  <c r="AA73" i="6" s="1"/>
  <c r="Z55" i="6"/>
  <c r="Z73" i="6" s="1"/>
  <c r="Y55" i="6"/>
  <c r="Y73" i="6" s="1"/>
  <c r="W55" i="6"/>
  <c r="W73" i="6" s="1"/>
  <c r="V55" i="6"/>
  <c r="V73" i="6" s="1"/>
  <c r="U55" i="6"/>
  <c r="U73" i="6" s="1"/>
  <c r="T55" i="6"/>
  <c r="T73" i="6" s="1"/>
  <c r="S55" i="6"/>
  <c r="W303" i="6" s="1"/>
  <c r="X303" i="6" s="1"/>
  <c r="Q55" i="6"/>
  <c r="Q73" i="6" s="1"/>
  <c r="P55" i="6"/>
  <c r="P73" i="6" s="1"/>
  <c r="O55" i="6"/>
  <c r="O73" i="6" s="1"/>
  <c r="N55" i="6"/>
  <c r="N73" i="6" s="1"/>
  <c r="M55" i="6"/>
  <c r="M73" i="6" s="1"/>
  <c r="J55" i="6"/>
  <c r="J73" i="6" s="1"/>
  <c r="I55" i="6"/>
  <c r="I73" i="6" s="1"/>
  <c r="H55" i="6"/>
  <c r="H73" i="6" s="1"/>
  <c r="G55" i="6"/>
  <c r="G73" i="6" s="1"/>
  <c r="E55" i="6"/>
  <c r="AL54" i="6"/>
  <c r="AL52" i="6"/>
  <c r="AL71" i="6" s="1"/>
  <c r="AL51" i="6"/>
  <c r="AL70" i="6" s="1"/>
  <c r="AJ50" i="6"/>
  <c r="AH50" i="6"/>
  <c r="AG50" i="6"/>
  <c r="AF50" i="6"/>
  <c r="AE50" i="6"/>
  <c r="AD50" i="6"/>
  <c r="AB50" i="6"/>
  <c r="AA50" i="6"/>
  <c r="Z50" i="6"/>
  <c r="Y50" i="6"/>
  <c r="W50" i="6"/>
  <c r="V50" i="6"/>
  <c r="U50" i="6"/>
  <c r="T50" i="6"/>
  <c r="R50" i="6"/>
  <c r="Q50" i="6"/>
  <c r="P50" i="6"/>
  <c r="O50" i="6"/>
  <c r="N50" i="6"/>
  <c r="M50" i="6"/>
  <c r="L50" i="6"/>
  <c r="J50" i="6"/>
  <c r="I50" i="6"/>
  <c r="H50" i="6"/>
  <c r="G50" i="6"/>
  <c r="AL50" i="6" s="1"/>
  <c r="E50" i="6"/>
  <c r="AL49" i="6"/>
  <c r="O47" i="6"/>
  <c r="O69" i="6" s="1"/>
  <c r="N47" i="6"/>
  <c r="N69" i="6" s="1"/>
  <c r="O46" i="6"/>
  <c r="O68" i="6" s="1"/>
  <c r="N46" i="6"/>
  <c r="N68" i="6" s="1"/>
  <c r="M46" i="6"/>
  <c r="L46" i="6" s="1"/>
  <c r="AJ45" i="6"/>
  <c r="AH45" i="6"/>
  <c r="AG45" i="6"/>
  <c r="AF45" i="6"/>
  <c r="AE45" i="6"/>
  <c r="AD45" i="6"/>
  <c r="AC45" i="6"/>
  <c r="AB45" i="6"/>
  <c r="AB29" i="6" s="1"/>
  <c r="AA45" i="6"/>
  <c r="Z45" i="6"/>
  <c r="Y45" i="6"/>
  <c r="W45" i="6"/>
  <c r="V45" i="6"/>
  <c r="U45" i="6"/>
  <c r="T45" i="6"/>
  <c r="R45" i="6"/>
  <c r="Q45" i="6"/>
  <c r="O45" i="6"/>
  <c r="I45" i="6"/>
  <c r="H45" i="6"/>
  <c r="G45" i="6"/>
  <c r="AL43" i="6"/>
  <c r="AL67" i="6" s="1"/>
  <c r="AL42" i="6"/>
  <c r="AJ41" i="6"/>
  <c r="AJ66" i="6" s="1"/>
  <c r="AH41" i="6"/>
  <c r="AH67" i="6" s="1"/>
  <c r="AG41" i="6"/>
  <c r="AG67" i="6" s="1"/>
  <c r="AF41" i="6"/>
  <c r="AF66" i="6" s="1"/>
  <c r="AE41" i="6"/>
  <c r="AE66" i="6" s="1"/>
  <c r="AD41" i="6"/>
  <c r="AD67" i="6" s="1"/>
  <c r="AB41" i="6"/>
  <c r="AB66" i="6" s="1"/>
  <c r="AA41" i="6"/>
  <c r="AA66" i="6" s="1"/>
  <c r="W41" i="6"/>
  <c r="W66" i="6" s="1"/>
  <c r="V41" i="6"/>
  <c r="V67" i="6" s="1"/>
  <c r="U41" i="6"/>
  <c r="U67" i="6" s="1"/>
  <c r="T41" i="6"/>
  <c r="T66" i="6" s="1"/>
  <c r="R41" i="6"/>
  <c r="R67" i="6" s="1"/>
  <c r="Q41" i="6"/>
  <c r="Q67" i="6" s="1"/>
  <c r="P41" i="6"/>
  <c r="P66" i="6" s="1"/>
  <c r="O41" i="6"/>
  <c r="O66" i="6" s="1"/>
  <c r="N41" i="6"/>
  <c r="N67" i="6" s="1"/>
  <c r="M41" i="6"/>
  <c r="M67" i="6" s="1"/>
  <c r="L41" i="6"/>
  <c r="L66" i="6" s="1"/>
  <c r="J41" i="6"/>
  <c r="AL41" i="6" s="1"/>
  <c r="I41" i="6"/>
  <c r="I67" i="6" s="1"/>
  <c r="H41" i="6"/>
  <c r="H67" i="6" s="1"/>
  <c r="G41" i="6"/>
  <c r="G66" i="6" s="1"/>
  <c r="AL40" i="6"/>
  <c r="AL38" i="6"/>
  <c r="AL37" i="6"/>
  <c r="AJ36" i="6"/>
  <c r="AJ64" i="6" s="1"/>
  <c r="AH36" i="6"/>
  <c r="AH65" i="6" s="1"/>
  <c r="AG36" i="6"/>
  <c r="AG65" i="6" s="1"/>
  <c r="AF36" i="6"/>
  <c r="AF64" i="6" s="1"/>
  <c r="AE36" i="6"/>
  <c r="AE64" i="6" s="1"/>
  <c r="AD36" i="6"/>
  <c r="AD65" i="6" s="1"/>
  <c r="AB36" i="6"/>
  <c r="AB64" i="6" s="1"/>
  <c r="AA36" i="6"/>
  <c r="AA64" i="6" s="1"/>
  <c r="W36" i="6"/>
  <c r="W64" i="6" s="1"/>
  <c r="V36" i="6"/>
  <c r="V65" i="6" s="1"/>
  <c r="U36" i="6"/>
  <c r="U65" i="6" s="1"/>
  <c r="T36" i="6"/>
  <c r="T64" i="6" s="1"/>
  <c r="R36" i="6"/>
  <c r="R65" i="6" s="1"/>
  <c r="Q36" i="6"/>
  <c r="Q65" i="6" s="1"/>
  <c r="P36" i="6"/>
  <c r="P64" i="6" s="1"/>
  <c r="O36" i="6"/>
  <c r="O64" i="6" s="1"/>
  <c r="N36" i="6"/>
  <c r="N65" i="6" s="1"/>
  <c r="M36" i="6"/>
  <c r="M65" i="6" s="1"/>
  <c r="L36" i="6"/>
  <c r="L64" i="6" s="1"/>
  <c r="J36" i="6"/>
  <c r="J64" i="6" s="1"/>
  <c r="I36" i="6"/>
  <c r="I65" i="6" s="1"/>
  <c r="H36" i="6"/>
  <c r="H65" i="6" s="1"/>
  <c r="G36" i="6"/>
  <c r="G64" i="6" s="1"/>
  <c r="AO34" i="6"/>
  <c r="AL34" i="6"/>
  <c r="S34" i="6"/>
  <c r="S62" i="6" s="1"/>
  <c r="AO33" i="6"/>
  <c r="V33" i="6"/>
  <c r="V32" i="6" s="1"/>
  <c r="U33" i="6"/>
  <c r="U62" i="6" s="1"/>
  <c r="T33" i="6"/>
  <c r="T62" i="6" s="1"/>
  <c r="R33" i="6"/>
  <c r="R32" i="6" s="1"/>
  <c r="AJ32" i="6"/>
  <c r="AJ63" i="6" s="1"/>
  <c r="AH32" i="6"/>
  <c r="AH63" i="6" s="1"/>
  <c r="AG32" i="6"/>
  <c r="AG63" i="6" s="1"/>
  <c r="AF32" i="6"/>
  <c r="AF63" i="6" s="1"/>
  <c r="AE32" i="6"/>
  <c r="AE63" i="6" s="1"/>
  <c r="AD32" i="6"/>
  <c r="AD63" i="6" s="1"/>
  <c r="AB32" i="6"/>
  <c r="AB63" i="6" s="1"/>
  <c r="AA32" i="6"/>
  <c r="AA63" i="6" s="1"/>
  <c r="Z32" i="6"/>
  <c r="Z63" i="6" s="1"/>
  <c r="Y32" i="6"/>
  <c r="Y63" i="6" s="1"/>
  <c r="X32" i="6"/>
  <c r="X63" i="6" s="1"/>
  <c r="W32" i="6"/>
  <c r="W63" i="6" s="1"/>
  <c r="U32" i="6"/>
  <c r="U63" i="6" s="1"/>
  <c r="T32" i="6"/>
  <c r="T63" i="6" s="1"/>
  <c r="S32" i="6"/>
  <c r="S29" i="6" s="1"/>
  <c r="Q32" i="6"/>
  <c r="Q63" i="6" s="1"/>
  <c r="P32" i="6"/>
  <c r="P63" i="6" s="1"/>
  <c r="O32" i="6"/>
  <c r="O63" i="6" s="1"/>
  <c r="N32" i="6"/>
  <c r="N63" i="6" s="1"/>
  <c r="M32" i="6"/>
  <c r="M63" i="6" s="1"/>
  <c r="L32" i="6"/>
  <c r="L63" i="6" s="1"/>
  <c r="J32" i="6"/>
  <c r="I32" i="6"/>
  <c r="I63" i="6" s="1"/>
  <c r="H32" i="6"/>
  <c r="H63" i="6" s="1"/>
  <c r="G32" i="6"/>
  <c r="G63" i="6" s="1"/>
  <c r="J30" i="6"/>
  <c r="G30" i="6"/>
  <c r="AO29" i="6"/>
  <c r="AH29" i="6"/>
  <c r="AH30" i="6" s="1"/>
  <c r="AG29" i="6"/>
  <c r="AG30" i="6" s="1"/>
  <c r="AD29" i="6"/>
  <c r="AD30" i="6" s="1"/>
  <c r="AC29" i="6"/>
  <c r="Z29" i="6"/>
  <c r="Z30" i="6" s="1"/>
  <c r="Y29" i="6"/>
  <c r="Y30" i="6" s="1"/>
  <c r="X29" i="6"/>
  <c r="U29" i="6"/>
  <c r="Q29" i="6"/>
  <c r="P29" i="6"/>
  <c r="I29" i="6"/>
  <c r="I282" i="6" s="1"/>
  <c r="G29" i="6"/>
  <c r="G282" i="6" s="1"/>
  <c r="AI28" i="6"/>
  <c r="AG28" i="6"/>
  <c r="Y28" i="6"/>
  <c r="U28" i="6"/>
  <c r="Q28" i="6"/>
  <c r="P28" i="6"/>
  <c r="K28" i="6"/>
  <c r="X27" i="6"/>
  <c r="W27" i="6"/>
  <c r="V27" i="6"/>
  <c r="U27" i="6"/>
  <c r="T27" i="6"/>
  <c r="S27" i="6"/>
  <c r="R27" i="6"/>
  <c r="Q27" i="6"/>
  <c r="O27" i="6"/>
  <c r="N27" i="6"/>
  <c r="M27" i="6"/>
  <c r="AO26" i="6"/>
  <c r="W26" i="6"/>
  <c r="V26" i="6"/>
  <c r="U26" i="6"/>
  <c r="T26" i="6"/>
  <c r="S26" i="6"/>
  <c r="R26" i="6"/>
  <c r="Q26" i="6"/>
  <c r="O26" i="6"/>
  <c r="N26" i="6"/>
  <c r="M26" i="6"/>
  <c r="AO25" i="6"/>
  <c r="AF25" i="6"/>
  <c r="V25" i="6"/>
  <c r="U25" i="6"/>
  <c r="U30" i="6" s="1"/>
  <c r="T25" i="6"/>
  <c r="S25" i="6"/>
  <c r="R25" i="6"/>
  <c r="Q25" i="6"/>
  <c r="P25" i="6"/>
  <c r="AR24" i="6"/>
  <c r="AR25" i="6" s="1"/>
  <c r="AO24" i="6"/>
  <c r="AL23" i="6"/>
  <c r="AU22" i="6"/>
  <c r="AR22" i="6"/>
  <c r="AU21" i="6"/>
  <c r="AS21" i="6"/>
  <c r="AL21" i="6"/>
  <c r="AS20" i="6"/>
  <c r="O20" i="6"/>
  <c r="N20" i="6"/>
  <c r="AL19" i="6"/>
  <c r="AL18" i="6"/>
  <c r="N18" i="6"/>
  <c r="AO15" i="6"/>
  <c r="V14" i="6"/>
  <c r="Q14" i="6"/>
  <c r="V13" i="6"/>
  <c r="Q13" i="6"/>
  <c r="AJ12" i="6"/>
  <c r="AJ82" i="6" s="1"/>
  <c r="AH12" i="6"/>
  <c r="AH82" i="6" s="1"/>
  <c r="AG12" i="6"/>
  <c r="AG82" i="6" s="1"/>
  <c r="AF12" i="6"/>
  <c r="AF82" i="6" s="1"/>
  <c r="AE12" i="6"/>
  <c r="AE82" i="6" s="1"/>
  <c r="AD12" i="6"/>
  <c r="AD82" i="6" s="1"/>
  <c r="AB12" i="6"/>
  <c r="AB82" i="6" s="1"/>
  <c r="AA12" i="6"/>
  <c r="AA82" i="6" s="1"/>
  <c r="Z12" i="6"/>
  <c r="Z82" i="6" s="1"/>
  <c r="Y12" i="6"/>
  <c r="Y82" i="6" s="1"/>
  <c r="W12" i="6"/>
  <c r="W82" i="6" s="1"/>
  <c r="V12" i="6"/>
  <c r="V82" i="6" s="1"/>
  <c r="U12" i="6"/>
  <c r="U82" i="6" s="1"/>
  <c r="T12" i="6"/>
  <c r="T82" i="6" s="1"/>
  <c r="R12" i="6"/>
  <c r="R82" i="6" s="1"/>
  <c r="P12" i="6"/>
  <c r="P82" i="6" s="1"/>
  <c r="O12" i="6"/>
  <c r="O82" i="6" s="1"/>
  <c r="N12" i="6"/>
  <c r="N82" i="6" s="1"/>
  <c r="M12" i="6"/>
  <c r="M82" i="6" s="1"/>
  <c r="L12" i="6"/>
  <c r="L82" i="6" s="1"/>
  <c r="J12" i="6"/>
  <c r="J82" i="6" s="1"/>
  <c r="I12" i="6"/>
  <c r="I82" i="6" s="1"/>
  <c r="H12" i="6"/>
  <c r="H82" i="6" s="1"/>
  <c r="G12" i="6"/>
  <c r="G82" i="6" s="1"/>
  <c r="AJ11" i="6"/>
  <c r="AJ76" i="6" s="1"/>
  <c r="AG11" i="6"/>
  <c r="AG76" i="6" s="1"/>
  <c r="AE11" i="6"/>
  <c r="AE76" i="6" s="1"/>
  <c r="AB11" i="6"/>
  <c r="AB76" i="6" s="1"/>
  <c r="Z11" i="6"/>
  <c r="Z76" i="6" s="1"/>
  <c r="W11" i="6"/>
  <c r="W76" i="6" s="1"/>
  <c r="U11" i="6"/>
  <c r="U76" i="6" s="1"/>
  <c r="S11" i="6"/>
  <c r="S76" i="6" s="1"/>
  <c r="Q11" i="6"/>
  <c r="Q76" i="6" s="1"/>
  <c r="O11" i="6"/>
  <c r="O76" i="6" s="1"/>
  <c r="M11" i="6"/>
  <c r="M76" i="6" s="1"/>
  <c r="L9" i="6"/>
  <c r="L11" i="6" s="1"/>
  <c r="L76" i="6" s="1"/>
  <c r="K9" i="6"/>
  <c r="K8" i="6" s="1"/>
  <c r="J9" i="6"/>
  <c r="J11" i="6" s="1"/>
  <c r="J76" i="6" s="1"/>
  <c r="H9" i="6"/>
  <c r="H8" i="6" s="1"/>
  <c r="G9" i="6"/>
  <c r="G11" i="6" s="1"/>
  <c r="AR8" i="6"/>
  <c r="AR10" i="6" s="1"/>
  <c r="AJ8" i="6"/>
  <c r="AI8" i="6"/>
  <c r="AH8" i="6"/>
  <c r="AG8" i="6"/>
  <c r="AF8" i="6"/>
  <c r="AE8" i="6"/>
  <c r="AD8" i="6"/>
  <c r="AC8" i="6"/>
  <c r="AB8" i="6"/>
  <c r="AA8" i="6"/>
  <c r="Z8" i="6"/>
  <c r="Y8" i="6"/>
  <c r="W8" i="6"/>
  <c r="V8" i="6"/>
  <c r="U8" i="6"/>
  <c r="T8" i="6"/>
  <c r="S8" i="6"/>
  <c r="R8" i="6"/>
  <c r="Q8" i="6"/>
  <c r="P8" i="6"/>
  <c r="O8" i="6"/>
  <c r="N8" i="6"/>
  <c r="I8" i="6"/>
  <c r="G8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M275" i="6" s="1"/>
  <c r="L7" i="6"/>
  <c r="K7" i="6"/>
  <c r="J7" i="6"/>
  <c r="J275" i="6" s="1"/>
  <c r="I7" i="6"/>
  <c r="H7" i="6"/>
  <c r="G7" i="6"/>
  <c r="AL6" i="6"/>
  <c r="AL15" i="6" s="1"/>
  <c r="AL7" i="6" l="1"/>
  <c r="L8" i="6"/>
  <c r="I102" i="16"/>
  <c r="I92" i="16"/>
  <c r="I82" i="16"/>
  <c r="I83" i="16" s="1"/>
  <c r="I89" i="16"/>
  <c r="I105" i="16" s="1"/>
  <c r="I157" i="16"/>
  <c r="I153" i="16"/>
  <c r="I160" i="16" s="1"/>
  <c r="I138" i="16"/>
  <c r="I110" i="16"/>
  <c r="I189" i="16"/>
  <c r="J83" i="16"/>
  <c r="J89" i="16"/>
  <c r="J98" i="16"/>
  <c r="J105" i="16" s="1"/>
  <c r="J110" i="16"/>
  <c r="J126" i="16"/>
  <c r="J133" i="16" s="1"/>
  <c r="J138" i="16"/>
  <c r="J153" i="16"/>
  <c r="J160" i="16" s="1"/>
  <c r="J189" i="16"/>
  <c r="I99" i="16"/>
  <c r="I106" i="16" s="1"/>
  <c r="I125" i="16"/>
  <c r="I132" i="16" s="1"/>
  <c r="I152" i="16"/>
  <c r="I159" i="16" s="1"/>
  <c r="I164" i="16"/>
  <c r="I205" i="16"/>
  <c r="I214" i="16"/>
  <c r="I221" i="16" s="1"/>
  <c r="J82" i="16"/>
  <c r="J99" i="16"/>
  <c r="J106" i="16" s="1"/>
  <c r="J125" i="16"/>
  <c r="J132" i="16" s="1"/>
  <c r="J152" i="16"/>
  <c r="J159" i="16" s="1"/>
  <c r="J164" i="16"/>
  <c r="J205" i="16"/>
  <c r="J214" i="16"/>
  <c r="J221" i="16" s="1"/>
  <c r="G76" i="6"/>
  <c r="H275" i="6"/>
  <c r="H262" i="6"/>
  <c r="H245" i="6"/>
  <c r="H252" i="6"/>
  <c r="H277" i="6"/>
  <c r="H85" i="6"/>
  <c r="H86" i="6" s="1"/>
  <c r="H84" i="6"/>
  <c r="H61" i="6"/>
  <c r="H60" i="6"/>
  <c r="AL9" i="6"/>
  <c r="AL12" i="6"/>
  <c r="AL82" i="6" s="1"/>
  <c r="N262" i="6"/>
  <c r="N60" i="6"/>
  <c r="AL61" i="6"/>
  <c r="AF254" i="6"/>
  <c r="AF30" i="6"/>
  <c r="V63" i="6"/>
  <c r="V29" i="6"/>
  <c r="J85" i="6"/>
  <c r="J86" i="6" s="1"/>
  <c r="J277" i="6"/>
  <c r="J262" i="6"/>
  <c r="J252" i="6"/>
  <c r="J84" i="6"/>
  <c r="J245" i="6"/>
  <c r="J60" i="6"/>
  <c r="J61" i="6"/>
  <c r="P11" i="6"/>
  <c r="P76" i="6" s="1"/>
  <c r="T11" i="6"/>
  <c r="T76" i="6" s="1"/>
  <c r="Y11" i="6"/>
  <c r="Y76" i="6" s="1"/>
  <c r="AD11" i="6"/>
  <c r="AD76" i="6" s="1"/>
  <c r="AH11" i="6"/>
  <c r="AH76" i="6" s="1"/>
  <c r="N85" i="6"/>
  <c r="N86" i="6" s="1"/>
  <c r="O262" i="6"/>
  <c r="O85" i="6"/>
  <c r="O86" i="6" s="1"/>
  <c r="O60" i="6"/>
  <c r="P254" i="6"/>
  <c r="P30" i="6"/>
  <c r="AL25" i="6"/>
  <c r="R63" i="6"/>
  <c r="R29" i="6"/>
  <c r="AB280" i="6"/>
  <c r="AB254" i="6"/>
  <c r="AB282" i="6"/>
  <c r="AB264" i="6"/>
  <c r="AB30" i="6"/>
  <c r="AB28" i="6"/>
  <c r="K46" i="6"/>
  <c r="K277" i="6"/>
  <c r="K275" i="6"/>
  <c r="K262" i="6"/>
  <c r="K245" i="6"/>
  <c r="K85" i="6"/>
  <c r="K86" i="6" s="1"/>
  <c r="K60" i="6"/>
  <c r="K252" i="6"/>
  <c r="K84" i="6"/>
  <c r="K61" i="6"/>
  <c r="H11" i="6"/>
  <c r="H76" i="6" s="1"/>
  <c r="AL20" i="6"/>
  <c r="AL85" i="6" s="1"/>
  <c r="AL86" i="6" s="1"/>
  <c r="Q254" i="6"/>
  <c r="Q30" i="6"/>
  <c r="S282" i="6"/>
  <c r="S264" i="6"/>
  <c r="S254" i="6"/>
  <c r="S28" i="6"/>
  <c r="AL66" i="6"/>
  <c r="AL72" i="6"/>
  <c r="AL268" i="6"/>
  <c r="AL240" i="6"/>
  <c r="AO7" i="6"/>
  <c r="J8" i="6"/>
  <c r="G277" i="6"/>
  <c r="G275" i="6"/>
  <c r="G262" i="6"/>
  <c r="G245" i="6"/>
  <c r="G85" i="6"/>
  <c r="G86" i="6" s="1"/>
  <c r="G252" i="6"/>
  <c r="G60" i="6"/>
  <c r="G84" i="6"/>
  <c r="G61" i="6"/>
  <c r="L275" i="6"/>
  <c r="L262" i="6"/>
  <c r="L245" i="6"/>
  <c r="L252" i="6"/>
  <c r="L277" i="6"/>
  <c r="L84" i="6"/>
  <c r="L61" i="6"/>
  <c r="L85" i="6"/>
  <c r="L86" i="6" s="1"/>
  <c r="L60" i="6"/>
  <c r="I11" i="6"/>
  <c r="I76" i="6" s="1"/>
  <c r="N11" i="6"/>
  <c r="N76" i="6" s="1"/>
  <c r="R11" i="6"/>
  <c r="R76" i="6" s="1"/>
  <c r="V11" i="6"/>
  <c r="V76" i="6" s="1"/>
  <c r="AA11" i="6"/>
  <c r="AA76" i="6" s="1"/>
  <c r="AF11" i="6"/>
  <c r="AF76" i="6" s="1"/>
  <c r="AL13" i="6"/>
  <c r="AL14" i="6"/>
  <c r="R282" i="6"/>
  <c r="R254" i="6"/>
  <c r="R30" i="6"/>
  <c r="V30" i="6"/>
  <c r="AL32" i="6"/>
  <c r="AL254" i="6" s="1"/>
  <c r="AL63" i="6"/>
  <c r="G28" i="6"/>
  <c r="O29" i="6"/>
  <c r="W29" i="6"/>
  <c r="AA29" i="6"/>
  <c r="AE29" i="6"/>
  <c r="AJ29" i="6"/>
  <c r="I30" i="6"/>
  <c r="AL30" i="6" s="1"/>
  <c r="AL33" i="6"/>
  <c r="AL36" i="6"/>
  <c r="N45" i="6"/>
  <c r="N29" i="6" s="1"/>
  <c r="J63" i="6"/>
  <c r="S63" i="6"/>
  <c r="H64" i="6"/>
  <c r="M64" i="6"/>
  <c r="Q64" i="6"/>
  <c r="U64" i="6"/>
  <c r="AG64" i="6"/>
  <c r="AL64" i="6"/>
  <c r="J65" i="6"/>
  <c r="O65" i="6"/>
  <c r="W65" i="6"/>
  <c r="AA65" i="6"/>
  <c r="AE65" i="6"/>
  <c r="H66" i="6"/>
  <c r="M66" i="6"/>
  <c r="Q66" i="6"/>
  <c r="U66" i="6"/>
  <c r="AG66" i="6"/>
  <c r="J67" i="6"/>
  <c r="O67" i="6"/>
  <c r="W67" i="6"/>
  <c r="AA67" i="6"/>
  <c r="AE67" i="6"/>
  <c r="AL88" i="6"/>
  <c r="AL246" i="6"/>
  <c r="AL256" i="6"/>
  <c r="P280" i="6"/>
  <c r="AD28" i="6"/>
  <c r="AH28" i="6"/>
  <c r="P282" i="6"/>
  <c r="P264" i="6"/>
  <c r="T29" i="6"/>
  <c r="T30" i="6" s="1"/>
  <c r="X280" i="6"/>
  <c r="X254" i="6"/>
  <c r="X282" i="6"/>
  <c r="X264" i="6"/>
  <c r="AF29" i="6"/>
  <c r="AL73" i="6"/>
  <c r="R62" i="6"/>
  <c r="V62" i="6"/>
  <c r="I64" i="6"/>
  <c r="N64" i="6"/>
  <c r="R64" i="6"/>
  <c r="V64" i="6"/>
  <c r="AD64" i="6"/>
  <c r="AH64" i="6"/>
  <c r="G65" i="6"/>
  <c r="L65" i="6"/>
  <c r="P65" i="6"/>
  <c r="T65" i="6"/>
  <c r="AB65" i="6"/>
  <c r="AF65" i="6"/>
  <c r="AJ65" i="6"/>
  <c r="I66" i="6"/>
  <c r="N66" i="6"/>
  <c r="R66" i="6"/>
  <c r="V66" i="6"/>
  <c r="AD66" i="6"/>
  <c r="AH66" i="6"/>
  <c r="G67" i="6"/>
  <c r="L67" i="6"/>
  <c r="P67" i="6"/>
  <c r="T67" i="6"/>
  <c r="AB67" i="6"/>
  <c r="AF67" i="6"/>
  <c r="AJ67" i="6"/>
  <c r="M68" i="6"/>
  <c r="S73" i="6"/>
  <c r="AL84" i="6"/>
  <c r="AL245" i="6"/>
  <c r="AL247" i="6"/>
  <c r="AL262" i="6"/>
  <c r="I28" i="6"/>
  <c r="Z28" i="6"/>
  <c r="H29" i="6"/>
  <c r="Q282" i="6"/>
  <c r="Q264" i="6"/>
  <c r="U254" i="6"/>
  <c r="U282" i="6"/>
  <c r="U264" i="6"/>
  <c r="Y254" i="6"/>
  <c r="Y282" i="6"/>
  <c r="Y264" i="6"/>
  <c r="Y280" i="6"/>
  <c r="AC254" i="6"/>
  <c r="AC282" i="6"/>
  <c r="AC264" i="6"/>
  <c r="AC280" i="6"/>
  <c r="AG282" i="6"/>
  <c r="AG264" i="6"/>
  <c r="AG280" i="6"/>
  <c r="M47" i="6"/>
  <c r="AL65" i="6"/>
  <c r="J66" i="6"/>
  <c r="N280" i="6"/>
  <c r="R280" i="6"/>
  <c r="V280" i="6"/>
  <c r="Z282" i="6"/>
  <c r="Z264" i="6"/>
  <c r="Z280" i="6"/>
  <c r="Z254" i="6"/>
  <c r="AD282" i="6"/>
  <c r="AD264" i="6"/>
  <c r="AD280" i="6"/>
  <c r="AD254" i="6"/>
  <c r="AH282" i="6"/>
  <c r="AH264" i="6"/>
  <c r="AH280" i="6"/>
  <c r="AL55" i="6"/>
  <c r="AL257" i="6"/>
  <c r="AL277" i="6"/>
  <c r="S280" i="6"/>
  <c r="W280" i="6"/>
  <c r="Q280" i="6"/>
  <c r="U280" i="6"/>
  <c r="N287" i="6"/>
  <c r="R287" i="6"/>
  <c r="V287" i="6"/>
  <c r="O287" i="6"/>
  <c r="S287" i="6"/>
  <c r="W287" i="6"/>
  <c r="O280" i="6"/>
  <c r="P287" i="6"/>
  <c r="T287" i="6"/>
  <c r="AL282" i="6" l="1"/>
  <c r="M45" i="6"/>
  <c r="M29" i="6" s="1"/>
  <c r="M69" i="6"/>
  <c r="L47" i="6"/>
  <c r="AE282" i="6"/>
  <c r="AE264" i="6"/>
  <c r="AE280" i="6"/>
  <c r="AE254" i="6"/>
  <c r="AE30" i="6"/>
  <c r="AE28" i="6"/>
  <c r="J46" i="6"/>
  <c r="V282" i="6"/>
  <c r="V264" i="6"/>
  <c r="V254" i="6"/>
  <c r="V28" i="6"/>
  <c r="AL275" i="6"/>
  <c r="AN271" i="6"/>
  <c r="AL252" i="6"/>
  <c r="AL250" i="6" s="1"/>
  <c r="AL10" i="6"/>
  <c r="AL8" i="6"/>
  <c r="AO5" i="6"/>
  <c r="AL280" i="6"/>
  <c r="H282" i="6"/>
  <c r="H28" i="6"/>
  <c r="AF280" i="6"/>
  <c r="AF282" i="6"/>
  <c r="AF264" i="6"/>
  <c r="AF28" i="6"/>
  <c r="AL62" i="6"/>
  <c r="AO14" i="6"/>
  <c r="AA282" i="6"/>
  <c r="AA264" i="6"/>
  <c r="AA280" i="6"/>
  <c r="AA254" i="6"/>
  <c r="AA30" i="6"/>
  <c r="AA28" i="6"/>
  <c r="R264" i="6"/>
  <c r="R28" i="6"/>
  <c r="T254" i="6"/>
  <c r="T282" i="6"/>
  <c r="T264" i="6"/>
  <c r="T28" i="6"/>
  <c r="W282" i="6"/>
  <c r="W264" i="6"/>
  <c r="W254" i="6"/>
  <c r="W30" i="6"/>
  <c r="W28" i="6"/>
  <c r="AL11" i="6"/>
  <c r="AL76" i="6" s="1"/>
  <c r="T280" i="6"/>
  <c r="N282" i="6"/>
  <c r="N264" i="6"/>
  <c r="N28" i="6"/>
  <c r="N30" i="6"/>
  <c r="AJ280" i="6"/>
  <c r="AJ282" i="6"/>
  <c r="AJ264" i="6"/>
  <c r="AJ28" i="6"/>
  <c r="AJ30" i="6"/>
  <c r="O282" i="6"/>
  <c r="O264" i="6"/>
  <c r="O30" i="6"/>
  <c r="O28" i="6"/>
  <c r="AO9" i="6"/>
  <c r="AL60" i="6"/>
  <c r="AO6" i="6"/>
  <c r="AO8" i="6" s="1"/>
  <c r="AL46" i="6" l="1"/>
  <c r="AO16" i="6"/>
  <c r="AO17" i="6"/>
  <c r="AO13" i="6"/>
  <c r="L69" i="6"/>
  <c r="K47" i="6"/>
  <c r="L68" i="6"/>
  <c r="L45" i="6"/>
  <c r="L29" i="6" s="1"/>
  <c r="AO10" i="6"/>
  <c r="M282" i="6"/>
  <c r="M30" i="6"/>
  <c r="M28" i="6"/>
  <c r="J47" i="6" l="1"/>
  <c r="K69" i="6"/>
  <c r="K68" i="6"/>
  <c r="L282" i="6"/>
  <c r="L30" i="6"/>
  <c r="L28" i="6"/>
  <c r="J69" i="6" l="1"/>
  <c r="AL47" i="6"/>
  <c r="J45" i="6"/>
  <c r="J68" i="6"/>
  <c r="AL45" i="6" l="1"/>
  <c r="AL69" i="6" s="1"/>
  <c r="J29" i="6"/>
  <c r="AL68" i="6"/>
  <c r="J282" i="6" l="1"/>
  <c r="J28" i="6"/>
  <c r="AL29" i="6"/>
  <c r="AL28" i="6" l="1"/>
  <c r="AL24" i="6"/>
  <c r="AL264" i="6"/>
  <c r="K39" i="32" l="1"/>
  <c r="K38" i="32"/>
  <c r="H24" i="32"/>
  <c r="J19" i="32"/>
  <c r="J24" i="32"/>
  <c r="I24" i="32"/>
  <c r="K24" i="32" s="1"/>
  <c r="K23" i="32"/>
  <c r="K21" i="32"/>
  <c r="I16" i="32"/>
  <c r="I17" i="32" s="1"/>
  <c r="J15" i="32"/>
  <c r="J13" i="32"/>
  <c r="AA12" i="16" l="1"/>
  <c r="X6" i="16"/>
  <c r="E64" i="31"/>
  <c r="I64" i="31"/>
  <c r="I62" i="31"/>
  <c r="E34" i="31"/>
  <c r="E27" i="31"/>
  <c r="E26" i="31"/>
  <c r="K13" i="32"/>
  <c r="E25" i="31" l="1"/>
  <c r="E23" i="31"/>
  <c r="E22" i="31"/>
  <c r="C12" i="26" l="1"/>
  <c r="M18" i="32"/>
  <c r="H26" i="32"/>
  <c r="H33" i="32" s="1"/>
  <c r="J42" i="32"/>
  <c r="J41" i="32"/>
  <c r="J39" i="32"/>
  <c r="J38" i="32"/>
  <c r="I36" i="32"/>
  <c r="K36" i="32" s="1"/>
  <c r="H36" i="32"/>
  <c r="M22" i="32"/>
  <c r="N22" i="32" s="1"/>
  <c r="J36" i="32" l="1"/>
  <c r="H17" i="32"/>
  <c r="G23" i="35" l="1"/>
  <c r="G19" i="41" l="1"/>
  <c r="P25" i="41"/>
  <c r="O25" i="41"/>
  <c r="P24" i="41"/>
  <c r="O24" i="41"/>
  <c r="P23" i="41"/>
  <c r="O23" i="41"/>
  <c r="P22" i="41"/>
  <c r="O22" i="41"/>
  <c r="P21" i="41"/>
  <c r="O21" i="41"/>
  <c r="P20" i="41"/>
  <c r="O20" i="41"/>
  <c r="P19" i="41"/>
  <c r="O19" i="41"/>
  <c r="P18" i="41"/>
  <c r="O18" i="41"/>
  <c r="P17" i="41"/>
  <c r="O17" i="41"/>
  <c r="P16" i="41"/>
  <c r="O16" i="41"/>
  <c r="P15" i="41"/>
  <c r="O15" i="41"/>
  <c r="O39" i="41" s="1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L39" i="41"/>
  <c r="C39" i="41"/>
  <c r="F39" i="41"/>
  <c r="J38" i="41"/>
  <c r="H38" i="41"/>
  <c r="G38" i="41"/>
  <c r="D38" i="41"/>
  <c r="J37" i="41"/>
  <c r="H37" i="41"/>
  <c r="G37" i="41"/>
  <c r="D37" i="41"/>
  <c r="J36" i="41"/>
  <c r="H36" i="41"/>
  <c r="G36" i="41"/>
  <c r="D36" i="41"/>
  <c r="J35" i="41"/>
  <c r="H35" i="41"/>
  <c r="G35" i="41"/>
  <c r="D35" i="41"/>
  <c r="J34" i="41"/>
  <c r="H34" i="41"/>
  <c r="G34" i="41"/>
  <c r="D34" i="41"/>
  <c r="J33" i="41"/>
  <c r="H33" i="41"/>
  <c r="G33" i="41"/>
  <c r="D33" i="41"/>
  <c r="J32" i="41"/>
  <c r="H32" i="41"/>
  <c r="G32" i="41"/>
  <c r="D32" i="41"/>
  <c r="J31" i="41"/>
  <c r="H31" i="41"/>
  <c r="G31" i="41"/>
  <c r="D31" i="41"/>
  <c r="J30" i="41"/>
  <c r="H30" i="41"/>
  <c r="G30" i="41"/>
  <c r="D30" i="41"/>
  <c r="J29" i="41"/>
  <c r="H29" i="41"/>
  <c r="G29" i="41"/>
  <c r="D29" i="41"/>
  <c r="J28" i="41"/>
  <c r="H28" i="41"/>
  <c r="G28" i="41"/>
  <c r="D28" i="41"/>
  <c r="J27" i="41"/>
  <c r="H27" i="41"/>
  <c r="G27" i="41"/>
  <c r="D27" i="41"/>
  <c r="J26" i="41"/>
  <c r="H26" i="41"/>
  <c r="G26" i="41"/>
  <c r="D26" i="41"/>
  <c r="J25" i="41"/>
  <c r="H25" i="41"/>
  <c r="G25" i="41"/>
  <c r="D25" i="41"/>
  <c r="J24" i="41"/>
  <c r="H24" i="41"/>
  <c r="G24" i="41"/>
  <c r="D24" i="41"/>
  <c r="J23" i="41"/>
  <c r="H23" i="41"/>
  <c r="G23" i="41"/>
  <c r="D23" i="41"/>
  <c r="J22" i="41"/>
  <c r="H22" i="41"/>
  <c r="G22" i="41"/>
  <c r="D22" i="41"/>
  <c r="J21" i="41"/>
  <c r="H21" i="41"/>
  <c r="G21" i="41"/>
  <c r="D21" i="41"/>
  <c r="J20" i="41"/>
  <c r="H20" i="41"/>
  <c r="G20" i="41"/>
  <c r="D20" i="41"/>
  <c r="J19" i="41"/>
  <c r="H19" i="41"/>
  <c r="D19" i="41"/>
  <c r="J18" i="41"/>
  <c r="H18" i="41"/>
  <c r="D18" i="41"/>
  <c r="J17" i="41"/>
  <c r="H17" i="41"/>
  <c r="G17" i="41"/>
  <c r="D17" i="41"/>
  <c r="J16" i="41"/>
  <c r="H16" i="41"/>
  <c r="G16" i="41"/>
  <c r="D16" i="41"/>
  <c r="J15" i="41"/>
  <c r="H15" i="41"/>
  <c r="G15" i="41"/>
  <c r="D15" i="41"/>
  <c r="J14" i="41"/>
  <c r="H14" i="41"/>
  <c r="G14" i="41"/>
  <c r="D14" i="41"/>
  <c r="J13" i="41"/>
  <c r="H13" i="41"/>
  <c r="G13" i="41"/>
  <c r="D13" i="41"/>
  <c r="J12" i="41"/>
  <c r="H12" i="41"/>
  <c r="G12" i="41"/>
  <c r="D12" i="41"/>
  <c r="J11" i="41"/>
  <c r="H11" i="41"/>
  <c r="G11" i="41"/>
  <c r="D11" i="41"/>
  <c r="J10" i="41"/>
  <c r="H10" i="41"/>
  <c r="G10" i="41"/>
  <c r="D10" i="41"/>
  <c r="J9" i="41"/>
  <c r="H9" i="41"/>
  <c r="G9" i="41"/>
  <c r="D9" i="41"/>
  <c r="J8" i="41"/>
  <c r="H8" i="41"/>
  <c r="G8" i="41"/>
  <c r="D8" i="41"/>
  <c r="G38" i="35"/>
  <c r="F46" i="35"/>
  <c r="F54" i="35"/>
  <c r="F49" i="35"/>
  <c r="F53" i="35"/>
  <c r="G21" i="35"/>
  <c r="F45" i="35"/>
  <c r="F51" i="35"/>
  <c r="H56" i="34"/>
  <c r="H55" i="34"/>
  <c r="I18" i="34"/>
  <c r="H53" i="34"/>
  <c r="H47" i="34"/>
  <c r="L16" i="34"/>
  <c r="F15" i="34"/>
  <c r="E39" i="34"/>
  <c r="F9" i="34"/>
  <c r="F10" i="34"/>
  <c r="F11" i="34"/>
  <c r="F12" i="34"/>
  <c r="F13" i="34"/>
  <c r="F14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8" i="34"/>
  <c r="L8" i="34"/>
  <c r="L9" i="34"/>
  <c r="F38" i="35"/>
  <c r="D38" i="35"/>
  <c r="J37" i="35"/>
  <c r="H37" i="35"/>
  <c r="G37" i="35"/>
  <c r="J36" i="35"/>
  <c r="G36" i="35"/>
  <c r="J35" i="35"/>
  <c r="G35" i="35"/>
  <c r="J34" i="35"/>
  <c r="G34" i="35"/>
  <c r="J33" i="35"/>
  <c r="G33" i="35"/>
  <c r="J32" i="35"/>
  <c r="G32" i="35"/>
  <c r="J31" i="35"/>
  <c r="G31" i="35"/>
  <c r="J30" i="35"/>
  <c r="G30" i="35"/>
  <c r="J29" i="35"/>
  <c r="G29" i="35"/>
  <c r="J28" i="35"/>
  <c r="G28" i="35"/>
  <c r="J27" i="35"/>
  <c r="G27" i="35"/>
  <c r="J26" i="35"/>
  <c r="G26" i="35"/>
  <c r="J25" i="35"/>
  <c r="G25" i="35"/>
  <c r="J24" i="35"/>
  <c r="G24" i="35"/>
  <c r="J23" i="35"/>
  <c r="J22" i="35"/>
  <c r="G22" i="35"/>
  <c r="J21" i="35"/>
  <c r="J20" i="35"/>
  <c r="G20" i="35"/>
  <c r="J19" i="35"/>
  <c r="G19" i="35"/>
  <c r="J18" i="35"/>
  <c r="G18" i="35"/>
  <c r="J17" i="35"/>
  <c r="G17" i="35"/>
  <c r="J16" i="35"/>
  <c r="G16" i="35"/>
  <c r="J15" i="35"/>
  <c r="G15" i="35"/>
  <c r="J14" i="35"/>
  <c r="G14" i="35"/>
  <c r="J13" i="35"/>
  <c r="G13" i="35"/>
  <c r="J12" i="35"/>
  <c r="G12" i="35"/>
  <c r="J11" i="35"/>
  <c r="G11" i="35"/>
  <c r="J10" i="35"/>
  <c r="G10" i="35"/>
  <c r="J9" i="35"/>
  <c r="G9" i="35"/>
  <c r="J8" i="35"/>
  <c r="G8" i="35"/>
  <c r="J7" i="35"/>
  <c r="J38" i="35" s="1"/>
  <c r="G7" i="35"/>
  <c r="H39" i="34"/>
  <c r="L38" i="34"/>
  <c r="J38" i="34"/>
  <c r="I38" i="34"/>
  <c r="L37" i="34"/>
  <c r="J37" i="34"/>
  <c r="I37" i="34"/>
  <c r="L36" i="34"/>
  <c r="J36" i="34"/>
  <c r="I36" i="34"/>
  <c r="L35" i="34"/>
  <c r="J35" i="34"/>
  <c r="I35" i="34"/>
  <c r="L34" i="34"/>
  <c r="J34" i="34"/>
  <c r="I34" i="34"/>
  <c r="L33" i="34"/>
  <c r="J33" i="34"/>
  <c r="I33" i="34"/>
  <c r="L32" i="34"/>
  <c r="J32" i="34"/>
  <c r="I32" i="34"/>
  <c r="L31" i="34"/>
  <c r="J31" i="34"/>
  <c r="I31" i="34"/>
  <c r="L30" i="34"/>
  <c r="J30" i="34"/>
  <c r="I30" i="34"/>
  <c r="L29" i="34"/>
  <c r="J29" i="34"/>
  <c r="I29" i="34"/>
  <c r="L28" i="34"/>
  <c r="J28" i="34"/>
  <c r="I28" i="34"/>
  <c r="L27" i="34"/>
  <c r="J27" i="34"/>
  <c r="I27" i="34"/>
  <c r="L26" i="34"/>
  <c r="J26" i="34"/>
  <c r="I26" i="34"/>
  <c r="L25" i="34"/>
  <c r="J25" i="34"/>
  <c r="I25" i="34"/>
  <c r="L24" i="34"/>
  <c r="J24" i="34"/>
  <c r="I24" i="34"/>
  <c r="L23" i="34"/>
  <c r="J23" i="34"/>
  <c r="I23" i="34"/>
  <c r="L22" i="34"/>
  <c r="J22" i="34"/>
  <c r="I22" i="34"/>
  <c r="H54" i="34" s="1"/>
  <c r="L21" i="34"/>
  <c r="J21" i="34"/>
  <c r="I21" i="34"/>
  <c r="L20" i="34"/>
  <c r="J20" i="34"/>
  <c r="I20" i="34"/>
  <c r="L19" i="34"/>
  <c r="J19" i="34"/>
  <c r="I19" i="34"/>
  <c r="H44" i="34" s="1"/>
  <c r="L18" i="34"/>
  <c r="J18" i="34"/>
  <c r="L17" i="34"/>
  <c r="J17" i="34"/>
  <c r="I17" i="34"/>
  <c r="J16" i="34"/>
  <c r="I16" i="34"/>
  <c r="L15" i="34"/>
  <c r="J15" i="34"/>
  <c r="I15" i="34"/>
  <c r="H46" i="34" s="1"/>
  <c r="L14" i="34"/>
  <c r="J14" i="34"/>
  <c r="I14" i="34"/>
  <c r="L13" i="34"/>
  <c r="J13" i="34"/>
  <c r="I13" i="34"/>
  <c r="L12" i="34"/>
  <c r="J12" i="34"/>
  <c r="I12" i="34"/>
  <c r="L11" i="34"/>
  <c r="J11" i="34"/>
  <c r="I11" i="34"/>
  <c r="L10" i="34"/>
  <c r="J10" i="34"/>
  <c r="I10" i="34"/>
  <c r="J9" i="34"/>
  <c r="I9" i="34"/>
  <c r="J8" i="34"/>
  <c r="I8" i="34"/>
  <c r="I39" i="34" s="1"/>
  <c r="D39" i="41" l="1"/>
  <c r="G39" i="41"/>
  <c r="J39" i="41"/>
  <c r="H51" i="34"/>
  <c r="L39" i="34"/>
  <c r="F39" i="34"/>
  <c r="F55" i="35"/>
  <c r="X24" i="37" l="1"/>
  <c r="O23" i="37"/>
  <c r="C4" i="27"/>
  <c r="H11" i="27"/>
  <c r="H10" i="27"/>
  <c r="H9" i="27"/>
  <c r="H8" i="27"/>
  <c r="F12" i="26"/>
  <c r="O22" i="37"/>
  <c r="L22" i="37"/>
  <c r="L20" i="36" l="1"/>
  <c r="O21" i="37"/>
  <c r="O20" i="37"/>
  <c r="L21" i="37"/>
  <c r="L20" i="37"/>
  <c r="F27" i="31" l="1"/>
  <c r="G27" i="31" s="1"/>
  <c r="G13" i="36"/>
  <c r="G12" i="36"/>
  <c r="L16" i="36" l="1"/>
  <c r="T16" i="37" l="1"/>
  <c r="T15" i="37"/>
  <c r="L15" i="36"/>
  <c r="L14" i="36"/>
  <c r="H259" i="16" l="1"/>
  <c r="H258" i="16"/>
  <c r="H256" i="16"/>
  <c r="H255" i="16"/>
  <c r="H252" i="16"/>
  <c r="H249" i="16"/>
  <c r="H248" i="16"/>
  <c r="H247" i="16"/>
  <c r="H246" i="16"/>
  <c r="H245" i="16"/>
  <c r="H243" i="16"/>
  <c r="H241" i="16"/>
  <c r="H240" i="16"/>
  <c r="H239" i="16"/>
  <c r="H238" i="16"/>
  <c r="H236" i="16"/>
  <c r="H232" i="16"/>
  <c r="H230" i="16"/>
  <c r="H229" i="16"/>
  <c r="H78" i="16"/>
  <c r="H77" i="16"/>
  <c r="H76" i="16"/>
  <c r="H75" i="16"/>
  <c r="H74" i="16"/>
  <c r="H71" i="16"/>
  <c r="H70" i="16"/>
  <c r="H60" i="16"/>
  <c r="H59" i="16"/>
  <c r="H58" i="16"/>
  <c r="H57" i="16"/>
  <c r="G234" i="16" l="1"/>
  <c r="G77" i="16"/>
  <c r="G76" i="16"/>
  <c r="K27" i="16"/>
  <c r="H28" i="16"/>
  <c r="H27" i="16"/>
  <c r="H24" i="16"/>
  <c r="H23" i="16"/>
  <c r="H20" i="16"/>
  <c r="H19" i="16"/>
  <c r="H11" i="16"/>
  <c r="G24" i="16" l="1"/>
  <c r="K16" i="16"/>
  <c r="H12" i="16"/>
  <c r="Z16" i="16" s="1"/>
  <c r="H26" i="16" l="1"/>
  <c r="L13" i="36" l="1"/>
  <c r="L21" i="36" l="1"/>
  <c r="L22" i="36"/>
  <c r="L23" i="36"/>
  <c r="L24" i="36"/>
  <c r="L25" i="36"/>
  <c r="L26" i="36"/>
  <c r="K252" i="16"/>
  <c r="D9" i="17" l="1"/>
  <c r="K11" i="16" l="1"/>
  <c r="K12" i="16" s="1"/>
  <c r="K20" i="16"/>
  <c r="R25" i="37"/>
  <c r="R24" i="37"/>
  <c r="F7" i="33"/>
  <c r="F6" i="33"/>
  <c r="E61" i="31"/>
  <c r="I60" i="31" s="1"/>
  <c r="I61" i="31" s="1"/>
  <c r="E43" i="31"/>
  <c r="E19" i="31"/>
  <c r="E18" i="31"/>
  <c r="E11" i="31"/>
  <c r="K70" i="16" l="1"/>
  <c r="G22" i="16"/>
  <c r="G259" i="16" l="1"/>
  <c r="G258" i="16"/>
  <c r="G255" i="16"/>
  <c r="G256" i="16"/>
  <c r="G252" i="16"/>
  <c r="T252" i="16" s="1"/>
  <c r="G249" i="16"/>
  <c r="G248" i="16"/>
  <c r="G247" i="16"/>
  <c r="G246" i="16"/>
  <c r="G245" i="16"/>
  <c r="G243" i="16"/>
  <c r="G241" i="16"/>
  <c r="G240" i="16"/>
  <c r="G239" i="16"/>
  <c r="G238" i="16"/>
  <c r="G236" i="16"/>
  <c r="G232" i="16"/>
  <c r="G230" i="16"/>
  <c r="G229" i="16"/>
  <c r="G78" i="16"/>
  <c r="G74" i="16"/>
  <c r="G70" i="16"/>
  <c r="T70" i="16" s="1"/>
  <c r="G68" i="16"/>
  <c r="G67" i="16"/>
  <c r="G60" i="16"/>
  <c r="G59" i="16"/>
  <c r="G52" i="16"/>
  <c r="G51" i="16"/>
  <c r="G28" i="16"/>
  <c r="G27" i="16"/>
  <c r="T27" i="16" s="1"/>
  <c r="G16" i="16"/>
  <c r="G15" i="16"/>
  <c r="T15" i="16" s="1"/>
  <c r="G8" i="16"/>
  <c r="G26" i="16" l="1"/>
  <c r="G49" i="16"/>
  <c r="I111" i="29" l="1"/>
  <c r="H63" i="29"/>
  <c r="H61" i="29"/>
  <c r="H54" i="29"/>
  <c r="H33" i="29"/>
  <c r="H6" i="29"/>
  <c r="C8" i="27"/>
  <c r="K74" i="16" l="1"/>
  <c r="H22" i="16" l="1"/>
  <c r="L19" i="17" l="1"/>
  <c r="K243" i="16"/>
  <c r="E4" i="28" l="1"/>
  <c r="G14" i="16" l="1"/>
  <c r="K232" i="16" l="1"/>
  <c r="K23" i="16" l="1"/>
  <c r="K75" i="16" l="1"/>
  <c r="R23" i="37" l="1"/>
  <c r="K77" i="16"/>
  <c r="T77" i="16" s="1"/>
  <c r="L19" i="36"/>
  <c r="R22" i="37"/>
  <c r="R21" i="37"/>
  <c r="H16" i="16" l="1"/>
  <c r="K15" i="16"/>
  <c r="N4" i="17"/>
  <c r="N3" i="17"/>
  <c r="F21" i="17" s="1"/>
  <c r="K8" i="16"/>
  <c r="H8" i="16"/>
  <c r="F9" i="31"/>
  <c r="F19" i="31" l="1"/>
  <c r="H15" i="16"/>
  <c r="F14" i="31"/>
  <c r="N5" i="17"/>
  <c r="K58" i="16"/>
  <c r="R20" i="37" l="1"/>
  <c r="E19" i="3" l="1"/>
  <c r="E6" i="36" l="1"/>
  <c r="G6" i="36" s="1"/>
  <c r="L12" i="36"/>
  <c r="L11" i="36"/>
  <c r="F23" i="16"/>
  <c r="T50" i="16" l="1"/>
  <c r="L30" i="36" l="1"/>
  <c r="L29" i="36" l="1"/>
  <c r="L28" i="36" l="1"/>
  <c r="L27" i="36"/>
  <c r="T38" i="37" l="1"/>
  <c r="K13" i="17" l="1"/>
  <c r="K12" i="17"/>
  <c r="K267" i="38" l="1"/>
  <c r="C92" i="40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K259" i="16"/>
  <c r="M25" i="3" l="1"/>
  <c r="H9" i="39" l="1"/>
  <c r="H19" i="39"/>
  <c r="C281" i="39" l="1"/>
  <c r="C272" i="39"/>
  <c r="C261" i="39"/>
  <c r="C253" i="39"/>
  <c r="C252" i="39"/>
  <c r="C244" i="39"/>
  <c r="C53" i="39"/>
  <c r="C48" i="39"/>
  <c r="C26" i="39"/>
  <c r="C19" i="39"/>
  <c r="H85" i="39"/>
  <c r="G85" i="39"/>
  <c r="R257" i="39"/>
  <c r="R256" i="39"/>
  <c r="E14" i="3"/>
  <c r="K246" i="16" l="1"/>
  <c r="G20" i="33"/>
  <c r="G99" i="40"/>
  <c r="H20" i="33" l="1"/>
  <c r="C32" i="40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K236" i="16"/>
  <c r="L18" i="36"/>
  <c r="G253" i="16" l="1"/>
  <c r="H253" i="16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8" i="3"/>
  <c r="F19" i="3"/>
  <c r="F20" i="3"/>
  <c r="L19" i="37" l="1"/>
  <c r="O19" i="37"/>
  <c r="R19" i="37"/>
  <c r="R18" i="37" l="1"/>
  <c r="O18" i="37"/>
  <c r="L18" i="37"/>
  <c r="R17" i="37" l="1"/>
  <c r="O17" i="37"/>
  <c r="L17" i="37"/>
  <c r="L16" i="37"/>
  <c r="O16" i="37"/>
  <c r="R16" i="37"/>
  <c r="K28" i="16"/>
  <c r="K26" i="16" l="1"/>
  <c r="K24" i="16" s="1"/>
  <c r="T28" i="16"/>
  <c r="T26" i="16" s="1"/>
  <c r="K60" i="16"/>
  <c r="K59" i="16"/>
  <c r="O15" i="36"/>
  <c r="R15" i="36"/>
  <c r="R14" i="36"/>
  <c r="S14" i="36"/>
  <c r="J17" i="3"/>
  <c r="S15" i="36" l="1"/>
  <c r="F47" i="31" l="1"/>
  <c r="K19" i="16"/>
  <c r="K10" i="3"/>
  <c r="J10" i="3"/>
  <c r="J16" i="3"/>
  <c r="J15" i="3"/>
  <c r="J13" i="3"/>
  <c r="J12" i="3"/>
  <c r="J11" i="3"/>
  <c r="J14" i="3"/>
  <c r="L15" i="37" l="1"/>
  <c r="L14" i="37"/>
  <c r="D28" i="37" l="1"/>
  <c r="D27" i="37"/>
  <c r="E27" i="37" s="1"/>
  <c r="C24" i="36"/>
  <c r="E28" i="37" l="1"/>
  <c r="G28" i="37" s="1"/>
  <c r="G35" i="37" l="1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36" i="37"/>
  <c r="G19" i="36"/>
  <c r="L17" i="36" s="1"/>
  <c r="E24" i="36"/>
  <c r="G25" i="36" l="1"/>
  <c r="U26" i="36"/>
  <c r="F18" i="31"/>
  <c r="K76" i="16" l="1"/>
  <c r="K57" i="16"/>
  <c r="K253" i="16"/>
  <c r="O4" i="18" l="1"/>
  <c r="K14" i="17" l="1"/>
  <c r="K240" i="16" l="1"/>
  <c r="T13" i="16" l="1"/>
  <c r="G7" i="33" l="1"/>
  <c r="K10" i="32"/>
  <c r="O3" i="18"/>
  <c r="O5" i="18" s="1"/>
  <c r="K22" i="32" l="1"/>
  <c r="K19" i="32"/>
  <c r="K42" i="32"/>
  <c r="K41" i="32"/>
  <c r="G39" i="33"/>
  <c r="G38" i="33"/>
  <c r="G36" i="33"/>
  <c r="E8" i="3"/>
  <c r="F8" i="3" s="1"/>
  <c r="H8" i="3" s="1"/>
  <c r="J8" i="3" s="1"/>
  <c r="K8" i="3" l="1"/>
  <c r="N8" i="3" s="1"/>
  <c r="M8" i="3"/>
  <c r="I43" i="32" l="1"/>
  <c r="K258" i="16"/>
  <c r="K256" i="16"/>
  <c r="K255" i="16"/>
  <c r="K247" i="16"/>
  <c r="K241" i="16"/>
  <c r="K239" i="16"/>
  <c r="K238" i="16"/>
  <c r="K230" i="16"/>
  <c r="K229" i="16"/>
  <c r="T48" i="16"/>
  <c r="T72" i="16" l="1"/>
  <c r="T73" i="16" s="1"/>
  <c r="K248" i="16"/>
  <c r="I32" i="32"/>
  <c r="K32" i="32" s="1"/>
  <c r="K245" i="16"/>
  <c r="I30" i="32"/>
  <c r="K30" i="32" s="1"/>
  <c r="J43" i="32"/>
  <c r="K43" i="32"/>
  <c r="K249" i="16"/>
  <c r="E4" i="27"/>
  <c r="D16" i="17"/>
  <c r="T51" i="16"/>
  <c r="T52" i="16"/>
  <c r="E5" i="26"/>
  <c r="H5" i="26" s="1"/>
  <c r="T49" i="16" l="1"/>
  <c r="T68" i="16" s="1"/>
  <c r="K78" i="16"/>
  <c r="D37" i="17" l="1"/>
  <c r="T67" i="16"/>
  <c r="E28" i="3" l="1"/>
  <c r="F28" i="3" s="1"/>
  <c r="H28" i="3" s="1"/>
  <c r="J28" i="3" s="1"/>
  <c r="M28" i="3" l="1"/>
  <c r="K28" i="3"/>
  <c r="N28" i="3" s="1"/>
  <c r="E29" i="3" l="1"/>
  <c r="F29" i="3" s="1"/>
  <c r="H29" i="3" s="1"/>
  <c r="J29" i="3" s="1"/>
  <c r="M29" i="3" l="1"/>
  <c r="K29" i="3"/>
  <c r="N29" i="3" s="1"/>
  <c r="E18" i="3" l="1"/>
  <c r="H18" i="3" s="1"/>
  <c r="J18" i="3" s="1"/>
  <c r="K18" i="3" s="1"/>
  <c r="K37" i="32" l="1"/>
  <c r="K29" i="32"/>
  <c r="K20" i="32"/>
  <c r="G63" i="31"/>
  <c r="G58" i="31"/>
  <c r="G57" i="31"/>
  <c r="F54" i="31"/>
  <c r="G54" i="31" s="1"/>
  <c r="G53" i="31"/>
  <c r="F53" i="31"/>
  <c r="G52" i="31"/>
  <c r="G51" i="31"/>
  <c r="G43" i="31"/>
  <c r="G42" i="31"/>
  <c r="G36" i="31"/>
  <c r="G35" i="31"/>
  <c r="F34" i="31"/>
  <c r="G34" i="31" s="1"/>
  <c r="G33" i="31"/>
  <c r="F16" i="31"/>
  <c r="F227" i="16" l="1"/>
  <c r="F226" i="16"/>
  <c r="F225" i="16"/>
  <c r="F224" i="16"/>
  <c r="F223" i="16"/>
  <c r="F215" i="16"/>
  <c r="F211" i="16"/>
  <c r="F214" i="16" s="1"/>
  <c r="F203" i="16"/>
  <c r="F219" i="16" s="1"/>
  <c r="F202" i="16"/>
  <c r="F197" i="16"/>
  <c r="F196" i="16"/>
  <c r="F169" i="16"/>
  <c r="F173" i="16" s="1"/>
  <c r="F194" i="16" s="1"/>
  <c r="F168" i="16"/>
  <c r="F189" i="16" s="1"/>
  <c r="F167" i="16"/>
  <c r="F166" i="16"/>
  <c r="F162" i="16"/>
  <c r="F174" i="16" s="1"/>
  <c r="F150" i="16"/>
  <c r="F153" i="16" s="1"/>
  <c r="F149" i="16"/>
  <c r="F152" i="16" s="1"/>
  <c r="F141" i="16"/>
  <c r="F140" i="16"/>
  <c r="F143" i="16" s="1"/>
  <c r="F136" i="16"/>
  <c r="F145" i="16" s="1"/>
  <c r="F135" i="16"/>
  <c r="F123" i="16"/>
  <c r="F126" i="16" s="1"/>
  <c r="F122" i="16"/>
  <c r="F114" i="16"/>
  <c r="F113" i="16"/>
  <c r="F108" i="16"/>
  <c r="F96" i="16"/>
  <c r="F95" i="16"/>
  <c r="F87" i="16"/>
  <c r="F90" i="16" s="1"/>
  <c r="F86" i="16"/>
  <c r="F89" i="16" s="1"/>
  <c r="F84" i="16"/>
  <c r="F81" i="16"/>
  <c r="F91" i="16" s="1"/>
  <c r="F80" i="16"/>
  <c r="G227" i="16"/>
  <c r="G226" i="16"/>
  <c r="G225" i="16"/>
  <c r="G224" i="16"/>
  <c r="G223" i="16"/>
  <c r="G212" i="16"/>
  <c r="G211" i="16"/>
  <c r="G214" i="16" s="1"/>
  <c r="G203" i="16"/>
  <c r="G206" i="16" s="1"/>
  <c r="G202" i="16"/>
  <c r="G197" i="16"/>
  <c r="G196" i="16"/>
  <c r="G180" i="16"/>
  <c r="G179" i="16"/>
  <c r="G178" i="16"/>
  <c r="G169" i="16"/>
  <c r="G190" i="16" s="1"/>
  <c r="G168" i="16"/>
  <c r="G172" i="16" s="1"/>
  <c r="G193" i="16" s="1"/>
  <c r="G167" i="16"/>
  <c r="G166" i="16"/>
  <c r="G162" i="16"/>
  <c r="G174" i="16" s="1"/>
  <c r="G150" i="16"/>
  <c r="G149" i="16"/>
  <c r="G152" i="16" s="1"/>
  <c r="G141" i="16"/>
  <c r="G144" i="16" s="1"/>
  <c r="G140" i="16"/>
  <c r="G146" i="16" s="1"/>
  <c r="G136" i="16"/>
  <c r="G145" i="16" s="1"/>
  <c r="G135" i="16"/>
  <c r="G123" i="16"/>
  <c r="G126" i="16" s="1"/>
  <c r="G122" i="16"/>
  <c r="G114" i="16"/>
  <c r="G113" i="16"/>
  <c r="G108" i="16"/>
  <c r="G96" i="16"/>
  <c r="G95" i="16"/>
  <c r="G87" i="16"/>
  <c r="G90" i="16" s="1"/>
  <c r="G86" i="16"/>
  <c r="G92" i="16" s="1"/>
  <c r="G84" i="16"/>
  <c r="G81" i="16"/>
  <c r="G91" i="16" s="1"/>
  <c r="G80" i="16"/>
  <c r="F137" i="16" l="1"/>
  <c r="F138" i="16" s="1"/>
  <c r="F119" i="16"/>
  <c r="F172" i="16"/>
  <c r="F193" i="16" s="1"/>
  <c r="G102" i="16"/>
  <c r="G157" i="16"/>
  <c r="F175" i="16"/>
  <c r="G103" i="16"/>
  <c r="F129" i="16"/>
  <c r="F144" i="16"/>
  <c r="F160" i="16" s="1"/>
  <c r="F92" i="16"/>
  <c r="G109" i="16"/>
  <c r="G110" i="16" s="1"/>
  <c r="F102" i="16"/>
  <c r="F198" i="16"/>
  <c r="F199" i="16" s="1"/>
  <c r="G188" i="16"/>
  <c r="F82" i="16"/>
  <c r="F83" i="16" s="1"/>
  <c r="F109" i="16"/>
  <c r="F110" i="16" s="1"/>
  <c r="F146" i="16"/>
  <c r="F222" i="16"/>
  <c r="G221" i="16"/>
  <c r="G82" i="16"/>
  <c r="G83" i="16" s="1"/>
  <c r="F103" i="16"/>
  <c r="G207" i="16"/>
  <c r="F159" i="16"/>
  <c r="G119" i="16"/>
  <c r="G137" i="16"/>
  <c r="G138" i="16" s="1"/>
  <c r="G156" i="16"/>
  <c r="G208" i="16"/>
  <c r="G130" i="16"/>
  <c r="G189" i="16"/>
  <c r="F156" i="16"/>
  <c r="F188" i="16"/>
  <c r="G89" i="16"/>
  <c r="G118" i="16"/>
  <c r="G219" i="16"/>
  <c r="F130" i="16"/>
  <c r="F157" i="16"/>
  <c r="G129" i="16"/>
  <c r="G143" i="16"/>
  <c r="G159" i="16" s="1"/>
  <c r="G175" i="16"/>
  <c r="F118" i="16"/>
  <c r="F190" i="16"/>
  <c r="F218" i="16"/>
  <c r="F98" i="16"/>
  <c r="F105" i="16" s="1"/>
  <c r="F171" i="16"/>
  <c r="F192" i="16" s="1"/>
  <c r="F99" i="16"/>
  <c r="F106" i="16" s="1"/>
  <c r="F205" i="16"/>
  <c r="F125" i="16"/>
  <c r="F163" i="16"/>
  <c r="F164" i="16" s="1"/>
  <c r="F207" i="16"/>
  <c r="F221" i="16"/>
  <c r="F116" i="16"/>
  <c r="F208" i="16"/>
  <c r="F117" i="16"/>
  <c r="F133" i="16" s="1"/>
  <c r="G98" i="16"/>
  <c r="G171" i="16"/>
  <c r="G192" i="16" s="1"/>
  <c r="G198" i="16"/>
  <c r="G199" i="16" s="1"/>
  <c r="G99" i="16"/>
  <c r="G106" i="16" s="1"/>
  <c r="G125" i="16"/>
  <c r="G163" i="16"/>
  <c r="G164" i="16" s="1"/>
  <c r="G173" i="16"/>
  <c r="G194" i="16" s="1"/>
  <c r="G116" i="16"/>
  <c r="G215" i="16"/>
  <c r="G222" i="16" s="1"/>
  <c r="G117" i="16"/>
  <c r="G133" i="16" s="1"/>
  <c r="G153" i="16"/>
  <c r="G160" i="16" s="1"/>
  <c r="G205" i="16"/>
  <c r="G218" i="16"/>
  <c r="G105" i="16" l="1"/>
  <c r="F132" i="16"/>
  <c r="F54" i="16"/>
  <c r="G132" i="16"/>
  <c r="F25" i="19" l="1"/>
  <c r="F24" i="19"/>
  <c r="F23" i="19"/>
  <c r="F22" i="19"/>
  <c r="F17" i="19"/>
  <c r="G17" i="19"/>
  <c r="D44" i="17"/>
  <c r="D41" i="17"/>
  <c r="D40" i="17"/>
  <c r="K10" i="18"/>
  <c r="H2" i="27" l="1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E14" i="27"/>
  <c r="E13" i="27"/>
  <c r="H13" i="27" s="1"/>
  <c r="E12" i="27"/>
  <c r="H12" i="27" s="1"/>
  <c r="C10" i="27"/>
  <c r="C9" i="27"/>
  <c r="H7" i="27"/>
  <c r="E7" i="27"/>
  <c r="C11" i="27"/>
  <c r="H13" i="26"/>
  <c r="E12" i="26"/>
  <c r="H12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6" l="1"/>
  <c r="H15" i="26" s="1"/>
  <c r="I15" i="26" s="1"/>
  <c r="H10" i="28"/>
  <c r="D8" i="18" l="1"/>
  <c r="F40" i="31"/>
  <c r="F39" i="31"/>
  <c r="G40" i="31" l="1"/>
  <c r="F55" i="31"/>
  <c r="G55" i="31" s="1"/>
  <c r="F38" i="31"/>
  <c r="G38" i="31" s="1"/>
  <c r="G39" i="31"/>
  <c r="F56" i="31" l="1"/>
  <c r="G56" i="31" s="1"/>
  <c r="T55" i="16" l="1"/>
  <c r="T14" i="16"/>
  <c r="I40" i="32" l="1"/>
  <c r="T249" i="16"/>
  <c r="I27" i="32"/>
  <c r="K27" i="32" s="1"/>
  <c r="T236" i="16"/>
  <c r="G11" i="33"/>
  <c r="F45" i="31"/>
  <c r="G45" i="31" s="1"/>
  <c r="F44" i="31"/>
  <c r="G44" i="31" s="1"/>
  <c r="G9" i="31"/>
  <c r="J40" i="32" l="1"/>
  <c r="K40" i="32"/>
  <c r="I12" i="32"/>
  <c r="T229" i="16"/>
  <c r="G16" i="33"/>
  <c r="H18" i="33"/>
  <c r="G21" i="33"/>
  <c r="G37" i="33" s="1"/>
  <c r="T259" i="16"/>
  <c r="H23" i="33"/>
  <c r="G15" i="33"/>
  <c r="T258" i="16"/>
  <c r="T246" i="16"/>
  <c r="I31" i="32"/>
  <c r="K31" i="32" s="1"/>
  <c r="T262" i="16"/>
  <c r="F60" i="31"/>
  <c r="G10" i="33"/>
  <c r="H10" i="33" s="1"/>
  <c r="T239" i="16"/>
  <c r="T243" i="16"/>
  <c r="F23" i="31"/>
  <c r="G23" i="31" s="1"/>
  <c r="H7" i="33"/>
  <c r="F64" i="31"/>
  <c r="G12" i="33"/>
  <c r="G19" i="31"/>
  <c r="F26" i="31"/>
  <c r="T261" i="16"/>
  <c r="T247" i="16"/>
  <c r="T238" i="16"/>
  <c r="T255" i="16"/>
  <c r="T256" i="16"/>
  <c r="T245" i="16"/>
  <c r="K35" i="17"/>
  <c r="F68" i="31"/>
  <c r="G68" i="31" s="1"/>
  <c r="F25" i="31" l="1"/>
  <c r="G26" i="31"/>
  <c r="M30" i="32"/>
  <c r="I28" i="32"/>
  <c r="K28" i="32" s="1"/>
  <c r="D35" i="17"/>
  <c r="T74" i="16"/>
  <c r="T230" i="16"/>
  <c r="T78" i="16"/>
  <c r="J21" i="32"/>
  <c r="G60" i="31"/>
  <c r="J17" i="32"/>
  <c r="G25" i="31"/>
  <c r="F49" i="31"/>
  <c r="G49" i="31" s="1"/>
  <c r="H12" i="33"/>
  <c r="G64" i="31"/>
  <c r="J22" i="32"/>
  <c r="H5" i="28"/>
  <c r="H12" i="28" s="1"/>
  <c r="H13" i="28" s="1"/>
  <c r="K13" i="18" s="1"/>
  <c r="H21" i="33"/>
  <c r="F69" i="31"/>
  <c r="G69" i="31" s="1"/>
  <c r="F50" i="31" l="1"/>
  <c r="G50" i="31" s="1"/>
  <c r="H15" i="33"/>
  <c r="J30" i="32"/>
  <c r="J31" i="32"/>
  <c r="H17" i="33"/>
  <c r="H22" i="33"/>
  <c r="K23" i="17"/>
  <c r="J23" i="32" l="1"/>
  <c r="F13" i="31"/>
  <c r="F62" i="31"/>
  <c r="G62" i="31" s="1"/>
  <c r="T240" i="16" l="1"/>
  <c r="T241" i="16" s="1"/>
  <c r="J32" i="32"/>
  <c r="F22" i="31" l="1"/>
  <c r="G22" i="31" s="1"/>
  <c r="I26" i="32"/>
  <c r="K26" i="32" s="1"/>
  <c r="I33" i="32"/>
  <c r="K33" i="32" s="1"/>
  <c r="H16" i="33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26" i="32" l="1"/>
  <c r="J33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X252" i="16" l="1"/>
  <c r="T253" i="16"/>
  <c r="D249" i="16"/>
  <c r="U248" i="16"/>
  <c r="D247" i="16"/>
  <c r="D248" i="16" s="1"/>
  <c r="AX243" i="16"/>
  <c r="U241" i="16"/>
  <c r="D236" i="16"/>
  <c r="D240" i="16" s="1"/>
  <c r="D241" i="16" s="1"/>
  <c r="U234" i="16"/>
  <c r="D234" i="16"/>
  <c r="D230" i="16" s="1"/>
  <c r="AX230" i="16"/>
  <c r="U227" i="16"/>
  <c r="H227" i="16"/>
  <c r="U226" i="16"/>
  <c r="H226" i="16"/>
  <c r="H225" i="16"/>
  <c r="H224" i="16"/>
  <c r="H223" i="16"/>
  <c r="T213" i="16"/>
  <c r="H212" i="16"/>
  <c r="H211" i="16"/>
  <c r="H203" i="16"/>
  <c r="H206" i="16" s="1"/>
  <c r="H202" i="16"/>
  <c r="H208" i="16" s="1"/>
  <c r="H200" i="16"/>
  <c r="H199" i="16"/>
  <c r="H198" i="16"/>
  <c r="H197" i="16"/>
  <c r="H196" i="16"/>
  <c r="H180" i="16"/>
  <c r="H179" i="16"/>
  <c r="H178" i="16"/>
  <c r="U172" i="16"/>
  <c r="U171" i="16"/>
  <c r="H169" i="16"/>
  <c r="H190" i="16" s="1"/>
  <c r="H168" i="16"/>
  <c r="H167" i="16"/>
  <c r="H166" i="16"/>
  <c r="H163" i="16"/>
  <c r="H162" i="16"/>
  <c r="H174" i="16" s="1"/>
  <c r="U174" i="16"/>
  <c r="C153" i="16"/>
  <c r="C152" i="16"/>
  <c r="H150" i="16"/>
  <c r="H149" i="16"/>
  <c r="H152" i="16" s="1"/>
  <c r="U149" i="16"/>
  <c r="U144" i="16"/>
  <c r="U143" i="16"/>
  <c r="H141" i="16"/>
  <c r="H144" i="16" s="1"/>
  <c r="H140" i="16"/>
  <c r="U146" i="16"/>
  <c r="GA138" i="16"/>
  <c r="H136" i="16"/>
  <c r="H145" i="16" s="1"/>
  <c r="U145" i="16"/>
  <c r="H135" i="16"/>
  <c r="H123" i="16"/>
  <c r="H122" i="16"/>
  <c r="H125" i="16" s="1"/>
  <c r="U117" i="16"/>
  <c r="U116" i="16"/>
  <c r="H114" i="16"/>
  <c r="H117" i="16" s="1"/>
  <c r="H113" i="16"/>
  <c r="H116" i="16" s="1"/>
  <c r="H111" i="16"/>
  <c r="H110" i="16"/>
  <c r="H109" i="16"/>
  <c r="H108" i="16"/>
  <c r="H118" i="16" s="1"/>
  <c r="U118" i="16"/>
  <c r="H96" i="16"/>
  <c r="H99" i="16" s="1"/>
  <c r="U96" i="16"/>
  <c r="U103" i="16" s="1"/>
  <c r="H95" i="16"/>
  <c r="H98" i="16" s="1"/>
  <c r="U92" i="16"/>
  <c r="U90" i="16"/>
  <c r="U89" i="16"/>
  <c r="H87" i="16"/>
  <c r="H90" i="16" s="1"/>
  <c r="H86" i="16"/>
  <c r="H89" i="16" s="1"/>
  <c r="H84" i="16"/>
  <c r="FX83" i="16"/>
  <c r="OZ83" i="16" s="1"/>
  <c r="FX82" i="16"/>
  <c r="OZ82" i="16" s="1"/>
  <c r="U82" i="16"/>
  <c r="H81" i="16"/>
  <c r="H80" i="16"/>
  <c r="U80" i="16"/>
  <c r="OY79" i="16"/>
  <c r="GA78" i="16"/>
  <c r="U76" i="16"/>
  <c r="FN71" i="16"/>
  <c r="OR68" i="16"/>
  <c r="OR67" i="16" s="1"/>
  <c r="FN68" i="16"/>
  <c r="OP58" i="16"/>
  <c r="OR58" i="16" s="1"/>
  <c r="U58" i="16"/>
  <c r="OR57" i="16"/>
  <c r="U57" i="16"/>
  <c r="DG52" i="16"/>
  <c r="U49" i="16"/>
  <c r="U68" i="16" s="1"/>
  <c r="R41" i="16"/>
  <c r="R40" i="16"/>
  <c r="U39" i="16"/>
  <c r="R37" i="16"/>
  <c r="T37" i="16"/>
  <c r="R36" i="16"/>
  <c r="T36" i="16"/>
  <c r="U35" i="16"/>
  <c r="D35" i="16"/>
  <c r="DI34" i="16"/>
  <c r="DH34" i="16"/>
  <c r="DG34" i="16"/>
  <c r="R34" i="16"/>
  <c r="T34" i="16"/>
  <c r="PF33" i="16"/>
  <c r="DI33" i="16"/>
  <c r="DH33" i="16"/>
  <c r="DG33" i="16"/>
  <c r="R32" i="16"/>
  <c r="T32" i="16"/>
  <c r="R31" i="16"/>
  <c r="U30" i="16"/>
  <c r="PF28" i="16"/>
  <c r="R28" i="16"/>
  <c r="AEG27" i="16"/>
  <c r="PF27" i="16"/>
  <c r="OO27" i="16"/>
  <c r="OO33" i="16" s="1"/>
  <c r="R27" i="16"/>
  <c r="AEG26" i="16"/>
  <c r="U26" i="16"/>
  <c r="AEG20" i="16"/>
  <c r="AER20" i="16" s="1"/>
  <c r="PF20" i="16"/>
  <c r="R20" i="16"/>
  <c r="AEG19" i="16"/>
  <c r="AER19" i="16" s="1"/>
  <c r="R19" i="16"/>
  <c r="AGV17" i="16"/>
  <c r="OR17" i="16"/>
  <c r="R17" i="16"/>
  <c r="AGV16" i="16"/>
  <c r="AGV19" i="16" s="1"/>
  <c r="OR16" i="16"/>
  <c r="OR15" i="16" s="1"/>
  <c r="OS17" i="16" s="1"/>
  <c r="DI16" i="16"/>
  <c r="DH16" i="16"/>
  <c r="DG16" i="16"/>
  <c r="R16" i="16"/>
  <c r="R15" i="16"/>
  <c r="R13" i="16"/>
  <c r="AX13" i="16"/>
  <c r="R12" i="16"/>
  <c r="AEE11" i="16"/>
  <c r="AEE27" i="16" s="1"/>
  <c r="R11" i="16"/>
  <c r="R9" i="16"/>
  <c r="R8" i="16"/>
  <c r="T8" i="16" s="1"/>
  <c r="T35" i="16" l="1"/>
  <c r="T64" i="16" s="1"/>
  <c r="T59" i="16"/>
  <c r="T31" i="16"/>
  <c r="PF35" i="16"/>
  <c r="OS25" i="16" s="1"/>
  <c r="PF25" i="16" s="1"/>
  <c r="U67" i="16"/>
  <c r="AEE26" i="16"/>
  <c r="U48" i="16"/>
  <c r="V48" i="16" s="1"/>
  <c r="H188" i="16"/>
  <c r="R39" i="16"/>
  <c r="R26" i="16"/>
  <c r="U164" i="16"/>
  <c r="U196" i="16"/>
  <c r="H119" i="16"/>
  <c r="T248" i="16"/>
  <c r="R35" i="16"/>
  <c r="U84" i="16"/>
  <c r="T149" i="16"/>
  <c r="V149" i="16" s="1"/>
  <c r="U83" i="16"/>
  <c r="U81" i="16" s="1"/>
  <c r="U91" i="16" s="1"/>
  <c r="V72" i="16"/>
  <c r="T84" i="16"/>
  <c r="H164" i="16"/>
  <c r="H130" i="16"/>
  <c r="H171" i="16"/>
  <c r="H192" i="16" s="1"/>
  <c r="U138" i="16"/>
  <c r="H173" i="16"/>
  <c r="H194" i="16" s="1"/>
  <c r="T224" i="16"/>
  <c r="V224" i="16" s="1"/>
  <c r="T226" i="16"/>
  <c r="V226" i="16" s="1"/>
  <c r="R30" i="16"/>
  <c r="H103" i="16"/>
  <c r="H207" i="16"/>
  <c r="H126" i="16"/>
  <c r="T196" i="16"/>
  <c r="V196" i="16" s="1"/>
  <c r="U169" i="16"/>
  <c r="U173" i="16" s="1"/>
  <c r="H205" i="16"/>
  <c r="T80" i="16"/>
  <c r="V80" i="16" s="1"/>
  <c r="H157" i="16"/>
  <c r="T206" i="16"/>
  <c r="T223" i="16"/>
  <c r="V223" i="16" s="1"/>
  <c r="T225" i="16"/>
  <c r="V225" i="16" s="1"/>
  <c r="AGV25" i="16"/>
  <c r="AGV20" i="16"/>
  <c r="OR69" i="16"/>
  <c r="H91" i="16"/>
  <c r="T87" i="16"/>
  <c r="R10" i="16"/>
  <c r="U60" i="16"/>
  <c r="U59" i="16"/>
  <c r="U34" i="16"/>
  <c r="H105" i="16"/>
  <c r="H102" i="16"/>
  <c r="T123" i="16"/>
  <c r="OS16" i="16"/>
  <c r="H92" i="16"/>
  <c r="H82" i="16"/>
  <c r="H83" i="16" s="1"/>
  <c r="T96" i="16"/>
  <c r="T180" i="16"/>
  <c r="V180" i="16" s="1"/>
  <c r="U180" i="16"/>
  <c r="T179" i="16"/>
  <c r="U179" i="16"/>
  <c r="U188" i="16" s="1"/>
  <c r="H218" i="16"/>
  <c r="H214" i="16"/>
  <c r="H221" i="16" s="1"/>
  <c r="H106" i="16"/>
  <c r="T114" i="16"/>
  <c r="H132" i="16"/>
  <c r="T141" i="16"/>
  <c r="T144" i="16" s="1"/>
  <c r="T146" i="16"/>
  <c r="H153" i="16"/>
  <c r="T167" i="16"/>
  <c r="T171" i="16" s="1"/>
  <c r="H172" i="16"/>
  <c r="H193" i="16" s="1"/>
  <c r="V179" i="16"/>
  <c r="H189" i="16"/>
  <c r="T203" i="16"/>
  <c r="T86" i="16"/>
  <c r="T95" i="16"/>
  <c r="H146" i="16"/>
  <c r="H137" i="16"/>
  <c r="T145" i="16"/>
  <c r="T174" i="16"/>
  <c r="H175" i="16"/>
  <c r="U95" i="16"/>
  <c r="U102" i="16" s="1"/>
  <c r="U110" i="16"/>
  <c r="T118" i="16"/>
  <c r="H129" i="16"/>
  <c r="H143" i="16"/>
  <c r="H159" i="16" s="1"/>
  <c r="H156" i="16"/>
  <c r="T169" i="16"/>
  <c r="T173" i="16" s="1"/>
  <c r="H215" i="16"/>
  <c r="H219" i="16"/>
  <c r="T212" i="16"/>
  <c r="T113" i="16"/>
  <c r="T122" i="16"/>
  <c r="U123" i="16"/>
  <c r="U130" i="16" s="1"/>
  <c r="T150" i="16"/>
  <c r="V150" i="16" s="1"/>
  <c r="T168" i="16"/>
  <c r="T172" i="16" s="1"/>
  <c r="U122" i="16"/>
  <c r="U129" i="16" s="1"/>
  <c r="T140" i="16"/>
  <c r="U150" i="16"/>
  <c r="T202" i="16"/>
  <c r="T211" i="16"/>
  <c r="V169" i="16" l="1"/>
  <c r="V173" i="16" s="1"/>
  <c r="V167" i="16"/>
  <c r="V171" i="16" s="1"/>
  <c r="V168" i="16"/>
  <c r="V172" i="16" s="1"/>
  <c r="T60" i="16"/>
  <c r="T63" i="16"/>
  <c r="T30" i="16"/>
  <c r="T62" i="16" s="1"/>
  <c r="T92" i="16"/>
  <c r="V92" i="16" s="1"/>
  <c r="T53" i="16"/>
  <c r="U99" i="16"/>
  <c r="U106" i="16" s="1"/>
  <c r="AX31" i="16"/>
  <c r="U125" i="16"/>
  <c r="U132" i="16" s="1"/>
  <c r="T219" i="16"/>
  <c r="U98" i="16"/>
  <c r="U105" i="16" s="1"/>
  <c r="V31" i="16"/>
  <c r="T98" i="16"/>
  <c r="V98" i="16" s="1"/>
  <c r="T227" i="16"/>
  <c r="V227" i="16" s="1"/>
  <c r="T91" i="16"/>
  <c r="V91" i="16" s="1"/>
  <c r="OR72" i="16"/>
  <c r="U189" i="16"/>
  <c r="T164" i="16"/>
  <c r="V164" i="16" s="1"/>
  <c r="T137" i="16"/>
  <c r="T135" i="16" s="1"/>
  <c r="U137" i="16"/>
  <c r="U135" i="16" s="1"/>
  <c r="OR71" i="16"/>
  <c r="T205" i="16"/>
  <c r="V34" i="16"/>
  <c r="T138" i="16"/>
  <c r="T129" i="16"/>
  <c r="V174" i="16"/>
  <c r="T130" i="16"/>
  <c r="T83" i="16"/>
  <c r="V83" i="16" s="1"/>
  <c r="U109" i="16"/>
  <c r="U108" i="16" s="1"/>
  <c r="V35" i="16"/>
  <c r="T103" i="16"/>
  <c r="U163" i="16"/>
  <c r="U162" i="16" s="1"/>
  <c r="V36" i="16"/>
  <c r="U119" i="16"/>
  <c r="V145" i="16"/>
  <c r="V118" i="16"/>
  <c r="T119" i="16"/>
  <c r="V119" i="16" s="1"/>
  <c r="T208" i="16"/>
  <c r="H133" i="16"/>
  <c r="T207" i="16"/>
  <c r="T175" i="16"/>
  <c r="V175" i="16" s="1"/>
  <c r="V96" i="16"/>
  <c r="U126" i="16"/>
  <c r="U133" i="16" s="1"/>
  <c r="T125" i="16"/>
  <c r="V125" i="16" s="1"/>
  <c r="U152" i="16"/>
  <c r="T218" i="16"/>
  <c r="V123" i="16"/>
  <c r="T153" i="16"/>
  <c r="T160" i="16" s="1"/>
  <c r="H222" i="16"/>
  <c r="T215" i="16"/>
  <c r="T222" i="16" s="1"/>
  <c r="V141" i="16"/>
  <c r="V144" i="16" s="1"/>
  <c r="V122" i="16"/>
  <c r="H138" i="16"/>
  <c r="T188" i="16"/>
  <c r="T126" i="16"/>
  <c r="V126" i="16" s="1"/>
  <c r="V52" i="16"/>
  <c r="V87" i="16"/>
  <c r="T90" i="16"/>
  <c r="V90" i="16" s="1"/>
  <c r="T143" i="16"/>
  <c r="V140" i="16"/>
  <c r="V143" i="16" s="1"/>
  <c r="T214" i="16"/>
  <c r="T221" i="16" s="1"/>
  <c r="U153" i="16"/>
  <c r="T152" i="16"/>
  <c r="V152" i="16" s="1"/>
  <c r="V146" i="16"/>
  <c r="T110" i="16"/>
  <c r="T185" i="16"/>
  <c r="V185" i="16" s="1"/>
  <c r="H160" i="16"/>
  <c r="V114" i="16"/>
  <c r="V117" i="16" s="1"/>
  <c r="T117" i="16"/>
  <c r="T183" i="16"/>
  <c r="T192" i="16" s="1"/>
  <c r="U183" i="16"/>
  <c r="U192" i="16" s="1"/>
  <c r="T184" i="16"/>
  <c r="T193" i="16" s="1"/>
  <c r="U184" i="16"/>
  <c r="U193" i="16" s="1"/>
  <c r="T189" i="16"/>
  <c r="V113" i="16"/>
  <c r="V116" i="16" s="1"/>
  <c r="V132" i="16" s="1"/>
  <c r="T116" i="16"/>
  <c r="T157" i="16"/>
  <c r="T163" i="16"/>
  <c r="U198" i="16"/>
  <c r="U199" i="16"/>
  <c r="U185" i="16"/>
  <c r="U175" i="16"/>
  <c r="T102" i="16"/>
  <c r="V95" i="16"/>
  <c r="V86" i="16"/>
  <c r="T89" i="16"/>
  <c r="V89" i="16" s="1"/>
  <c r="T82" i="16"/>
  <c r="T198" i="16"/>
  <c r="T109" i="16"/>
  <c r="V109" i="16" s="1"/>
  <c r="T156" i="16"/>
  <c r="T99" i="16"/>
  <c r="V32" i="16"/>
  <c r="AX32" i="16"/>
  <c r="V27" i="16"/>
  <c r="AIV16" i="16"/>
  <c r="AIW16" i="16" s="1"/>
  <c r="V37" i="16"/>
  <c r="V184" i="16" l="1"/>
  <c r="V193" i="16" s="1"/>
  <c r="T162" i="16"/>
  <c r="V188" i="16"/>
  <c r="V189" i="16"/>
  <c r="V163" i="16"/>
  <c r="V162" i="16" s="1"/>
  <c r="V133" i="16"/>
  <c r="V183" i="16"/>
  <c r="V192" i="16" s="1"/>
  <c r="T61" i="16"/>
  <c r="AX73" i="16"/>
  <c r="V30" i="16"/>
  <c r="V103" i="16"/>
  <c r="OR73" i="16"/>
  <c r="OR75" i="16" s="1"/>
  <c r="U136" i="16"/>
  <c r="V138" i="16"/>
  <c r="T159" i="16"/>
  <c r="V137" i="16"/>
  <c r="V136" i="16" s="1"/>
  <c r="T136" i="16"/>
  <c r="AX30" i="16"/>
  <c r="V102" i="16"/>
  <c r="T106" i="16"/>
  <c r="T132" i="16"/>
  <c r="T105" i="16"/>
  <c r="T81" i="16"/>
  <c r="V81" i="16" s="1"/>
  <c r="V82" i="16"/>
  <c r="U197" i="16"/>
  <c r="T133" i="16"/>
  <c r="V105" i="16"/>
  <c r="T108" i="16"/>
  <c r="V110" i="16"/>
  <c r="V108" i="16" s="1"/>
  <c r="V153" i="16"/>
  <c r="V198" i="16"/>
  <c r="V99" i="16"/>
  <c r="V106" i="16" s="1"/>
  <c r="V130" i="16"/>
  <c r="T199" i="16"/>
  <c r="T197" i="16" s="1"/>
  <c r="V129" i="16"/>
  <c r="V135" i="16" l="1"/>
  <c r="V199" i="16"/>
  <c r="V197" i="16" s="1"/>
  <c r="E37" i="3" l="1"/>
  <c r="F37" i="3" s="1"/>
  <c r="H37" i="3" s="1"/>
  <c r="J37" i="3" s="1"/>
  <c r="F2" i="20" l="1"/>
  <c r="F14" i="20" s="1"/>
  <c r="C2" i="20"/>
  <c r="C18" i="20" s="1"/>
  <c r="C19" i="20" s="1"/>
  <c r="V8" i="16"/>
  <c r="M37" i="3"/>
  <c r="K37" i="3"/>
  <c r="N37" i="3" s="1"/>
  <c r="F35" i="17" l="1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V70" i="16" l="1"/>
  <c r="V243" i="16"/>
  <c r="V238" i="16" l="1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V230" i="16"/>
  <c r="V74" i="16" l="1"/>
  <c r="V28" i="16" l="1"/>
  <c r="AIV17" i="16"/>
  <c r="AIW17" i="16" s="1"/>
  <c r="T17" i="16" l="1"/>
  <c r="V17" i="16"/>
  <c r="U17" i="16"/>
  <c r="G18" i="31"/>
  <c r="V26" i="16"/>
  <c r="T16" i="16" l="1"/>
  <c r="F15" i="31"/>
  <c r="U15" i="16" l="1"/>
  <c r="V15" i="16"/>
  <c r="U16" i="16"/>
  <c r="V16" i="16"/>
  <c r="S16" i="8" l="1"/>
  <c r="V77" i="16" l="1"/>
  <c r="V78" i="16" s="1"/>
  <c r="V229" i="16" l="1"/>
  <c r="T54" i="16" l="1"/>
  <c r="V51" i="16"/>
  <c r="V49" i="16" l="1"/>
  <c r="OP15" i="16"/>
  <c r="OP17" i="16" s="1"/>
  <c r="S18" i="8"/>
  <c r="R21" i="8"/>
  <c r="OP20" i="16" l="1"/>
  <c r="OP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U258" i="16" l="1"/>
  <c r="D10" i="18"/>
  <c r="F10" i="18" s="1"/>
  <c r="D13" i="18"/>
  <c r="F13" i="18" s="1"/>
  <c r="J13" i="18" s="1"/>
  <c r="M13" i="18" s="1"/>
  <c r="U259" i="16"/>
  <c r="D11" i="18"/>
  <c r="F11" i="18" s="1"/>
  <c r="V239" i="16"/>
  <c r="V247" i="16"/>
  <c r="V249" i="16"/>
  <c r="V236" i="16"/>
  <c r="U262" i="16"/>
  <c r="U261" i="16"/>
  <c r="U256" i="16"/>
  <c r="F8" i="18"/>
  <c r="J8" i="18" s="1"/>
  <c r="U255" i="16" l="1"/>
  <c r="J11" i="18"/>
  <c r="M11" i="18"/>
  <c r="N13" i="18"/>
  <c r="O13" i="18"/>
  <c r="M10" i="18"/>
  <c r="J10" i="18"/>
  <c r="V245" i="16"/>
  <c r="AFR245" i="16"/>
  <c r="V248" i="16"/>
  <c r="U50" i="16"/>
  <c r="V50" i="16"/>
  <c r="AFR246" i="16"/>
  <c r="V246" i="16"/>
  <c r="V253" i="16"/>
  <c r="V252" i="16"/>
  <c r="N10" i="18" l="1"/>
  <c r="O10" i="18"/>
  <c r="O11" i="18"/>
  <c r="N11" i="18"/>
  <c r="V240" i="16"/>
  <c r="V241" i="16"/>
  <c r="E22" i="3" l="1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E34" i="3"/>
  <c r="F34" i="3" s="1"/>
  <c r="H34" i="3" s="1"/>
  <c r="J34" i="3" s="1"/>
  <c r="E35" i="3"/>
  <c r="F35" i="3" s="1"/>
  <c r="H35" i="3" s="1"/>
  <c r="J35" i="3" s="1"/>
  <c r="E36" i="3"/>
  <c r="F36" i="3" s="1"/>
  <c r="H36" i="3" s="1"/>
  <c r="J36" i="3" s="1"/>
  <c r="K24" i="3" l="1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C47" i="3" l="1"/>
  <c r="L38" i="3"/>
  <c r="I38" i="3"/>
  <c r="C49" i="3" s="1"/>
  <c r="E21" i="3"/>
  <c r="F21" i="3" s="1"/>
  <c r="H21" i="3" s="1"/>
  <c r="J21" i="3" s="1"/>
  <c r="E20" i="3"/>
  <c r="H20" i="3" s="1"/>
  <c r="J20" i="3" s="1"/>
  <c r="H19" i="3"/>
  <c r="J19" i="3" s="1"/>
  <c r="E17" i="3"/>
  <c r="F17" i="3" s="1"/>
  <c r="H17" i="3" s="1"/>
  <c r="E16" i="3"/>
  <c r="F16" i="3" s="1"/>
  <c r="H16" i="3" s="1"/>
  <c r="E15" i="3"/>
  <c r="F15" i="3" s="1"/>
  <c r="H15" i="3" s="1"/>
  <c r="F14" i="3"/>
  <c r="H14" i="3" s="1"/>
  <c r="E13" i="3"/>
  <c r="F13" i="3" s="1"/>
  <c r="H13" i="3" s="1"/>
  <c r="E12" i="3"/>
  <c r="F12" i="3" s="1"/>
  <c r="H12" i="3" s="1"/>
  <c r="E11" i="3"/>
  <c r="F11" i="3" s="1"/>
  <c r="H11" i="3" s="1"/>
  <c r="E10" i="3"/>
  <c r="F10" i="3" s="1"/>
  <c r="H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15" i="3" s="1"/>
  <c r="M9" i="3"/>
  <c r="K9" i="3"/>
  <c r="N9" i="3" s="1"/>
  <c r="M16" i="3"/>
  <c r="K16" i="3"/>
  <c r="N16" i="3" s="1"/>
  <c r="K21" i="3"/>
  <c r="N21" i="3" s="1"/>
  <c r="M21" i="3"/>
  <c r="M10" i="3"/>
  <c r="N10" i="3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M20" i="3"/>
  <c r="K20" i="3"/>
  <c r="N20" i="3" s="1"/>
  <c r="C39" i="3"/>
  <c r="E39" i="3"/>
  <c r="T232" i="16" l="1"/>
  <c r="G45" i="3"/>
  <c r="C44" i="3"/>
  <c r="C46" i="3" s="1"/>
  <c r="C48" i="3" s="1"/>
  <c r="C50" i="3" s="1"/>
  <c r="F44" i="3"/>
  <c r="F46" i="3" s="1"/>
  <c r="H39" i="3"/>
  <c r="H41" i="3" s="1"/>
  <c r="H38" i="3"/>
  <c r="K234" i="16" l="1"/>
  <c r="K15" i="32"/>
  <c r="T233" i="16"/>
  <c r="T234" i="16" s="1"/>
  <c r="H14" i="33"/>
  <c r="V232" i="16"/>
  <c r="J39" i="3"/>
  <c r="J41" i="3" s="1"/>
  <c r="J38" i="3"/>
  <c r="M38" i="3"/>
  <c r="H234" i="16" l="1"/>
  <c r="K16" i="32"/>
  <c r="K17" i="32" s="1"/>
  <c r="J16" i="32"/>
  <c r="K38" i="3"/>
  <c r="N38" i="3"/>
  <c r="V233" i="16" l="1"/>
  <c r="V234" i="16"/>
  <c r="D8" i="17" l="1"/>
  <c r="D17" i="17"/>
  <c r="G6" i="33"/>
  <c r="F14" i="17"/>
  <c r="J14" i="17" s="1"/>
  <c r="M14" i="17" s="1"/>
  <c r="D20" i="17"/>
  <c r="F20" i="17" s="1"/>
  <c r="D19" i="17"/>
  <c r="F19" i="17" s="1"/>
  <c r="K71" i="16" l="1"/>
  <c r="F12" i="31"/>
  <c r="F11" i="31" s="1"/>
  <c r="G28" i="33"/>
  <c r="H28" i="33" s="1"/>
  <c r="G33" i="33"/>
  <c r="H33" i="33" s="1"/>
  <c r="G32" i="33"/>
  <c r="H32" i="33" s="1"/>
  <c r="G29" i="33"/>
  <c r="G31" i="33"/>
  <c r="H31" i="33" s="1"/>
  <c r="G34" i="33"/>
  <c r="H34" i="33" s="1"/>
  <c r="G30" i="33"/>
  <c r="H30" i="33" s="1"/>
  <c r="M19" i="17"/>
  <c r="J19" i="17"/>
  <c r="F8" i="17"/>
  <c r="FN75" i="16"/>
  <c r="F9" i="17"/>
  <c r="J9" i="17" s="1"/>
  <c r="M9" i="17" s="1"/>
  <c r="G26" i="33"/>
  <c r="H26" i="33" s="1"/>
  <c r="H38" i="33"/>
  <c r="H6" i="33"/>
  <c r="I3" i="24"/>
  <c r="I5" i="24" s="1"/>
  <c r="H15" i="24" s="1"/>
  <c r="I3" i="19"/>
  <c r="I5" i="19" s="1"/>
  <c r="H13" i="19" s="1"/>
  <c r="H36" i="33"/>
  <c r="M21" i="17"/>
  <c r="G27" i="33"/>
  <c r="H27" i="33" s="1"/>
  <c r="H39" i="33"/>
  <c r="F17" i="17"/>
  <c r="J17" i="17" s="1"/>
  <c r="H37" i="33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F67" i="31"/>
  <c r="G67" i="31" s="1"/>
  <c r="K16" i="17"/>
  <c r="F16" i="17"/>
  <c r="J16" i="17" s="1"/>
  <c r="D12" i="17"/>
  <c r="F12" i="17" s="1"/>
  <c r="J12" i="17" s="1"/>
  <c r="M12" i="17" s="1"/>
  <c r="G11" i="31" l="1"/>
  <c r="F48" i="3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J8" i="17"/>
  <c r="M8" i="17" s="1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M8" i="18" s="1"/>
  <c r="H29" i="33"/>
  <c r="H13" i="33"/>
  <c r="O8" i="17" l="1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G47" i="31"/>
  <c r="G48" i="31"/>
  <c r="N17" i="17"/>
  <c r="O17" i="17"/>
  <c r="M48" i="17"/>
  <c r="G11" i="19" s="1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14" i="19" l="1"/>
  <c r="K21" i="21"/>
  <c r="J21" i="21"/>
  <c r="J20" i="21"/>
  <c r="K20" i="21"/>
  <c r="I25" i="21"/>
  <c r="G18" i="19"/>
  <c r="K26" i="19"/>
  <c r="K25" i="21" l="1"/>
  <c r="H18" i="19"/>
  <c r="H20" i="19" s="1"/>
  <c r="H28" i="19" s="1"/>
  <c r="G20" i="19"/>
  <c r="G28" i="19" s="1"/>
  <c r="I18" i="19"/>
  <c r="I20" i="19" s="1"/>
  <c r="I28" i="19" s="1"/>
  <c r="J25" i="21"/>
  <c r="G11" i="16" l="1"/>
  <c r="Z15" i="16" s="1"/>
  <c r="T11" i="16" l="1"/>
  <c r="G12" i="16"/>
  <c r="T12" i="16" s="1"/>
  <c r="G75" i="16"/>
  <c r="Y14" i="16" l="1"/>
  <c r="X8" i="16"/>
  <c r="X11" i="16"/>
  <c r="T71" i="16"/>
  <c r="AX71" i="16" s="1"/>
  <c r="OO15" i="16"/>
  <c r="OO17" i="16" s="1"/>
  <c r="AIV8" i="16"/>
  <c r="AIW8" i="16" s="1"/>
  <c r="T75" i="16"/>
  <c r="AX75" i="16" s="1"/>
  <c r="AX11" i="16"/>
  <c r="V11" i="16"/>
  <c r="V75" i="16" s="1"/>
  <c r="X9" i="16" l="1"/>
  <c r="Y8" i="16"/>
  <c r="Y9" i="16" s="1"/>
  <c r="Z9" i="16" s="1"/>
  <c r="OO18" i="16"/>
  <c r="OO20" i="16"/>
  <c r="G20" i="16" l="1"/>
  <c r="T20" i="16" s="1"/>
  <c r="V20" i="16" l="1"/>
  <c r="AIV11" i="16"/>
  <c r="AIW11" i="16" s="1"/>
  <c r="T58" i="16"/>
  <c r="G58" i="16"/>
  <c r="G41" i="16"/>
  <c r="T41" i="16" s="1"/>
  <c r="G23" i="16"/>
  <c r="T23" i="16" s="1"/>
  <c r="X23" i="16" s="1"/>
  <c r="G19" i="16"/>
  <c r="T19" i="16" s="1"/>
  <c r="T57" i="16" s="1"/>
  <c r="V19" i="16" l="1"/>
  <c r="T76" i="16"/>
  <c r="V76" i="16" s="1"/>
  <c r="V41" i="16"/>
  <c r="G57" i="16" l="1"/>
  <c r="G65" i="16" l="1"/>
  <c r="G40" i="16"/>
  <c r="T40" i="16" s="1"/>
  <c r="T39" i="16" s="1"/>
  <c r="G39" i="16" l="1"/>
  <c r="T65" i="16" l="1"/>
  <c r="V40" i="16"/>
  <c r="AX20" i="16" l="1"/>
  <c r="AX19" i="16" s="1"/>
  <c r="V39" i="16"/>
  <c r="T66" i="16"/>
  <c r="G66" i="16" l="1"/>
  <c r="T24" i="16" l="1"/>
  <c r="G71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9" authorId="0" shapeId="0" xr:uid="{5B0FEC4B-E752-4EF2-9B78-84E4973429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hpb vlave gas trouble </t>
        </r>
      </text>
    </comment>
    <comment ref="X20" authorId="0" shapeId="0" xr:uid="{36C565C8-8082-4815-B943-F6F8734C94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blowing jalur
</t>
        </r>
      </text>
    </comment>
    <comment ref="X27" authorId="0" shapeId="0" xr:uid="{A9EB154C-B9E9-44D1-9388-1642006A7A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stok tk 132 oip ref </t>
        </r>
      </text>
    </comment>
    <comment ref="X33" authorId="0" shapeId="0" xr:uid="{7EDCC6B9-3768-417B-9AAE-E4F8180389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blowing
</t>
        </r>
      </text>
    </comment>
    <comment ref="X34" authorId="0" shapeId="0" xr:uid="{238445D3-CF73-4D62-BD53-298C389779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blowing jalur 
</t>
        </r>
      </text>
    </comment>
    <comment ref="N279" authorId="0" shapeId="0" xr:uid="{0E82F701-C174-49B1-B35E-11C434FAA3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
</t>
        </r>
      </text>
    </comment>
    <comment ref="O279" authorId="0" shapeId="0" xr:uid="{8F1C66D9-6702-402D-AE74-B8B9005EF8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<sst xmlns="http://schemas.openxmlformats.org/spreadsheetml/2006/main" count="3983" uniqueCount="1168">
  <si>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</si>
  <si>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</si>
  <si>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</si>
  <si>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</si>
  <si>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</si>
  <si>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</si>
  <si>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</si>
  <si>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</si>
  <si>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</si>
  <si>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</si>
  <si>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</si>
  <si>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</si>
  <si>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</si>
  <si>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</si>
  <si>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</si>
  <si>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</si>
  <si>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</si>
  <si>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</si>
  <si>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</si>
  <si>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</si>
  <si>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</si>
  <si>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</si>
  <si>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</si>
  <si>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</si>
  <si>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</si>
  <si>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</si>
  <si>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</si>
  <si>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</si>
  <si>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</si>
  <si>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</si>
  <si>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</si>
  <si>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</si>
  <si>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</si>
  <si>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</si>
  <si>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</si>
  <si>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</si>
  <si>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</si>
  <si>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</si>
  <si>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</si>
  <si>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</si>
  <si>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</si>
  <si>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</si>
  <si>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</si>
  <si>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</si>
  <si>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</si>
  <si>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</si>
  <si>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</si>
  <si>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</si>
  <si>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</si>
  <si>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</si>
  <si>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</si>
  <si>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</si>
  <si>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</si>
  <si>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</si>
  <si>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</si>
  <si>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</si>
  <si>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</si>
  <si>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</si>
  <si>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</si>
  <si>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</si>
  <si>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</si>
  <si>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</si>
  <si>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</si>
  <si>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</si>
  <si>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</si>
  <si>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</si>
  <si>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</si>
  <si>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</si>
  <si>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</si>
  <si>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</si>
  <si>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</si>
  <si>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</si>
  <si>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</si>
  <si>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</si>
  <si>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</si>
  <si>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</si>
  <si>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</si>
  <si>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</si>
  <si>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</si>
  <si>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</si>
  <si>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</si>
  <si>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</si>
  <si>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</si>
  <si>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</si>
  <si>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</si>
  <si>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</si>
  <si>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</si>
  <si>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</si>
  <si>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</si>
  <si>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</si>
  <si>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</si>
  <si>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</si>
  <si>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</si>
  <si>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</si>
  <si>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</si>
  <si>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</si>
  <si>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</si>
  <si>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</si>
  <si>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</si>
  <si>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</si>
  <si>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</si>
  <si>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</si>
  <si>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</si>
  <si>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</si>
  <si>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</si>
  <si>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</si>
  <si>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</si>
  <si>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</si>
  <si>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</si>
  <si>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</si>
  <si>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</si>
  <si>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</si>
  <si>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</si>
  <si>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</si>
  <si>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</si>
  <si>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</si>
  <si>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</si>
  <si>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</si>
  <si>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</si>
  <si>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</si>
  <si>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</si>
  <si>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</si>
  <si>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</si>
  <si>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</si>
  <si>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</si>
  <si>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</si>
  <si>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</si>
  <si>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</si>
  <si>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</si>
  <si>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</si>
  <si>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</si>
  <si>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</si>
  <si>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</si>
  <si>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</si>
  <si>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</si>
  <si>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</si>
  <si>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</si>
  <si>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</si>
  <si>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</si>
  <si>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</si>
  <si>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</si>
  <si>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</si>
  <si>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</si>
  <si>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</si>
  <si>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</si>
  <si>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</si>
  <si>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</si>
  <si>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</si>
  <si>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</si>
  <si>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</si>
  <si>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</si>
  <si>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</si>
  <si>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</si>
  <si>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</si>
  <si>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</si>
  <si>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</si>
  <si>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</si>
  <si>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</si>
  <si>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</si>
  <si>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</si>
  <si>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</si>
  <si>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</si>
  <si>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</si>
  <si>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</si>
  <si>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</si>
  <si>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</si>
  <si>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</si>
  <si>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</si>
  <si>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</si>
  <si>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</si>
  <si>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</si>
  <si>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</si>
  <si>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</si>
  <si>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</si>
  <si>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</si>
  <si>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</si>
  <si>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</si>
  <si>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</si>
  <si>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</si>
  <si>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</si>
  <si>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</si>
  <si>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</si>
  <si>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</si>
  <si>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</si>
  <si>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</si>
  <si>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</si>
  <si>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</si>
  <si>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</si>
  <si>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</si>
  <si>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</si>
  <si>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</si>
  <si>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</si>
  <si>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</si>
  <si>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</si>
  <si>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</si>
  <si>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</si>
  <si>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</si>
  <si>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</si>
  <si>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</si>
  <si>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</si>
  <si>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</si>
  <si>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</si>
  <si>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</si>
  <si>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</si>
  <si>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</si>
  <si>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</si>
  <si>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</si>
  <si>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</si>
  <si>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</si>
  <si>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</si>
  <si>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</si>
  <si>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</si>
  <si>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</si>
  <si>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</si>
  <si>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</si>
  <si>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</si>
  <si>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</si>
  <si>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</si>
  <si>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</si>
  <si>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</si>
  <si>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</si>
  <si>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</si>
  <si>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</si>
  <si>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</si>
  <si>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</si>
  <si>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</si>
  <si>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</si>
  <si>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</si>
  <si>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</si>
  <si>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</si>
  <si>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</si>
  <si>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</si>
  <si>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</si>
  <si>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</si>
  <si>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</si>
  <si>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</si>
  <si>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</si>
  <si>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</si>
  <si>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</si>
  <si>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</si>
  <si>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</si>
  <si>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</si>
  <si>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</si>
  <si>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</si>
  <si>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</si>
  <si>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</si>
  <si>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</si>
  <si>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</si>
  <si>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</si>
  <si>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</si>
  <si>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</si>
  <si>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</si>
  <si>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</si>
  <si>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</si>
  <si>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</si>
  <si>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</si>
  <si>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</si>
  <si>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</si>
  <si>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</si>
  <si>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</si>
  <si>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</si>
  <si>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</si>
  <si>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</si>
  <si>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</si>
  <si>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</si>
  <si>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</si>
  <si>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</si>
  <si>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</si>
  <si>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</si>
  <si>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</si>
  <si>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</si>
  <si>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</si>
  <si>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</si>
  <si>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</si>
  <si>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</si>
  <si>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</si>
  <si>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</si>
  <si>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</si>
  <si>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</si>
  <si>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</si>
  <si>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</si>
  <si>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</si>
  <si>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</si>
  <si>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</si>
  <si>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</si>
  <si>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</si>
  <si>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</si>
  <si>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</si>
  <si>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</si>
  <si>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</si>
  <si>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</si>
  <si>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</si>
  <si>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</si>
  <si>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</si>
  <si>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</si>
  <si>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</si>
  <si>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</si>
  <si>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</si>
  <si>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</si>
  <si>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</si>
  <si>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</si>
  <si>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</si>
  <si>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</si>
  <si>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</si>
  <si>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</si>
  <si>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</si>
  <si>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</si>
  <si>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</si>
  <si>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</si>
  <si>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</si>
  <si>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</si>
  <si>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</si>
  <si>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</si>
  <si>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</si>
  <si>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</si>
  <si>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</si>
  <si>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</si>
  <si>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</si>
  <si>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</si>
  <si>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</si>
  <si>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</si>
  <si>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</si>
  <si>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</si>
  <si>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</si>
  <si>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</si>
  <si>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</si>
  <si>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</si>
  <si>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</si>
  <si>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</si>
  <si>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</si>
  <si>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</si>
  <si>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</si>
  <si>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</si>
  <si>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</si>
  <si>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</si>
  <si>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</si>
  <si>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</si>
  <si>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</si>
  <si>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</si>
  <si>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</si>
  <si>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</si>
  <si>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</si>
  <si>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</si>
  <si>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</si>
  <si>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</si>
  <si>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</si>
  <si>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</si>
  <si>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</si>
  <si>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</si>
  <si>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</si>
  <si>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</si>
  <si>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</si>
  <si>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</si>
  <si>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</si>
  <si>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</si>
  <si>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</si>
  <si>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</si>
  <si>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</si>
  <si>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</si>
  <si>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</si>
  <si>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</si>
  <si>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</si>
  <si>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</si>
  <si>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</si>
  <si>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</si>
  <si>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</si>
  <si>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</si>
  <si>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</si>
  <si>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</si>
  <si>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</si>
  <si>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</si>
  <si>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</si>
  <si>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</si>
  <si>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</si>
  <si>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</si>
  <si>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</si>
  <si>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</si>
  <si>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</si>
  <si>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</si>
  <si>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</si>
  <si>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</si>
  <si>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</si>
  <si>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</si>
  <si>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</si>
  <si>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</si>
  <si>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</si>
  <si>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</si>
  <si>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</si>
  <si>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</si>
  <si>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</si>
  <si>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</si>
  <si>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</si>
  <si>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</si>
  <si>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</si>
  <si>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</si>
  <si>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</si>
  <si>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</si>
  <si>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</si>
  <si>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</si>
  <si>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</si>
  <si>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</si>
  <si>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</si>
  <si>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</si>
  <si>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</si>
  <si>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</si>
  <si>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</si>
  <si>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</si>
  <si>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</si>
  <si>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</si>
  <si>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</si>
  <si>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</si>
  <si>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</si>
  <si>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</si>
  <si>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</si>
  <si>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</si>
  <si>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</si>
  <si>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</si>
  <si>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</si>
  <si>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</si>
  <si>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</si>
  <si>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</si>
  <si>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</si>
  <si>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</si>
  <si>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</si>
  <si>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</si>
  <si>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</si>
  <si>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</si>
  <si>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</si>
  <si>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</si>
  <si>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</si>
  <si>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</si>
  <si>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</si>
  <si>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</si>
  <si>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</si>
  <si>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</si>
  <si>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</si>
  <si>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</si>
  <si>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</si>
  <si>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</si>
  <si>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</si>
  <si>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</si>
  <si>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</si>
  <si>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</si>
  <si>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</si>
  <si>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</si>
  <si>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</si>
  <si>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</si>
  <si>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</si>
  <si>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</si>
  <si>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</si>
  <si>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</si>
  <si>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</si>
  <si>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</si>
  <si>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</si>
  <si>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</si>
  <si>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</si>
  <si>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</si>
  <si>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</si>
  <si>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</si>
  <si>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</si>
  <si>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</si>
  <si>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</si>
  <si>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</si>
  <si>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</si>
  <si>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</si>
  <si>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</si>
  <si>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</si>
  <si>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</si>
  <si>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</si>
  <si>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</si>
  <si>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</si>
  <si>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</si>
  <si>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</si>
  <si>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</si>
  <si>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</si>
  <si>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</si>
  <si>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</si>
  <si>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</si>
  <si>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</si>
  <si>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</si>
  <si>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</si>
  <si>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</si>
  <si>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</si>
  <si>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</si>
  <si>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</si>
  <si>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</si>
  <si>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</si>
  <si>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</si>
  <si>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</si>
  <si>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</si>
  <si>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</si>
  <si>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</si>
  <si>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</si>
  <si>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</si>
  <si>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</si>
  <si>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</si>
  <si>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</si>
  <si>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</si>
  <si>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</si>
  <si>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</si>
  <si>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</si>
  <si>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</si>
  <si>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</si>
  <si>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</si>
  <si>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</si>
  <si>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</si>
  <si>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</si>
  <si>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</si>
  <si>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</si>
  <si>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</si>
  <si>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</si>
  <si>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</si>
  <si>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</si>
  <si>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</si>
  <si>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</si>
  <si>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</si>
  <si>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</si>
  <si>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</si>
  <si>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</si>
  <si>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</si>
  <si>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</si>
  <si>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</si>
  <si>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</si>
  <si>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</si>
  <si>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</si>
  <si>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</si>
  <si>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</si>
  <si>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</si>
  <si>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</si>
  <si>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</si>
  <si>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</si>
  <si>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</si>
  <si>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</si>
  <si>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</si>
  <si>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</si>
  <si>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</si>
  <si>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</si>
  <si>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</si>
  <si>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</si>
  <si>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</si>
  <si>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</si>
  <si>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</si>
  <si>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</si>
  <si>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</si>
  <si>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</si>
  <si>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</si>
  <si>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</si>
  <si>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</si>
  <si>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</si>
  <si>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</si>
  <si>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</si>
  <si>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</si>
  <si>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</si>
  <si>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</si>
  <si>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</si>
  <si>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</si>
  <si>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</si>
  <si>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</si>
  <si>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</si>
  <si>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</si>
  <si>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</si>
  <si>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</si>
  <si>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</si>
  <si>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</si>
  <si>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</si>
  <si>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</si>
  <si>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</si>
  <si>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</si>
  <si>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</si>
  <si>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</si>
  <si>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</si>
  <si>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</si>
  <si>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</si>
  <si>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</si>
  <si>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</si>
  <si>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</si>
  <si>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</si>
  <si>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</si>
  <si>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</si>
  <si>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</si>
  <si>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</si>
  <si>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</si>
  <si>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</si>
  <si>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</si>
  <si>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</si>
  <si>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</si>
  <si>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</si>
  <si>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</si>
  <si>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</si>
  <si>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</si>
  <si>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</si>
  <si>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</si>
  <si>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</si>
  <si>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</si>
  <si>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</si>
  <si>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</si>
  <si>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</si>
  <si>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</si>
  <si>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</si>
  <si>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</si>
  <si>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</si>
  <si>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</si>
  <si>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</si>
  <si>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</si>
  <si>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</si>
  <si>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</si>
  <si>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</si>
  <si>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</si>
  <si>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</si>
  <si>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</si>
  <si>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</si>
  <si>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</si>
  <si>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</si>
  <si>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</si>
  <si>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</si>
  <si>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</si>
  <si>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</si>
  <si>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</si>
  <si>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</si>
  <si>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</si>
  <si>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</si>
  <si>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</si>
  <si>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</si>
  <si>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</si>
  <si>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</si>
  <si>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</si>
  <si>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</si>
  <si>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</si>
  <si>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</si>
  <si>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</si>
  <si>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</si>
  <si>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</si>
  <si>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</si>
  <si>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</si>
  <si>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</si>
  <si>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</si>
  <si>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</si>
  <si>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</si>
  <si>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</si>
  <si>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</si>
  <si>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</si>
  <si>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</si>
  <si>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</si>
  <si>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</si>
  <si>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</si>
  <si>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</si>
  <si>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</si>
  <si>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</si>
  <si>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</si>
  <si>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</si>
  <si>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</si>
  <si>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</si>
  <si>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</si>
  <si>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</si>
  <si>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</si>
  <si>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</si>
  <si>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</si>
  <si>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</si>
  <si>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</si>
  <si>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</si>
  <si>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</si>
  <si>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</si>
  <si>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</si>
  <si>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</si>
  <si>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</si>
  <si>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</si>
  <si>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</si>
  <si>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</si>
  <si>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</si>
  <si>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</si>
  <si>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</si>
  <si>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</si>
  <si>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</si>
  <si>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</si>
  <si>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</si>
  <si>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</si>
  <si>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</si>
  <si>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</si>
  <si>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</si>
  <si>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</si>
  <si>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</si>
  <si>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</si>
  <si>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</si>
  <si>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</si>
  <si>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</si>
  <si>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</si>
  <si>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</si>
  <si>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</si>
  <si>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</si>
  <si>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</si>
  <si>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</si>
  <si>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</si>
  <si>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</si>
  <si>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</si>
  <si>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</si>
  <si>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</si>
  <si>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</si>
  <si>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</si>
  <si>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</si>
  <si>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</si>
  <si>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</si>
  <si>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</si>
  <si>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</si>
  <si>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</si>
  <si>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</si>
  <si>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</si>
  <si>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</si>
  <si>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</si>
  <si>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</si>
  <si>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</si>
  <si>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</si>
  <si>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</si>
  <si>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</si>
  <si>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</si>
  <si>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</si>
  <si>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</si>
  <si>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</si>
  <si>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</si>
  <si>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</si>
  <si>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</si>
  <si>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</si>
  <si>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</si>
  <si>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</si>
  <si>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</si>
  <si>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</si>
  <si>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</si>
  <si>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</si>
  <si>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</si>
  <si>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</si>
  <si>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</si>
  <si>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</si>
  <si>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</si>
  <si>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</si>
  <si>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</si>
  <si>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</si>
  <si>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</si>
  <si>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</si>
  <si>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</si>
  <si>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</si>
  <si>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</si>
  <si>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</si>
  <si>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</si>
  <si>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</si>
  <si>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</si>
  <si>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</si>
  <si>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</si>
  <si>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</si>
  <si>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</si>
  <si>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</si>
  <si>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</si>
  <si>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</si>
  <si>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</si>
  <si>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</si>
  <si>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</si>
  <si>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</si>
  <si>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</si>
  <si>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</si>
  <si>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</si>
  <si>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</si>
  <si>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</si>
  <si>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</si>
  <si>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</si>
  <si>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</si>
  <si>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</si>
  <si>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</si>
  <si>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</si>
  <si>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</si>
  <si>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</si>
  <si>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</si>
  <si>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</si>
  <si>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</si>
  <si>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</si>
  <si>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</si>
  <si>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</si>
  <si>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</si>
  <si>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</si>
  <si>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</si>
  <si>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</si>
  <si>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</si>
  <si>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</si>
  <si>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</si>
  <si>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</si>
  <si>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</si>
  <si>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</si>
  <si>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</si>
  <si>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</si>
  <si>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</si>
  <si>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</si>
  <si>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</si>
  <si>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</si>
  <si>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</si>
  <si>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</si>
  <si>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</si>
  <si>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</si>
  <si>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</si>
  <si>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</si>
  <si>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</si>
  <si>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</si>
  <si>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</si>
  <si>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</si>
  <si>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</si>
  <si>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</si>
  <si>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</si>
  <si>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</si>
  <si>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</si>
  <si>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</si>
  <si>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</si>
  <si>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</si>
  <si>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</si>
  <si>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</si>
  <si>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</si>
  <si>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</si>
  <si>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</si>
  <si>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</si>
  <si>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</si>
  <si>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</si>
  <si>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</si>
  <si>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</si>
  <si>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</si>
  <si>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</si>
  <si>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</si>
  <si>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</si>
  <si>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</si>
  <si>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</si>
  <si>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</si>
  <si>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</si>
  <si>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</si>
  <si>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</si>
  <si>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</si>
  <si>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Summary</t>
  </si>
  <si>
    <t>1. Slow flow rate due to Space Tank High</t>
  </si>
  <si>
    <t>hours</t>
  </si>
  <si>
    <t>2. Slow flow rate due to Olein IV 60 process</t>
  </si>
  <si>
    <t>7. Stop Plant due to Preventive Maintenance Plant</t>
  </si>
  <si>
    <t>8. Energizing PMG II</t>
  </si>
  <si>
    <t>9. Zero Suplay Gas (Problem Pertagas)</t>
  </si>
  <si>
    <t>11.HOLD CPO Shortage</t>
  </si>
  <si>
    <t>DOWN TIME SLOW FLOWRATE PRODUCTION FRACTIONATION</t>
  </si>
  <si>
    <t>10. Slow flow rate due to Olein IV 58 process</t>
  </si>
  <si>
    <t>12.Slow flow rate due to Olein IV 56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</si>
  <si>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</si>
  <si>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</si>
  <si>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</si>
  <si>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</si>
  <si>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</si>
  <si>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</si>
  <si>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</si>
  <si>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</si>
  <si>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</si>
  <si>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</si>
  <si>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</si>
  <si>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</si>
  <si>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</si>
  <si>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</si>
  <si>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</si>
  <si>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</si>
  <si>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</si>
  <si>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</si>
  <si>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</si>
  <si>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</si>
  <si>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</si>
  <si>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</si>
  <si>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</si>
  <si>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</si>
  <si>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</si>
  <si>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</si>
  <si>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</si>
  <si>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</si>
  <si>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</si>
  <si>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</si>
  <si>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</si>
  <si>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</si>
  <si>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</si>
  <si>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</si>
  <si>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</si>
  <si>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</si>
  <si>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</si>
  <si>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</si>
  <si>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</si>
  <si>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</si>
  <si>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</si>
  <si>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</si>
  <si>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</si>
  <si>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</si>
  <si>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</si>
  <si>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</si>
  <si>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</si>
  <si>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</si>
  <si>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</si>
  <si>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</si>
  <si>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</si>
  <si>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</si>
  <si>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</si>
  <si>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</si>
  <si>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</si>
  <si>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</si>
  <si>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</si>
  <si>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</si>
  <si>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</si>
  <si>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</si>
  <si>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</si>
  <si>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</si>
  <si>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</si>
  <si>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</si>
  <si>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</si>
  <si>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</si>
  <si>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</si>
  <si>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</si>
  <si>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</si>
  <si>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</si>
  <si>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</si>
  <si>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</si>
  <si>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</si>
  <si>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</si>
  <si>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</si>
  <si>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</si>
  <si>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</si>
  <si>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</si>
  <si>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</si>
  <si>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</si>
  <si>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</si>
  <si>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</si>
  <si>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</si>
  <si>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</si>
  <si>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</si>
  <si>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</si>
  <si>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</si>
  <si>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</si>
  <si>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</si>
  <si>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</si>
  <si>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</si>
  <si>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</si>
  <si>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</si>
  <si>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</si>
  <si>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</si>
  <si>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</si>
  <si>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</si>
  <si>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</si>
  <si>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</si>
  <si>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</si>
  <si>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</si>
  <si>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</si>
  <si>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</si>
  <si>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</si>
  <si>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</si>
  <si>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</si>
  <si>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</si>
  <si>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</si>
  <si>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</si>
  <si>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</si>
  <si>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</si>
  <si>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</si>
  <si>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</si>
  <si>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</si>
  <si>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</si>
  <si>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</si>
  <si>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</si>
  <si>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</si>
  <si>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</si>
  <si>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</si>
  <si>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</si>
  <si>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</si>
  <si>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</si>
  <si>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</si>
  <si>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</si>
  <si>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</si>
  <si>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</si>
  <si>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</si>
  <si>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</si>
  <si>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</si>
  <si>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</si>
  <si>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</si>
  <si>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</si>
  <si>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</si>
  <si>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</si>
  <si>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</si>
  <si>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</si>
  <si>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</si>
  <si>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</si>
  <si>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</si>
  <si>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</si>
  <si>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</si>
  <si>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</si>
  <si>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</si>
  <si>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</si>
  <si>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</si>
  <si>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</si>
  <si>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</si>
  <si>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</si>
  <si>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</si>
  <si>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</si>
  <si>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</si>
  <si>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</si>
  <si>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</si>
  <si>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</si>
  <si>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</si>
  <si>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</si>
  <si>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</si>
  <si>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</si>
  <si>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</si>
  <si>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</si>
  <si>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</si>
  <si>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</si>
  <si>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</si>
  <si>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</si>
  <si>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</si>
  <si>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</si>
  <si>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</si>
  <si>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</si>
  <si>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</si>
  <si>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</si>
  <si>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</si>
  <si>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</si>
  <si>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</si>
  <si>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</si>
  <si>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</si>
  <si>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</si>
  <si>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</si>
  <si>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</si>
  <si>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</si>
  <si>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</si>
  <si>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</si>
  <si>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</si>
  <si>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</si>
  <si>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</si>
  <si>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</si>
  <si>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</si>
  <si>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</si>
  <si>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</si>
  <si>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</si>
  <si>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</si>
  <si>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</si>
  <si>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</si>
  <si>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</si>
  <si>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</si>
  <si>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</si>
  <si>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</si>
  <si>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</si>
  <si>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</si>
  <si>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</si>
  <si>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</si>
  <si>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</si>
  <si>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</si>
  <si>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</si>
  <si>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</si>
  <si>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</si>
  <si>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</si>
  <si>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</si>
  <si>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</si>
  <si>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</si>
  <si>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</si>
  <si>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</si>
  <si>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</si>
  <si>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</si>
  <si>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</si>
  <si>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</si>
  <si>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</si>
  <si>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</si>
  <si>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</si>
  <si>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</si>
  <si>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</si>
  <si>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 xml:space="preserve">FEBUARI </t>
  </si>
  <si>
    <t>Ratio Run CPO ( utilisasi kapasitas )</t>
  </si>
  <si>
    <t>Fractionation Olein IV 58 ( bulk )</t>
  </si>
  <si>
    <t>utility section ( chiller )</t>
  </si>
  <si>
    <t xml:space="preserve">Production Cost MARET 2025 </t>
  </si>
  <si>
    <t>YEARLY REPORT</t>
  </si>
  <si>
    <t>JUNI 2025</t>
  </si>
  <si>
    <t>105&amp;107</t>
  </si>
  <si>
    <t>DIRECT</t>
  </si>
  <si>
    <t>105&amp;104</t>
  </si>
  <si>
    <t>107&amp;104</t>
  </si>
  <si>
    <t>104,105&amp;106</t>
  </si>
  <si>
    <t>104,103&amp;106</t>
  </si>
  <si>
    <t>103&amp;106</t>
  </si>
  <si>
    <t>DIRECT RBDPO FRACT</t>
  </si>
  <si>
    <t>SHUT DOWN</t>
  </si>
  <si>
    <t>START UP</t>
  </si>
  <si>
    <t>Running Normal Plant</t>
  </si>
  <si>
    <t>Note : Kapasitas 2500 TPD</t>
  </si>
  <si>
    <t>3. Slow flow rate due to Olein IV 56 process</t>
  </si>
  <si>
    <t xml:space="preserve">CAPACITY 2500 </t>
  </si>
  <si>
    <t>Tune Up Kapasitas/Sounding</t>
  </si>
  <si>
    <t>Sounding/Trouble Hoist Bleaching Earth</t>
  </si>
  <si>
    <t>HPB Sering Trip (DMV Valve)</t>
  </si>
  <si>
    <t>High FFA/ (5,3) HPB Sering Trip (DMV Valve)</t>
  </si>
  <si>
    <t>Koreksi LC Ke 2,8 R (Karena Shipment Mundur)</t>
  </si>
  <si>
    <t>Kunjungan Tamu BPK</t>
  </si>
  <si>
    <t>2. Hold plant due to trip HP boiler &amp; maintenance</t>
  </si>
  <si>
    <t>3. Penyesuaian incoming CPO</t>
  </si>
  <si>
    <t>4. Downtime due to Start Up Plant</t>
  </si>
  <si>
    <t>5. Running Normal Plant</t>
  </si>
  <si>
    <t>6. Stop Plant due to Preventive Maintenance Plant</t>
  </si>
  <si>
    <t>7, Stop Plant</t>
  </si>
  <si>
    <t>8, Visitor (BPK)</t>
  </si>
  <si>
    <t>9, Koreksi Quality (LC)</t>
  </si>
  <si>
    <t>10.Touble hoist rusak</t>
  </si>
  <si>
    <t xml:space="preserve">Tune up kapasitas/Sounding </t>
  </si>
  <si>
    <t>Sounding &amp; Chiller (level switch error)</t>
  </si>
  <si>
    <t xml:space="preserve">Low Material </t>
  </si>
  <si>
    <t xml:space="preserve">Koreksi Quality (CP) </t>
  </si>
  <si>
    <t xml:space="preserve">1. Slow Flow rate terkait material sortage &amp; menyesuaikan </t>
  </si>
  <si>
    <t>2. Downtime due to Start/Stop Up Plant</t>
  </si>
  <si>
    <t>3. Tune Up Sounding</t>
  </si>
  <si>
    <t xml:space="preserve">4. Trouble Level Switch Error </t>
  </si>
  <si>
    <t>5. STOP PLANT</t>
  </si>
  <si>
    <t>6. Koreksi Quality (LC)</t>
  </si>
  <si>
    <t>7. Low Material</t>
  </si>
  <si>
    <t xml:space="preserve"> Note : Kapasitas 2500 TPD</t>
  </si>
  <si>
    <t>DOWN TIME REFINERY</t>
  </si>
  <si>
    <t>DOWN TIME FRACTIONATION</t>
  </si>
  <si>
    <t>Periode  Juni 2025</t>
  </si>
  <si>
    <t>Periode Juni 2025</t>
  </si>
  <si>
    <t>Sounding / Trouble Hoist Bleaching Earth</t>
  </si>
  <si>
    <t>0,13</t>
  </si>
  <si>
    <t>Kunjungan Tamu BPK &amp; Proses Shut Down</t>
  </si>
  <si>
    <t>High FFA (5,3) HPB Sering Trip (DMV Valve)</t>
  </si>
  <si>
    <t>Koreksi LC Ke 2,8 R (Karena Shipment Mundur) Slow Flowrate</t>
  </si>
  <si>
    <t>Bany Subana</t>
  </si>
  <si>
    <t xml:space="preserve">Bany Subana </t>
  </si>
  <si>
    <t>Periode 01 s/d 30 Juni 2025</t>
  </si>
  <si>
    <t>- BE Achieve dengan pemakaian consume Bleaching Earth 8,59 Kg/MT</t>
  </si>
  <si>
    <t xml:space="preserve">- Total CPO Proses sebesar : 17.813 MT dengan opening stock sebesar 22.926 MT </t>
  </si>
  <si>
    <t>- Untuk hari olah Produksi adalah 10 Hari, menyesuaikan dengan kondisi jadwal shipment RIYA
   IV 56 12.000 MT dan 1.000 MT untuk kebutuhan Packaging</t>
  </si>
  <si>
    <t xml:space="preserve">oring filter leaf niagara 2 bulan </t>
  </si>
  <si>
    <t>&lt; 28</t>
  </si>
  <si>
    <t>&lt; 45</t>
  </si>
  <si>
    <t>&lt; 0,04</t>
  </si>
  <si>
    <t>&lt; 0,13</t>
  </si>
  <si>
    <t>Consume      ( MT )</t>
  </si>
  <si>
    <t>Under Budget</t>
  </si>
  <si>
    <t>Over Budget</t>
  </si>
  <si>
    <t xml:space="preserve">* Pemakaian Listrik Over terkait penggunaan dua unit chiller </t>
  </si>
  <si>
    <t xml:space="preserve">aktual refinery </t>
  </si>
  <si>
    <t>cpo feed</t>
  </si>
  <si>
    <t xml:space="preserve">sisa rbpo tank </t>
  </si>
  <si>
    <t xml:space="preserve">rpo prod </t>
  </si>
  <si>
    <t>tk 108</t>
  </si>
  <si>
    <t xml:space="preserve">pfad prod </t>
  </si>
  <si>
    <t>tk 109</t>
  </si>
  <si>
    <t xml:space="preserve">yield rpo </t>
  </si>
  <si>
    <t xml:space="preserve">total rpo tank </t>
  </si>
  <si>
    <t xml:space="preserve">Stop plant, Refinery tgl 18 Pukul 17.00 WIB Fraksinasi tgl 17 Pukul 04.00 WIB </t>
  </si>
  <si>
    <t>yield pfad</t>
  </si>
  <si>
    <t xml:space="preserve">oip </t>
  </si>
  <si>
    <t>lossis</t>
  </si>
  <si>
    <t xml:space="preserve">total keseluruhan rpo </t>
  </si>
  <si>
    <t xml:space="preserve">aktual fraksinasi </t>
  </si>
  <si>
    <t xml:space="preserve">rpo feed </t>
  </si>
  <si>
    <t>olein 56</t>
  </si>
  <si>
    <t>stearin 56</t>
  </si>
  <si>
    <t xml:space="preserve">yield olein </t>
  </si>
  <si>
    <t xml:space="preserve">yield stearin </t>
  </si>
  <si>
    <t xml:space="preserve">sap refinery </t>
  </si>
  <si>
    <t>sisa rbdo di gudang bulky 1014</t>
  </si>
  <si>
    <t xml:space="preserve">cpo feed </t>
  </si>
  <si>
    <t xml:space="preserve">tk 108 </t>
  </si>
  <si>
    <t>rpo prod</t>
  </si>
  <si>
    <t xml:space="preserve">total </t>
  </si>
  <si>
    <t xml:space="preserve">OIP actual </t>
  </si>
  <si>
    <t xml:space="preserve">adjust </t>
  </si>
  <si>
    <t xml:space="preserve">stok actual </t>
  </si>
  <si>
    <t>opening stok rpo sap</t>
  </si>
  <si>
    <t>loss</t>
  </si>
  <si>
    <t xml:space="preserve">sap fraksinasi </t>
  </si>
  <si>
    <t>rpo feed</t>
  </si>
  <si>
    <t>yield olein</t>
  </si>
  <si>
    <t xml:space="preserve">yiel stearin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</si>
</sst>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_-;_-@_-"/>
    <numFmt numFmtId="167" formatCode="_(* #,##0_);_(* \(#,##0\);_(* &quot;-&quot;??_);_(@_)"/>
    <numFmt numFmtId="168" formatCode="_(* #,##0.000_);_(* \(#,##0.000\);_(* &quot;-&quot;??_);_(@_)"/>
    <numFmt numFmtId="169" formatCode="_(* #,##0.0000_);_(* \(#,##0.0000\);_(* &quot;-&quot;??_);_(@_)"/>
    <numFmt numFmtId="170" formatCode="_-* #,##0.0000_-;\-* #,##0.0000_-;_-* &quot;-&quot;????_-;_-@_-"/>
    <numFmt numFmtId="171" formatCode="_(* #,##0.00_);_(* \(#,##0.00\);_(* &quot;-&quot;??.0_);_(@_)"/>
    <numFmt numFmtId="172" formatCode="_(* #,##0.0_);_(* \(#,##0.0\);_(* &quot;-&quot;??.0_);_(@_)"/>
    <numFmt numFmtId="173" formatCode="_(* #,##0.000_);_(* \(#,##0.000\);_(* &quot;-&quot;??.00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.00_);_(* \(#,##0.00\);_(* &quot;-&quot;??.00_);_(@_)"/>
    <numFmt numFmtId="189" formatCode="_-* #,##0.00_-;\-* #,##0.00_-;_-* &quot;-&quot;????_-;_-@_-"/>
    <numFmt numFmtId="190" formatCode="[$-409]d\-mmm;@"/>
    <numFmt numFmtId="191" formatCode="_(* #,##0.00_);_(* \(#,##0.00\);_(* &quot;-&quot;_);_(@_)"/>
    <numFmt numFmtId="192" formatCode="_(* #,##0.000_);_(* \(#,##0.000\);_(* &quot;-&quot;_);_(@_)"/>
    <numFmt numFmtId="193" formatCode="_(* #,##0.0_);_(* \(#,##0.0\);_(* &quot;-&quot;_);_(@_)"/>
    <numFmt numFmtId="194" formatCode="_-* #,##0.000_-;\-* #,##0.000_-;_-* &quot;-&quot;???_-;_-@_-"/>
    <numFmt numFmtId="195" formatCode="0.000"/>
    <numFmt numFmtId="196" formatCode="_-* #,##0.0_-;\-* #,##0.0_-;_-* &quot;-&quot;_-;_-@_-"/>
    <numFmt numFmtId="197" formatCode="_-* #,##0_-;\-* #,##0_-;_-* &quot;-&quot;???_-;_-@_-"/>
    <numFmt numFmtId="198" formatCode="_-* #,##0.0_-;\-* #,##0.0_-;_-* &quot;-&quot;?_-;_-@_-"/>
    <numFmt numFmtId="199" formatCode="_-* #,##0.000_-;\-* #,##0.000_-;_-* &quot;-&quot;?_-;_-@_-"/>
    <numFmt numFmtId="200" formatCode="_-* #,##0_-;\-* #,##0_-;_-* &quot;-&quot;?_-;_-@_-"/>
    <numFmt numFmtId="201" formatCode="_-* #,##0.000_-;\-* #,##0.000_-;_-* &quot;-&quot;??_-;_-@_-"/>
  </numFmts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254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8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1">
    <xf numFmtId="0" fontId="0" fillId="0" borderId="0" xfId="0"/>
    <xf numFmtId="0" fontId="2" fillId="0" borderId="0" xfId="0" applyFont="1"/>
    <xf numFmtId="0" fontId="3" fillId="0" borderId="0" xfId="0" applyFont="1"/>
    <xf numFmtId="167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7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5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7" fontId="3" fillId="0" borderId="0" xfId="0" applyNumberFormat="1" applyFont="1"/>
    <xf numFmtId="0" fontId="3" fillId="0" borderId="8" xfId="0" quotePrefix="1" applyFont="1" applyBorder="1"/>
    <xf numFmtId="166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7" fontId="2" fillId="0" borderId="4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3" fillId="0" borderId="0" xfId="1" applyNumberFormat="1" applyFont="1" applyFill="1" applyBorder="1"/>
    <xf numFmtId="165" fontId="3" fillId="0" borderId="0" xfId="1" applyNumberFormat="1" applyFont="1" applyFill="1" applyBorder="1" applyAlignment="1">
      <alignment vertical="center"/>
    </xf>
    <xf numFmtId="167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70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5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7" fontId="2" fillId="4" borderId="6" xfId="1" applyNumberFormat="1" applyFont="1" applyFill="1" applyBorder="1"/>
    <xf numFmtId="167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7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7" fontId="2" fillId="6" borderId="3" xfId="0" applyNumberFormat="1" applyFont="1" applyFill="1" applyBorder="1"/>
    <xf numFmtId="165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7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7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7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5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5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7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6" fontId="3" fillId="5" borderId="3" xfId="2" applyNumberFormat="1" applyFont="1" applyFill="1" applyBorder="1"/>
    <xf numFmtId="167" fontId="2" fillId="4" borderId="6" xfId="1" applyNumberFormat="1" applyFont="1" applyFill="1" applyBorder="1" applyAlignment="1">
      <alignment vertical="center"/>
    </xf>
    <xf numFmtId="167" fontId="2" fillId="4" borderId="5" xfId="0" applyNumberFormat="1" applyFont="1" applyFill="1" applyBorder="1"/>
    <xf numFmtId="167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5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7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7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7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7" fontId="3" fillId="6" borderId="33" xfId="1" applyNumberFormat="1" applyFont="1" applyFill="1" applyBorder="1"/>
    <xf numFmtId="166" fontId="3" fillId="6" borderId="21" xfId="2" applyNumberFormat="1" applyFont="1" applyFill="1" applyBorder="1" applyAlignment="1">
      <alignment horizontal="left" vertical="top"/>
    </xf>
    <xf numFmtId="166" fontId="3" fillId="6" borderId="11" xfId="2" quotePrefix="1" applyNumberFormat="1" applyFont="1" applyFill="1" applyBorder="1" applyAlignment="1">
      <alignment horizontal="center"/>
    </xf>
    <xf numFmtId="166" fontId="3" fillId="6" borderId="11" xfId="2" applyNumberFormat="1" applyFont="1" applyFill="1" applyBorder="1"/>
    <xf numFmtId="166" fontId="3" fillId="5" borderId="0" xfId="2" applyNumberFormat="1" applyFont="1" applyFill="1" applyBorder="1"/>
    <xf numFmtId="41" fontId="3" fillId="6" borderId="7" xfId="2" applyFont="1" applyFill="1" applyBorder="1"/>
    <xf numFmtId="169" fontId="2" fillId="0" borderId="3" xfId="0" applyNumberFormat="1" applyFont="1" applyBorder="1"/>
    <xf numFmtId="0" fontId="6" fillId="0" borderId="3" xfId="0" applyFont="1" applyBorder="1"/>
    <xf numFmtId="169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7" fontId="6" fillId="0" borderId="3" xfId="0" applyNumberFormat="1" applyFont="1" applyBorder="1" applyAlignment="1">
      <alignment vertical="center"/>
    </xf>
    <xf numFmtId="167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7" fontId="3" fillId="0" borderId="3" xfId="1" applyNumberFormat="1" applyFont="1" applyBorder="1"/>
    <xf numFmtId="165" fontId="2" fillId="3" borderId="4" xfId="1" applyNumberFormat="1" applyFont="1" applyFill="1" applyBorder="1" applyAlignment="1">
      <alignment horizontal="center"/>
    </xf>
    <xf numFmtId="165" fontId="2" fillId="4" borderId="6" xfId="1" applyNumberFormat="1" applyFont="1" applyFill="1" applyBorder="1" applyAlignment="1">
      <alignment horizontal="center"/>
    </xf>
    <xf numFmtId="165" fontId="3" fillId="4" borderId="6" xfId="1" applyNumberFormat="1" applyFont="1" applyFill="1" applyBorder="1" applyAlignment="1">
      <alignment horizontal="center"/>
    </xf>
    <xf numFmtId="165" fontId="2" fillId="5" borderId="0" xfId="1" applyNumberFormat="1" applyFont="1" applyFill="1" applyBorder="1" applyAlignment="1">
      <alignment horizontal="center"/>
    </xf>
    <xf numFmtId="165" fontId="2" fillId="4" borderId="4" xfId="1" applyNumberFormat="1" applyFont="1" applyFill="1" applyBorder="1" applyAlignment="1">
      <alignment horizontal="center"/>
    </xf>
    <xf numFmtId="165" fontId="2" fillId="6" borderId="6" xfId="1" applyNumberFormat="1" applyFont="1" applyFill="1" applyBorder="1" applyAlignment="1">
      <alignment horizontal="center"/>
    </xf>
    <xf numFmtId="165" fontId="2" fillId="5" borderId="0" xfId="1" applyNumberFormat="1" applyFont="1" applyFill="1" applyBorder="1"/>
    <xf numFmtId="165" fontId="2" fillId="6" borderId="4" xfId="1" applyNumberFormat="1" applyFont="1" applyFill="1" applyBorder="1" applyAlignment="1">
      <alignment horizontal="center"/>
    </xf>
    <xf numFmtId="165" fontId="2" fillId="6" borderId="2" xfId="1" applyNumberFormat="1" applyFont="1" applyFill="1" applyBorder="1" applyAlignment="1">
      <alignment horizontal="center"/>
    </xf>
    <xf numFmtId="165" fontId="2" fillId="6" borderId="11" xfId="1" applyNumberFormat="1" applyFont="1" applyFill="1" applyBorder="1" applyAlignment="1">
      <alignment horizontal="center"/>
    </xf>
    <xf numFmtId="165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7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6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6" fontId="2" fillId="5" borderId="0" xfId="2" applyNumberFormat="1" applyFont="1" applyFill="1"/>
    <xf numFmtId="166" fontId="3" fillId="6" borderId="34" xfId="2" applyNumberFormat="1" applyFont="1" applyFill="1" applyBorder="1" applyAlignment="1">
      <alignment horizontal="center" vertical="center" wrapText="1"/>
    </xf>
    <xf numFmtId="166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5" fontId="2" fillId="0" borderId="17" xfId="5" applyFont="1" applyBorder="1"/>
    <xf numFmtId="169" fontId="2" fillId="0" borderId="17" xfId="5" applyNumberFormat="1" applyFont="1" applyBorder="1"/>
    <xf numFmtId="169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5" fontId="2" fillId="0" borderId="11" xfId="5" applyFont="1" applyBorder="1"/>
    <xf numFmtId="169" fontId="2" fillId="0" borderId="11" xfId="5" applyNumberFormat="1" applyFont="1" applyBorder="1"/>
    <xf numFmtId="169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9" fontId="2" fillId="6" borderId="4" xfId="5" applyNumberFormat="1" applyFont="1" applyFill="1" applyBorder="1"/>
    <xf numFmtId="166" fontId="3" fillId="6" borderId="19" xfId="2" applyNumberFormat="1" applyFont="1" applyFill="1" applyBorder="1" applyAlignment="1"/>
    <xf numFmtId="166" fontId="3" fillId="6" borderId="50" xfId="2" applyNumberFormat="1" applyFont="1" applyFill="1" applyBorder="1" applyAlignment="1"/>
    <xf numFmtId="166" fontId="3" fillId="6" borderId="52" xfId="2" applyNumberFormat="1" applyFont="1" applyFill="1" applyBorder="1" applyAlignment="1">
      <alignment vertical="center"/>
    </xf>
    <xf numFmtId="170" fontId="2" fillId="5" borderId="0" xfId="0" applyNumberFormat="1" applyFont="1" applyFill="1"/>
    <xf numFmtId="166" fontId="3" fillId="5" borderId="0" xfId="2" applyNumberFormat="1" applyFont="1" applyFill="1"/>
    <xf numFmtId="166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70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6" fontId="2" fillId="6" borderId="11" xfId="2" applyNumberFormat="1" applyFont="1" applyFill="1" applyBorder="1"/>
    <xf numFmtId="169" fontId="2" fillId="6" borderId="11" xfId="5" applyNumberFormat="1" applyFont="1" applyFill="1" applyBorder="1"/>
    <xf numFmtId="170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9" fontId="3" fillId="0" borderId="42" xfId="6" applyNumberFormat="1" applyFont="1" applyBorder="1"/>
    <xf numFmtId="169" fontId="3" fillId="6" borderId="42" xfId="6" applyNumberFormat="1" applyFont="1" applyFill="1" applyBorder="1"/>
    <xf numFmtId="169" fontId="3" fillId="0" borderId="44" xfId="6" applyNumberFormat="1" applyFont="1" applyBorder="1"/>
    <xf numFmtId="169" fontId="3" fillId="0" borderId="19" xfId="6" applyNumberFormat="1" applyFont="1" applyBorder="1"/>
    <xf numFmtId="169" fontId="3" fillId="6" borderId="48" xfId="6" applyNumberFormat="1" applyFont="1" applyFill="1" applyBorder="1"/>
    <xf numFmtId="169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9" fontId="2" fillId="0" borderId="16" xfId="6" applyNumberFormat="1" applyFont="1" applyBorder="1"/>
    <xf numFmtId="169" fontId="3" fillId="0" borderId="11" xfId="6" applyNumberFormat="1" applyFont="1" applyBorder="1"/>
    <xf numFmtId="0" fontId="3" fillId="6" borderId="11" xfId="6" applyFont="1" applyFill="1" applyBorder="1"/>
    <xf numFmtId="169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9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9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70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6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7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1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vertical="center"/>
    </xf>
    <xf numFmtId="165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5" fontId="2" fillId="8" borderId="4" xfId="1" applyNumberFormat="1" applyFont="1" applyFill="1" applyBorder="1" applyAlignment="1">
      <alignment horizontal="center"/>
    </xf>
    <xf numFmtId="165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5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2" fontId="2" fillId="8" borderId="4" xfId="1" applyNumberFormat="1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65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7" fontId="3" fillId="8" borderId="4" xfId="1" applyNumberFormat="1" applyFont="1" applyFill="1" applyBorder="1" applyAlignment="1">
      <alignment horizontal="center"/>
    </xf>
    <xf numFmtId="165" fontId="2" fillId="8" borderId="4" xfId="1" applyNumberFormat="1" applyFont="1" applyFill="1" applyBorder="1" applyAlignment="1">
      <alignment horizontal="center" vertical="center"/>
    </xf>
    <xf numFmtId="165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7" fontId="2" fillId="0" borderId="1" xfId="1" applyNumberFormat="1" applyFont="1" applyBorder="1"/>
    <xf numFmtId="167" fontId="2" fillId="0" borderId="6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167" fontId="2" fillId="6" borderId="2" xfId="1" applyNumberFormat="1" applyFont="1" applyFill="1" applyBorder="1" applyAlignment="1">
      <alignment vertical="center"/>
    </xf>
    <xf numFmtId="167" fontId="2" fillId="4" borderId="4" xfId="1" applyNumberFormat="1" applyFont="1" applyFill="1" applyBorder="1" applyAlignment="1">
      <alignment vertical="center"/>
    </xf>
    <xf numFmtId="165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7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3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5" fontId="10" fillId="7" borderId="4" xfId="1" applyNumberFormat="1" applyFont="1" applyFill="1" applyBorder="1" applyAlignment="1">
      <alignment vertical="center"/>
    </xf>
    <xf numFmtId="167" fontId="3" fillId="0" borderId="4" xfId="1" applyNumberFormat="1" applyFont="1" applyFill="1" applyBorder="1" applyAlignment="1">
      <alignment vertical="center"/>
    </xf>
    <xf numFmtId="166" fontId="2" fillId="5" borderId="4" xfId="2" applyNumberFormat="1" applyFont="1" applyFill="1" applyBorder="1" applyAlignment="1">
      <alignment vertical="center"/>
    </xf>
    <xf numFmtId="167" fontId="2" fillId="0" borderId="4" xfId="1" applyNumberFormat="1" applyFont="1" applyFill="1" applyBorder="1" applyAlignment="1">
      <alignment vertical="center" wrapText="1"/>
    </xf>
    <xf numFmtId="165" fontId="2" fillId="4" borderId="6" xfId="1" applyNumberFormat="1" applyFont="1" applyFill="1" applyBorder="1" applyAlignment="1">
      <alignment vertical="center"/>
    </xf>
    <xf numFmtId="165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5" fontId="2" fillId="6" borderId="6" xfId="1" applyNumberFormat="1" applyFont="1" applyFill="1" applyBorder="1" applyAlignment="1">
      <alignment vertical="center"/>
    </xf>
    <xf numFmtId="165" fontId="2" fillId="6" borderId="4" xfId="1" applyNumberFormat="1" applyFont="1" applyFill="1" applyBorder="1" applyAlignment="1">
      <alignment vertical="center"/>
    </xf>
    <xf numFmtId="165" fontId="2" fillId="6" borderId="2" xfId="1" applyNumberFormat="1" applyFont="1" applyFill="1" applyBorder="1" applyAlignment="1">
      <alignment vertical="center"/>
    </xf>
    <xf numFmtId="165" fontId="2" fillId="6" borderId="11" xfId="1" applyNumberFormat="1" applyFont="1" applyFill="1" applyBorder="1" applyAlignment="1">
      <alignment vertical="center"/>
    </xf>
    <xf numFmtId="166" fontId="3" fillId="6" borderId="11" xfId="2" applyNumberFormat="1" applyFont="1" applyFill="1" applyBorder="1" applyAlignment="1">
      <alignment vertical="center"/>
    </xf>
    <xf numFmtId="169" fontId="2" fillId="7" borderId="4" xfId="1" applyNumberFormat="1" applyFont="1" applyFill="1" applyBorder="1" applyAlignment="1">
      <alignment horizontal="center" vertical="center"/>
    </xf>
    <xf numFmtId="169" fontId="2" fillId="7" borderId="4" xfId="1" applyNumberFormat="1" applyFont="1" applyFill="1" applyBorder="1" applyAlignment="1">
      <alignment vertical="center"/>
    </xf>
    <xf numFmtId="169" fontId="2" fillId="0" borderId="4" xfId="1" applyNumberFormat="1" applyFont="1" applyFill="1" applyBorder="1" applyAlignment="1">
      <alignment vertical="center"/>
    </xf>
    <xf numFmtId="169" fontId="3" fillId="0" borderId="2" xfId="1" applyNumberFormat="1" applyFont="1" applyFill="1" applyBorder="1" applyAlignment="1">
      <alignment vertical="center"/>
    </xf>
    <xf numFmtId="169" fontId="3" fillId="4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67" fontId="2" fillId="0" borderId="4" xfId="1" applyNumberFormat="1" applyFont="1" applyBorder="1" applyAlignment="1">
      <alignment vertical="center"/>
    </xf>
    <xf numFmtId="165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3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5" fontId="2" fillId="0" borderId="0" xfId="0" applyNumberFormat="1" applyFont="1"/>
    <xf numFmtId="165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1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7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167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7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7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7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7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6" fontId="10" fillId="0" borderId="75" xfId="2" applyNumberFormat="1" applyFont="1" applyBorder="1"/>
    <xf numFmtId="166" fontId="10" fillId="0" borderId="0" xfId="2" applyNumberFormat="1" applyFont="1" applyBorder="1"/>
    <xf numFmtId="166" fontId="10" fillId="0" borderId="28" xfId="2" applyNumberFormat="1" applyFont="1" applyBorder="1"/>
    <xf numFmtId="167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6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6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6" fontId="34" fillId="0" borderId="73" xfId="2" applyNumberFormat="1" applyFont="1" applyFill="1" applyBorder="1"/>
    <xf numFmtId="166" fontId="34" fillId="0" borderId="74" xfId="2" applyNumberFormat="1" applyFont="1" applyFill="1" applyBorder="1"/>
    <xf numFmtId="166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6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6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6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6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7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66" fontId="2" fillId="0" borderId="73" xfId="2" applyNumberFormat="1" applyFont="1" applyFill="1" applyBorder="1"/>
    <xf numFmtId="166" fontId="2" fillId="0" borderId="74" xfId="2" applyNumberFormat="1" applyFont="1" applyFill="1" applyBorder="1"/>
    <xf numFmtId="166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7" fontId="2" fillId="6" borderId="3" xfId="0" applyNumberFormat="1" applyFont="1" applyFill="1" applyBorder="1" applyAlignment="1">
      <alignment vertical="center"/>
    </xf>
    <xf numFmtId="166" fontId="2" fillId="0" borderId="0" xfId="2" applyNumberFormat="1" applyFont="1" applyAlignment="1">
      <alignment vertical="center"/>
    </xf>
    <xf numFmtId="167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7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7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7" fontId="2" fillId="4" borderId="23" xfId="1" applyNumberFormat="1" applyFont="1" applyFill="1" applyBorder="1"/>
    <xf numFmtId="167" fontId="2" fillId="0" borderId="14" xfId="1" applyNumberFormat="1" applyFont="1" applyFill="1" applyBorder="1"/>
    <xf numFmtId="167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7" fontId="2" fillId="0" borderId="77" xfId="1" applyNumberFormat="1" applyFont="1" applyFill="1" applyBorder="1"/>
    <xf numFmtId="167" fontId="2" fillId="0" borderId="10" xfId="1" applyNumberFormat="1" applyFont="1" applyFill="1" applyBorder="1"/>
    <xf numFmtId="167" fontId="2" fillId="0" borderId="25" xfId="1" applyNumberFormat="1" applyFont="1" applyFill="1" applyBorder="1"/>
    <xf numFmtId="167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6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3" fontId="2" fillId="0" borderId="14" xfId="1" applyNumberFormat="1" applyFont="1" applyFill="1" applyBorder="1"/>
    <xf numFmtId="173" fontId="2" fillId="0" borderId="4" xfId="1" applyNumberFormat="1" applyFont="1" applyFill="1" applyBorder="1"/>
    <xf numFmtId="0" fontId="3" fillId="5" borderId="6" xfId="0" quotePrefix="1" applyFont="1" applyFill="1" applyBorder="1"/>
    <xf numFmtId="171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2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5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6" fontId="3" fillId="0" borderId="62" xfId="2" applyNumberFormat="1" applyFont="1" applyFill="1" applyBorder="1"/>
    <xf numFmtId="166" fontId="3" fillId="0" borderId="0" xfId="2" applyNumberFormat="1" applyFont="1" applyFill="1"/>
    <xf numFmtId="166" fontId="3" fillId="5" borderId="4" xfId="2" quotePrefix="1" applyNumberFormat="1" applyFont="1" applyFill="1" applyBorder="1"/>
    <xf numFmtId="166" fontId="3" fillId="10" borderId="4" xfId="2" applyNumberFormat="1" applyFont="1" applyFill="1" applyBorder="1" applyAlignment="1">
      <alignment horizontal="center"/>
    </xf>
    <xf numFmtId="166" fontId="3" fillId="5" borderId="4" xfId="2" quotePrefix="1" applyNumberFormat="1" applyFont="1" applyFill="1" applyBorder="1" applyAlignment="1">
      <alignment horizontal="center"/>
    </xf>
    <xf numFmtId="166" fontId="2" fillId="5" borderId="62" xfId="2" applyNumberFormat="1" applyFont="1" applyFill="1" applyBorder="1"/>
    <xf numFmtId="166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167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7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8" fontId="2" fillId="0" borderId="3" xfId="0" applyNumberFormat="1" applyFont="1" applyBorder="1"/>
    <xf numFmtId="43" fontId="3" fillId="0" borderId="4" xfId="1" applyFont="1" applyBorder="1"/>
    <xf numFmtId="166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7" fontId="3" fillId="0" borderId="4" xfId="1" applyNumberFormat="1" applyFont="1" applyFill="1" applyBorder="1"/>
    <xf numFmtId="167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7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7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9" fontId="2" fillId="0" borderId="4" xfId="1" applyNumberFormat="1" applyFont="1" applyFill="1" applyBorder="1"/>
    <xf numFmtId="169" fontId="2" fillId="6" borderId="3" xfId="0" applyNumberFormat="1" applyFont="1" applyFill="1" applyBorder="1"/>
    <xf numFmtId="171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9" fontId="10" fillId="0" borderId="4" xfId="1" applyNumberFormat="1" applyFont="1" applyFill="1" applyBorder="1"/>
    <xf numFmtId="169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7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9" fontId="3" fillId="0" borderId="2" xfId="1" applyNumberFormat="1" applyFont="1" applyFill="1" applyBorder="1"/>
    <xf numFmtId="166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9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7" fontId="10" fillId="3" borderId="4" xfId="1" applyNumberFormat="1" applyFont="1" applyFill="1" applyBorder="1" applyAlignment="1">
      <alignment horizontal="center"/>
    </xf>
    <xf numFmtId="167" fontId="3" fillId="5" borderId="4" xfId="1" applyNumberFormat="1" applyFont="1" applyFill="1" applyBorder="1"/>
    <xf numFmtId="167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7" fontId="9" fillId="3" borderId="4" xfId="1" applyNumberFormat="1" applyFont="1" applyFill="1" applyBorder="1" applyAlignment="1">
      <alignment horizontal="center"/>
    </xf>
    <xf numFmtId="167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7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7" fontId="3" fillId="0" borderId="55" xfId="0" applyNumberFormat="1" applyFont="1" applyBorder="1"/>
    <xf numFmtId="167" fontId="3" fillId="0" borderId="40" xfId="0" applyNumberFormat="1" applyFont="1" applyBorder="1"/>
    <xf numFmtId="167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7" fontId="2" fillId="0" borderId="28" xfId="0" applyNumberFormat="1" applyFont="1" applyBorder="1"/>
    <xf numFmtId="167" fontId="2" fillId="4" borderId="28" xfId="0" applyNumberFormat="1" applyFont="1" applyFill="1" applyBorder="1"/>
    <xf numFmtId="167" fontId="2" fillId="6" borderId="28" xfId="1" applyNumberFormat="1" applyFont="1" applyFill="1" applyBorder="1"/>
    <xf numFmtId="165" fontId="2" fillId="0" borderId="28" xfId="0" applyNumberFormat="1" applyFont="1" applyBorder="1"/>
    <xf numFmtId="167" fontId="5" fillId="0" borderId="28" xfId="0" applyNumberFormat="1" applyFont="1" applyBorder="1" applyAlignment="1">
      <alignment horizontal="center"/>
    </xf>
    <xf numFmtId="167" fontId="2" fillId="6" borderId="28" xfId="0" applyNumberFormat="1" applyFont="1" applyFill="1" applyBorder="1"/>
    <xf numFmtId="167" fontId="5" fillId="0" borderId="81" xfId="0" applyNumberFormat="1" applyFont="1" applyBorder="1" applyAlignment="1">
      <alignment horizontal="center"/>
    </xf>
    <xf numFmtId="167" fontId="2" fillId="6" borderId="28" xfId="0" applyNumberFormat="1" applyFont="1" applyFill="1" applyBorder="1" applyAlignment="1">
      <alignment vertical="center"/>
    </xf>
    <xf numFmtId="167" fontId="2" fillId="4" borderId="28" xfId="0" applyNumberFormat="1" applyFont="1" applyFill="1" applyBorder="1" applyAlignment="1">
      <alignment vertical="center"/>
    </xf>
    <xf numFmtId="167" fontId="2" fillId="6" borderId="28" xfId="1" applyNumberFormat="1" applyFont="1" applyFill="1" applyBorder="1" applyAlignment="1">
      <alignment vertical="center"/>
    </xf>
    <xf numFmtId="167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7" fontId="2" fillId="6" borderId="82" xfId="0" applyNumberFormat="1" applyFont="1" applyFill="1" applyBorder="1"/>
    <xf numFmtId="43" fontId="2" fillId="0" borderId="26" xfId="1" applyFont="1" applyFill="1" applyBorder="1"/>
    <xf numFmtId="173" fontId="2" fillId="0" borderId="28" xfId="1" applyNumberFormat="1" applyFont="1" applyBorder="1"/>
    <xf numFmtId="43" fontId="16" fillId="0" borderId="23" xfId="1" applyFont="1" applyFill="1" applyBorder="1"/>
    <xf numFmtId="165" fontId="2" fillId="5" borderId="28" xfId="0" applyNumberFormat="1" applyFont="1" applyFill="1" applyBorder="1"/>
    <xf numFmtId="165" fontId="3" fillId="6" borderId="28" xfId="0" applyNumberFormat="1" applyFont="1" applyFill="1" applyBorder="1"/>
    <xf numFmtId="165" fontId="3" fillId="0" borderId="28" xfId="0" applyNumberFormat="1" applyFont="1" applyBorder="1"/>
    <xf numFmtId="43" fontId="10" fillId="0" borderId="64" xfId="1" applyFont="1" applyFill="1" applyBorder="1"/>
    <xf numFmtId="167" fontId="6" fillId="0" borderId="28" xfId="0" applyNumberFormat="1" applyFont="1" applyBorder="1"/>
    <xf numFmtId="167" fontId="2" fillId="0" borderId="28" xfId="0" applyNumberFormat="1" applyFont="1" applyBorder="1" applyAlignment="1">
      <alignment vertical="center"/>
    </xf>
    <xf numFmtId="168" fontId="2" fillId="0" borderId="28" xfId="0" applyNumberFormat="1" applyFont="1" applyBorder="1"/>
    <xf numFmtId="167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5" fontId="2" fillId="6" borderId="81" xfId="0" applyNumberFormat="1" applyFont="1" applyFill="1" applyBorder="1"/>
    <xf numFmtId="165" fontId="2" fillId="6" borderId="46" xfId="0" applyNumberFormat="1" applyFont="1" applyFill="1" applyBorder="1"/>
    <xf numFmtId="165" fontId="3" fillId="6" borderId="46" xfId="0" applyNumberFormat="1" applyFont="1" applyFill="1" applyBorder="1"/>
    <xf numFmtId="169" fontId="2" fillId="6" borderId="28" xfId="0" applyNumberFormat="1" applyFont="1" applyFill="1" applyBorder="1"/>
    <xf numFmtId="169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9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7" fontId="3" fillId="6" borderId="28" xfId="0" applyNumberFormat="1" applyFont="1" applyFill="1" applyBorder="1"/>
    <xf numFmtId="168" fontId="6" fillId="0" borderId="28" xfId="0" applyNumberFormat="1" applyFont="1" applyBorder="1"/>
    <xf numFmtId="167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7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7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7" fontId="3" fillId="0" borderId="3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6" fontId="2" fillId="5" borderId="31" xfId="2" applyNumberFormat="1" applyFont="1" applyFill="1" applyBorder="1" applyAlignment="1">
      <alignment horizontal="center"/>
    </xf>
    <xf numFmtId="166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5" fontId="3" fillId="0" borderId="0" xfId="0" applyNumberFormat="1" applyFont="1"/>
    <xf numFmtId="165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7" fontId="2" fillId="0" borderId="4" xfId="1" applyNumberFormat="1" applyFont="1" applyFill="1" applyBorder="1" applyAlignment="1">
      <alignment horizontal="center"/>
    </xf>
    <xf numFmtId="167" fontId="2" fillId="8" borderId="6" xfId="1" applyNumberFormat="1" applyFont="1" applyFill="1" applyBorder="1" applyAlignment="1">
      <alignment horizontal="center"/>
    </xf>
    <xf numFmtId="167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7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7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7" fontId="2" fillId="6" borderId="3" xfId="0" applyNumberFormat="1" applyFont="1" applyFill="1" applyBorder="1" applyAlignment="1">
      <alignment horizontal="center" vertical="center"/>
    </xf>
    <xf numFmtId="167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5" fontId="2" fillId="0" borderId="75" xfId="0" applyNumberFormat="1" applyFont="1" applyBorder="1"/>
    <xf numFmtId="9" fontId="2" fillId="6" borderId="75" xfId="3" applyFont="1" applyFill="1" applyBorder="1"/>
    <xf numFmtId="165" fontId="2" fillId="6" borderId="75" xfId="0" applyNumberFormat="1" applyFont="1" applyFill="1" applyBorder="1"/>
    <xf numFmtId="167" fontId="5" fillId="0" borderId="75" xfId="0" applyNumberFormat="1" applyFont="1" applyBorder="1" applyAlignment="1">
      <alignment horizontal="center"/>
    </xf>
    <xf numFmtId="167" fontId="5" fillId="0" borderId="87" xfId="0" applyNumberFormat="1" applyFont="1" applyBorder="1" applyAlignment="1">
      <alignment horizontal="center"/>
    </xf>
    <xf numFmtId="167" fontId="2" fillId="6" borderId="75" xfId="0" applyNumberFormat="1" applyFont="1" applyFill="1" applyBorder="1"/>
    <xf numFmtId="165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7" fontId="2" fillId="6" borderId="90" xfId="0" applyNumberFormat="1" applyFont="1" applyFill="1" applyBorder="1"/>
    <xf numFmtId="173" fontId="2" fillId="0" borderId="75" xfId="1" applyNumberFormat="1" applyFont="1" applyBorder="1"/>
    <xf numFmtId="165" fontId="3" fillId="6" borderId="75" xfId="0" applyNumberFormat="1" applyFont="1" applyFill="1" applyBorder="1"/>
    <xf numFmtId="167" fontId="6" fillId="0" borderId="75" xfId="0" applyNumberFormat="1" applyFont="1" applyBorder="1"/>
    <xf numFmtId="167" fontId="2" fillId="0" borderId="75" xfId="0" applyNumberFormat="1" applyFont="1" applyBorder="1"/>
    <xf numFmtId="165" fontId="3" fillId="0" borderId="75" xfId="0" applyNumberFormat="1" applyFont="1" applyBorder="1"/>
    <xf numFmtId="168" fontId="2" fillId="0" borderId="75" xfId="0" applyNumberFormat="1" applyFont="1" applyBorder="1"/>
    <xf numFmtId="167" fontId="2" fillId="0" borderId="75" xfId="0" applyNumberFormat="1" applyFont="1" applyBorder="1" applyAlignment="1">
      <alignment vertical="center"/>
    </xf>
    <xf numFmtId="167" fontId="2" fillId="4" borderId="87" xfId="0" applyNumberFormat="1" applyFont="1" applyFill="1" applyBorder="1"/>
    <xf numFmtId="165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8" fontId="6" fillId="0" borderId="75" xfId="0" applyNumberFormat="1" applyFont="1" applyBorder="1"/>
    <xf numFmtId="167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7" fontId="3" fillId="4" borderId="87" xfId="1" applyNumberFormat="1" applyFont="1" applyFill="1" applyBorder="1" applyAlignment="1">
      <alignment horizontal="center"/>
    </xf>
    <xf numFmtId="165" fontId="3" fillId="0" borderId="73" xfId="0" applyNumberFormat="1" applyFont="1" applyBorder="1"/>
    <xf numFmtId="166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5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7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9" fontId="0" fillId="0" borderId="0" xfId="0" applyNumberFormat="1"/>
    <xf numFmtId="165" fontId="0" fillId="0" borderId="0" xfId="0" applyNumberFormat="1"/>
    <xf numFmtId="43" fontId="2" fillId="0" borderId="0" xfId="1" applyFont="1" applyBorder="1" applyAlignment="1">
      <alignment vertical="center"/>
    </xf>
    <xf numFmtId="167" fontId="2" fillId="0" borderId="0" xfId="0" applyNumberFormat="1" applyFont="1" applyAlignment="1">
      <alignment horizontal="center"/>
    </xf>
    <xf numFmtId="166" fontId="3" fillId="0" borderId="0" xfId="2" applyNumberFormat="1" applyFont="1" applyFill="1" applyBorder="1"/>
    <xf numFmtId="167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7" fontId="2" fillId="5" borderId="4" xfId="1" applyNumberFormat="1" applyFont="1" applyFill="1" applyBorder="1" applyAlignment="1">
      <alignment horizontal="center"/>
    </xf>
    <xf numFmtId="167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5" fontId="2" fillId="5" borderId="4" xfId="1" applyNumberFormat="1" applyFont="1" applyFill="1" applyBorder="1" applyAlignment="1">
      <alignment horizontal="center"/>
    </xf>
    <xf numFmtId="169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5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5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64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7" fontId="10" fillId="6" borderId="6" xfId="5" applyNumberFormat="1" applyFont="1" applyFill="1" applyBorder="1" applyAlignment="1">
      <alignment vertical="center"/>
    </xf>
    <xf numFmtId="167" fontId="10" fillId="6" borderId="153" xfId="5" applyNumberFormat="1" applyFont="1" applyFill="1" applyBorder="1" applyAlignment="1">
      <alignment horizontal="center" vertical="center"/>
    </xf>
    <xf numFmtId="167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7" fontId="10" fillId="0" borderId="4" xfId="5" applyNumberFormat="1" applyFont="1" applyFill="1" applyBorder="1" applyAlignment="1">
      <alignment vertical="center"/>
    </xf>
    <xf numFmtId="167" fontId="10" fillId="5" borderId="4" xfId="5" applyNumberFormat="1" applyFont="1" applyFill="1" applyBorder="1" applyAlignment="1">
      <alignment vertical="center"/>
    </xf>
    <xf numFmtId="167" fontId="10" fillId="0" borderId="130" xfId="5" applyNumberFormat="1" applyFont="1" applyFill="1" applyBorder="1" applyAlignment="1">
      <alignment horizontal="center" vertical="center"/>
    </xf>
    <xf numFmtId="167" fontId="64" fillId="0" borderId="0" xfId="16" applyNumberFormat="1" applyFont="1"/>
    <xf numFmtId="167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7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7" fontId="9" fillId="16" borderId="28" xfId="5" applyNumberFormat="1" applyFont="1" applyFill="1" applyBorder="1" applyAlignment="1">
      <alignment horizontal="center" vertical="center"/>
    </xf>
    <xf numFmtId="164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5" fontId="10" fillId="0" borderId="4" xfId="5" applyFont="1" applyFill="1" applyBorder="1" applyAlignment="1">
      <alignment horizontal="right" vertical="center"/>
    </xf>
    <xf numFmtId="165" fontId="10" fillId="0" borderId="130" xfId="5" applyFont="1" applyFill="1" applyBorder="1" applyAlignment="1">
      <alignment horizontal="center" vertical="center"/>
    </xf>
    <xf numFmtId="165" fontId="10" fillId="5" borderId="0" xfId="5" applyFont="1" applyFill="1" applyBorder="1" applyAlignment="1">
      <alignment horizontal="right" vertical="center"/>
    </xf>
    <xf numFmtId="167" fontId="10" fillId="16" borderId="28" xfId="5" applyNumberFormat="1" applyFont="1" applyFill="1" applyBorder="1" applyAlignment="1">
      <alignment horizontal="center" vertical="center"/>
    </xf>
    <xf numFmtId="165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8" fontId="10" fillId="5" borderId="4" xfId="5" applyNumberFormat="1" applyFont="1" applyFill="1" applyBorder="1" applyAlignment="1">
      <alignment vertical="center"/>
    </xf>
    <xf numFmtId="165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5" fontId="10" fillId="0" borderId="28" xfId="5" applyFont="1" applyFill="1" applyBorder="1" applyAlignment="1">
      <alignment horizontal="center" vertical="center"/>
    </xf>
    <xf numFmtId="165" fontId="10" fillId="5" borderId="0" xfId="5" applyFont="1" applyFill="1" applyBorder="1" applyAlignment="1">
      <alignment vertical="center"/>
    </xf>
    <xf numFmtId="165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7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7" fontId="10" fillId="0" borderId="2" xfId="5" applyNumberFormat="1" applyFont="1" applyFill="1" applyBorder="1" applyAlignment="1">
      <alignment vertical="center"/>
    </xf>
    <xf numFmtId="167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7" fontId="10" fillId="5" borderId="6" xfId="5" applyNumberFormat="1" applyFont="1" applyFill="1" applyBorder="1" applyAlignment="1">
      <alignment vertical="center"/>
    </xf>
    <xf numFmtId="165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7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7" fontId="10" fillId="0" borderId="6" xfId="5" applyNumberFormat="1" applyFont="1" applyFill="1" applyBorder="1" applyAlignment="1">
      <alignment vertical="center"/>
    </xf>
    <xf numFmtId="167" fontId="10" fillId="0" borderId="153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43" fontId="64" fillId="0" borderId="0" xfId="16" applyNumberFormat="1" applyFont="1"/>
    <xf numFmtId="167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5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7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5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5" fontId="10" fillId="6" borderId="6" xfId="5" applyFont="1" applyFill="1" applyBorder="1" applyAlignment="1">
      <alignment horizontal="right" vertical="center"/>
    </xf>
    <xf numFmtId="167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5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7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5" fontId="2" fillId="5" borderId="6" xfId="5" applyFont="1" applyFill="1" applyBorder="1" applyAlignment="1">
      <alignment vertical="center"/>
    </xf>
    <xf numFmtId="165" fontId="10" fillId="0" borderId="153" xfId="5" applyFont="1" applyFill="1" applyBorder="1" applyAlignment="1">
      <alignment horizontal="center" vertical="center"/>
    </xf>
    <xf numFmtId="165" fontId="10" fillId="5" borderId="2" xfId="5" applyFont="1" applyFill="1" applyBorder="1" applyAlignment="1">
      <alignment vertical="center"/>
    </xf>
    <xf numFmtId="165" fontId="10" fillId="0" borderId="24" xfId="5" applyFont="1" applyFill="1" applyBorder="1" applyAlignment="1">
      <alignment horizontal="center" vertical="center"/>
    </xf>
    <xf numFmtId="167" fontId="9" fillId="0" borderId="28" xfId="5" applyNumberFormat="1" applyFont="1" applyFill="1" applyBorder="1" applyAlignment="1">
      <alignment horizontal="center" vertical="center"/>
    </xf>
    <xf numFmtId="165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5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5" fontId="9" fillId="16" borderId="28" xfId="5" applyFont="1" applyFill="1" applyBorder="1" applyAlignment="1">
      <alignment horizontal="center" vertical="center"/>
    </xf>
    <xf numFmtId="165" fontId="10" fillId="16" borderId="4" xfId="5" applyFont="1" applyFill="1" applyBorder="1" applyAlignment="1">
      <alignment vertical="center"/>
    </xf>
    <xf numFmtId="165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1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5" fontId="10" fillId="5" borderId="12" xfId="5" applyFont="1" applyFill="1" applyBorder="1" applyAlignment="1">
      <alignment vertical="center"/>
    </xf>
    <xf numFmtId="165" fontId="10" fillId="0" borderId="12" xfId="5" applyFont="1" applyFill="1" applyBorder="1" applyAlignment="1">
      <alignment horizontal="right" vertical="center"/>
    </xf>
    <xf numFmtId="165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5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7" fontId="2" fillId="6" borderId="6" xfId="5" applyNumberFormat="1" applyFont="1" applyFill="1" applyBorder="1"/>
    <xf numFmtId="167" fontId="10" fillId="6" borderId="6" xfId="5" applyNumberFormat="1" applyFont="1" applyFill="1" applyBorder="1"/>
    <xf numFmtId="167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7" fontId="2" fillId="0" borderId="4" xfId="5" applyNumberFormat="1" applyFont="1" applyFill="1" applyBorder="1"/>
    <xf numFmtId="169" fontId="2" fillId="0" borderId="4" xfId="5" applyNumberFormat="1" applyFont="1" applyFill="1" applyBorder="1"/>
    <xf numFmtId="167" fontId="10" fillId="0" borderId="4" xfId="5" applyNumberFormat="1" applyFont="1" applyFill="1" applyBorder="1"/>
    <xf numFmtId="167" fontId="10" fillId="5" borderId="4" xfId="5" applyNumberFormat="1" applyFont="1" applyFill="1" applyBorder="1"/>
    <xf numFmtId="167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9" fontId="10" fillId="16" borderId="4" xfId="5" applyNumberFormat="1" applyFont="1" applyFill="1" applyBorder="1"/>
    <xf numFmtId="9" fontId="10" fillId="16" borderId="4" xfId="3" applyFont="1" applyFill="1" applyBorder="1"/>
    <xf numFmtId="165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70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5" fontId="2" fillId="5" borderId="4" xfId="5" applyFont="1" applyFill="1" applyBorder="1"/>
    <xf numFmtId="9" fontId="10" fillId="0" borderId="4" xfId="3" applyFont="1" applyFill="1" applyBorder="1"/>
    <xf numFmtId="165" fontId="10" fillId="5" borderId="4" xfId="5" applyFont="1" applyFill="1" applyBorder="1"/>
    <xf numFmtId="181" fontId="10" fillId="0" borderId="8" xfId="5" applyNumberFormat="1" applyFont="1" applyFill="1" applyBorder="1"/>
    <xf numFmtId="170" fontId="2" fillId="0" borderId="0" xfId="16" applyNumberFormat="1" applyFont="1"/>
    <xf numFmtId="182" fontId="10" fillId="0" borderId="8" xfId="5" applyNumberFormat="1" applyFont="1" applyFill="1" applyBorder="1"/>
    <xf numFmtId="169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9" fontId="3" fillId="0" borderId="2" xfId="5" applyNumberFormat="1" applyFont="1" applyFill="1" applyBorder="1"/>
    <xf numFmtId="9" fontId="10" fillId="0" borderId="2" xfId="3" applyFont="1" applyFill="1" applyBorder="1"/>
    <xf numFmtId="165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5" fontId="3" fillId="6" borderId="4" xfId="5" applyFont="1" applyFill="1" applyBorder="1"/>
    <xf numFmtId="9" fontId="10" fillId="6" borderId="6" xfId="3" applyFont="1" applyFill="1" applyBorder="1"/>
    <xf numFmtId="165" fontId="9" fillId="6" borderId="4" xfId="5" applyFont="1" applyFill="1" applyBorder="1"/>
    <xf numFmtId="165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7" fontId="2" fillId="17" borderId="4" xfId="5" applyNumberFormat="1" applyFont="1" applyFill="1" applyBorder="1"/>
    <xf numFmtId="167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5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7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7" fontId="3" fillId="0" borderId="4" xfId="5" applyNumberFormat="1" applyFont="1" applyFill="1" applyBorder="1"/>
    <xf numFmtId="165" fontId="10" fillId="6" borderId="6" xfId="5" applyFont="1" applyFill="1" applyBorder="1"/>
    <xf numFmtId="165" fontId="10" fillId="6" borderId="23" xfId="5" applyFont="1" applyFill="1" applyBorder="1"/>
    <xf numFmtId="165" fontId="2" fillId="16" borderId="4" xfId="5" applyFont="1" applyFill="1" applyBorder="1"/>
    <xf numFmtId="165" fontId="10" fillId="16" borderId="4" xfId="5" applyFont="1" applyFill="1" applyBorder="1"/>
    <xf numFmtId="188" fontId="9" fillId="16" borderId="8" xfId="5" applyNumberFormat="1" applyFont="1" applyFill="1" applyBorder="1"/>
    <xf numFmtId="165" fontId="2" fillId="0" borderId="4" xfId="5" applyFont="1" applyFill="1" applyBorder="1"/>
    <xf numFmtId="165" fontId="10" fillId="0" borderId="4" xfId="5" applyFont="1" applyFill="1" applyBorder="1"/>
    <xf numFmtId="188" fontId="9" fillId="0" borderId="8" xfId="5" applyNumberFormat="1" applyFont="1" applyFill="1" applyBorder="1"/>
    <xf numFmtId="188" fontId="10" fillId="0" borderId="8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5" fontId="3" fillId="0" borderId="4" xfId="5" applyFont="1" applyFill="1" applyBorder="1"/>
    <xf numFmtId="165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5" fontId="9" fillId="16" borderId="8" xfId="5" applyFont="1" applyFill="1" applyBorder="1"/>
    <xf numFmtId="189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5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5" fontId="9" fillId="0" borderId="8" xfId="5" applyFont="1" applyFill="1" applyBorder="1"/>
    <xf numFmtId="165" fontId="2" fillId="0" borderId="0" xfId="5" applyFont="1"/>
    <xf numFmtId="165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5" fontId="2" fillId="5" borderId="2" xfId="5" applyFont="1" applyFill="1" applyBorder="1"/>
    <xf numFmtId="165" fontId="10" fillId="0" borderId="2" xfId="5" applyFont="1" applyFill="1" applyBorder="1"/>
    <xf numFmtId="165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5" fontId="2" fillId="5" borderId="0" xfId="5" applyFont="1" applyFill="1" applyBorder="1"/>
    <xf numFmtId="9" fontId="10" fillId="0" borderId="0" xfId="3" applyFont="1" applyFill="1" applyBorder="1"/>
    <xf numFmtId="165" fontId="10" fillId="0" borderId="0" xfId="5" applyFont="1" applyFill="1" applyBorder="1"/>
    <xf numFmtId="165" fontId="9" fillId="0" borderId="0" xfId="5" applyFont="1" applyFill="1" applyBorder="1"/>
    <xf numFmtId="0" fontId="36" fillId="0" borderId="0" xfId="16" applyFont="1" applyAlignment="1">
      <alignment horizontal="left"/>
    </xf>
    <xf numFmtId="167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5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0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0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7" fontId="23" fillId="5" borderId="4" xfId="5" applyNumberFormat="1" applyFont="1" applyFill="1" applyBorder="1" applyAlignment="1">
      <alignment horizontal="center" vertical="center"/>
    </xf>
    <xf numFmtId="164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5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7" fontId="23" fillId="5" borderId="65" xfId="5" applyNumberFormat="1" applyFont="1" applyFill="1" applyBorder="1" applyAlignment="1">
      <alignment horizontal="center" vertical="center"/>
    </xf>
    <xf numFmtId="164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1" fontId="23" fillId="6" borderId="66" xfId="12" applyNumberFormat="1" applyFont="1" applyFill="1" applyBorder="1" applyAlignment="1">
      <alignment horizontal="center" vertical="center"/>
    </xf>
    <xf numFmtId="164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64" fontId="23" fillId="5" borderId="62" xfId="12" applyFont="1" applyFill="1" applyBorder="1" applyAlignment="1">
      <alignment horizontal="center" vertical="center"/>
    </xf>
    <xf numFmtId="167" fontId="23" fillId="5" borderId="62" xfId="5" applyNumberFormat="1" applyFont="1" applyFill="1" applyBorder="1" applyAlignment="1">
      <alignment horizontal="center" vertical="center"/>
    </xf>
    <xf numFmtId="167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2" fontId="23" fillId="6" borderId="62" xfId="16" applyNumberFormat="1" applyFont="1" applyFill="1" applyBorder="1" applyAlignment="1">
      <alignment horizontal="center" vertical="center"/>
    </xf>
    <xf numFmtId="191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64" fontId="23" fillId="5" borderId="62" xfId="16" applyNumberFormat="1" applyFont="1" applyFill="1" applyBorder="1" applyAlignment="1">
      <alignment horizontal="center" vertical="center"/>
    </xf>
    <xf numFmtId="167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64" fontId="23" fillId="5" borderId="65" xfId="16" applyNumberFormat="1" applyFont="1" applyFill="1" applyBorder="1" applyAlignment="1">
      <alignment horizontal="center" vertical="center"/>
    </xf>
    <xf numFmtId="167" fontId="23" fillId="5" borderId="65" xfId="5" applyNumberFormat="1" applyFont="1" applyFill="1" applyBorder="1" applyAlignment="1">
      <alignment vertical="center"/>
    </xf>
    <xf numFmtId="0" fontId="76" fillId="6" borderId="4" xfId="16" applyFont="1" applyFill="1" applyBorder="1" applyAlignment="1">
      <alignment horizontal="center" vertical="center"/>
    </xf>
    <xf numFmtId="190" fontId="76" fillId="6" borderId="4" xfId="16" applyNumberFormat="1" applyFont="1" applyFill="1" applyBorder="1" applyAlignment="1">
      <alignment horizontal="center" vertical="center"/>
    </xf>
    <xf numFmtId="190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1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5" fontId="23" fillId="0" borderId="64" xfId="5" applyFont="1" applyBorder="1" applyAlignment="1">
      <alignment horizontal="right" vertical="center"/>
    </xf>
    <xf numFmtId="165" fontId="23" fillId="0" borderId="62" xfId="5" applyFont="1" applyBorder="1" applyAlignment="1">
      <alignment horizontal="righ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2" fontId="23" fillId="7" borderId="62" xfId="16" applyNumberFormat="1" applyFont="1" applyFill="1" applyBorder="1" applyAlignment="1">
      <alignment horizontal="right" vertical="center"/>
    </xf>
    <xf numFmtId="191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3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2" fontId="23" fillId="7" borderId="115" xfId="16" applyNumberFormat="1" applyFont="1" applyFill="1" applyBorder="1" applyAlignment="1">
      <alignment horizontal="center"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5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7" fontId="2" fillId="0" borderId="3" xfId="1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vertical="center"/>
    </xf>
    <xf numFmtId="167" fontId="2" fillId="0" borderId="13" xfId="1" applyNumberFormat="1" applyFont="1" applyFill="1" applyBorder="1"/>
    <xf numFmtId="167" fontId="2" fillId="6" borderId="14" xfId="1" applyNumberFormat="1" applyFont="1" applyFill="1" applyBorder="1"/>
    <xf numFmtId="166" fontId="2" fillId="0" borderId="14" xfId="2" applyNumberFormat="1" applyFont="1" applyFill="1" applyBorder="1"/>
    <xf numFmtId="167" fontId="2" fillId="5" borderId="13" xfId="1" applyNumberFormat="1" applyFont="1" applyFill="1" applyBorder="1"/>
    <xf numFmtId="167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43" fontId="2" fillId="4" borderId="4" xfId="1" applyFont="1" applyFill="1" applyBorder="1"/>
    <xf numFmtId="167" fontId="10" fillId="6" borderId="4" xfId="1" applyNumberFormat="1" applyFont="1" applyFill="1" applyBorder="1"/>
    <xf numFmtId="169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167" fontId="2" fillId="5" borderId="108" xfId="1" applyNumberFormat="1" applyFont="1" applyFill="1" applyBorder="1" applyAlignment="1">
      <alignment vertical="center"/>
    </xf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0" fontId="2" fillId="0" borderId="171" xfId="0" applyFont="1" applyBorder="1" applyAlignment="1">
      <alignment horizontal="center" vertical="center"/>
    </xf>
    <xf numFmtId="167" fontId="2" fillId="5" borderId="62" xfId="1" applyNumberFormat="1" applyFont="1" applyFill="1" applyBorder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0" fontId="2" fillId="0" borderId="174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43" fontId="2" fillId="0" borderId="173" xfId="1" applyFont="1" applyFill="1" applyBorder="1" applyAlignment="1">
      <alignment vertical="center"/>
    </xf>
    <xf numFmtId="0" fontId="10" fillId="0" borderId="176" xfId="0" applyFont="1" applyBorder="1" applyAlignment="1">
      <alignment horizontal="center" vertical="center"/>
    </xf>
    <xf numFmtId="43" fontId="2" fillId="0" borderId="177" xfId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167" fontId="9" fillId="0" borderId="179" xfId="1" applyNumberFormat="1" applyFont="1" applyFill="1" applyBorder="1" applyAlignment="1">
      <alignment vertical="center"/>
    </xf>
    <xf numFmtId="0" fontId="9" fillId="0" borderId="180" xfId="0" applyFont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163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7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74" fontId="2" fillId="0" borderId="0" xfId="1" applyNumberFormat="1" applyFont="1" applyAlignment="1">
      <alignment vertical="center"/>
    </xf>
    <xf numFmtId="171" fontId="3" fillId="0" borderId="0" xfId="1" applyNumberFormat="1" applyFont="1"/>
    <xf numFmtId="0" fontId="2" fillId="5" borderId="174" xfId="0" applyFont="1" applyFill="1" applyBorder="1" applyAlignment="1">
      <alignment horizontal="center" vertical="center"/>
    </xf>
    <xf numFmtId="43" fontId="2" fillId="5" borderId="172" xfId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3" fontId="2" fillId="0" borderId="181" xfId="1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167" fontId="9" fillId="0" borderId="167" xfId="1" applyNumberFormat="1" applyFont="1" applyFill="1" applyBorder="1" applyAlignment="1">
      <alignment vertical="center"/>
    </xf>
    <xf numFmtId="0" fontId="9" fillId="0" borderId="163" xfId="0" applyFont="1" applyBorder="1" applyAlignment="1">
      <alignment vertical="center"/>
    </xf>
    <xf numFmtId="165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18" borderId="11" xfId="6" applyFont="1" applyFill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18" borderId="11" xfId="6" applyNumberFormat="1" applyFill="1" applyBorder="1"/>
    <xf numFmtId="167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5" fontId="15" fillId="0" borderId="0" xfId="6" applyNumberFormat="1"/>
    <xf numFmtId="180" fontId="15" fillId="0" borderId="0" xfId="6" applyNumberFormat="1"/>
    <xf numFmtId="167" fontId="1" fillId="0" borderId="11" xfId="17" applyNumberFormat="1" applyFill="1" applyBorder="1"/>
    <xf numFmtId="180" fontId="82" fillId="18" borderId="0" xfId="6" applyNumberFormat="1" applyFont="1" applyFill="1"/>
    <xf numFmtId="41" fontId="0" fillId="0" borderId="0" xfId="15" applyFont="1"/>
    <xf numFmtId="167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0" fontId="82" fillId="5" borderId="0" xfId="6" applyFont="1" applyFill="1"/>
    <xf numFmtId="167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18" borderId="11" xfId="6" applyFont="1" applyFill="1" applyBorder="1" applyAlignment="1">
      <alignment horizontal="center" vertical="center"/>
    </xf>
    <xf numFmtId="0" fontId="15" fillId="20" borderId="11" xfId="6" applyFill="1" applyBorder="1"/>
    <xf numFmtId="195" fontId="15" fillId="0" borderId="11" xfId="6" applyNumberFormat="1" applyBorder="1"/>
    <xf numFmtId="167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0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5" fontId="15" fillId="0" borderId="11" xfId="6" applyNumberFormat="1" applyBorder="1" applyAlignment="1">
      <alignment vertical="center"/>
    </xf>
    <xf numFmtId="167" fontId="81" fillId="0" borderId="11" xfId="17" applyNumberFormat="1" applyFont="1" applyFill="1" applyBorder="1" applyAlignment="1">
      <alignment horizontal="right" vertical="center"/>
    </xf>
    <xf numFmtId="0" fontId="82" fillId="18" borderId="0" xfId="6" applyFont="1" applyFill="1" applyAlignment="1">
      <alignment vertical="center" wrapText="1"/>
    </xf>
    <xf numFmtId="0" fontId="15" fillId="5" borderId="0" xfId="6" applyFill="1"/>
    <xf numFmtId="167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1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5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7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8" fontId="15" fillId="0" borderId="0" xfId="6" applyNumberFormat="1"/>
    <xf numFmtId="0" fontId="15" fillId="4" borderId="11" xfId="6" applyFill="1" applyBorder="1" applyAlignment="1">
      <alignment horizontal="center" vertical="center"/>
    </xf>
    <xf numFmtId="168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7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8" fontId="3" fillId="7" borderId="4" xfId="1" applyNumberFormat="1" applyFont="1" applyFill="1" applyBorder="1" applyAlignment="1">
      <alignment vertical="center"/>
    </xf>
    <xf numFmtId="171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7" fontId="15" fillId="0" borderId="11" xfId="6" applyNumberFormat="1" applyBorder="1"/>
    <xf numFmtId="0" fontId="0" fillId="4" borderId="11" xfId="6" applyFont="1" applyFill="1" applyBorder="1"/>
    <xf numFmtId="166" fontId="2" fillId="0" borderId="4" xfId="2" applyNumberFormat="1" applyFont="1" applyFill="1" applyBorder="1" applyAlignment="1">
      <alignment horizontal="right" vertical="center"/>
    </xf>
    <xf numFmtId="165" fontId="2" fillId="6" borderId="4" xfId="1" applyNumberFormat="1" applyFont="1" applyFill="1" applyBorder="1" applyAlignment="1">
      <alignment horizontal="right"/>
    </xf>
    <xf numFmtId="166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41" fontId="2" fillId="6" borderId="4" xfId="2" applyFont="1" applyFill="1" applyBorder="1" applyAlignment="1">
      <alignment horizontal="right" vertical="center"/>
    </xf>
    <xf numFmtId="167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59" xfId="0" applyNumberFormat="1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68" fontId="3" fillId="7" borderId="4" xfId="1" applyNumberFormat="1" applyFont="1" applyFill="1" applyBorder="1" applyAlignment="1">
      <alignment horizontal="center" vertical="center"/>
    </xf>
    <xf numFmtId="168" fontId="3" fillId="0" borderId="4" xfId="1" applyNumberFormat="1" applyFont="1" applyFill="1" applyBorder="1" applyAlignment="1">
      <alignment vertical="center"/>
    </xf>
    <xf numFmtId="168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2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9" fontId="3" fillId="7" borderId="2" xfId="1" applyNumberFormat="1" applyFont="1" applyFill="1" applyBorder="1" applyAlignment="1">
      <alignment vertical="center"/>
    </xf>
    <xf numFmtId="165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7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7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8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8" fontId="2" fillId="7" borderId="1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vertical="center"/>
    </xf>
    <xf numFmtId="194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7" fontId="3" fillId="0" borderId="2" xfId="1" applyNumberFormat="1" applyFont="1" applyFill="1" applyBorder="1" applyAlignment="1">
      <alignment vertical="center"/>
    </xf>
    <xf numFmtId="165" fontId="3" fillId="0" borderId="2" xfId="1" applyNumberFormat="1" applyFont="1" applyFill="1" applyBorder="1" applyAlignment="1">
      <alignment vertical="center"/>
    </xf>
    <xf numFmtId="165" fontId="2" fillId="7" borderId="2" xfId="1" applyNumberFormat="1" applyFont="1" applyFill="1" applyBorder="1" applyAlignment="1">
      <alignment vertical="center"/>
    </xf>
    <xf numFmtId="165" fontId="2" fillId="19" borderId="12" xfId="1" applyNumberFormat="1" applyFont="1" applyFill="1" applyBorder="1" applyAlignment="1">
      <alignment vertical="center"/>
    </xf>
    <xf numFmtId="0" fontId="0" fillId="19" borderId="74" xfId="0" applyFill="1" applyBorder="1"/>
    <xf numFmtId="0" fontId="0" fillId="19" borderId="12" xfId="0" applyFill="1" applyBorder="1"/>
    <xf numFmtId="0" fontId="0" fillId="19" borderId="183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8" fontId="2" fillId="8" borderId="4" xfId="1" applyNumberFormat="1" applyFont="1" applyFill="1" applyBorder="1" applyAlignment="1">
      <alignment horizontal="center"/>
    </xf>
    <xf numFmtId="167" fontId="2" fillId="8" borderId="4" xfId="1" applyNumberFormat="1" applyFont="1" applyFill="1" applyBorder="1" applyAlignment="1">
      <alignment vertical="center"/>
    </xf>
    <xf numFmtId="165" fontId="2" fillId="4" borderId="4" xfId="1" applyNumberFormat="1" applyFont="1" applyFill="1" applyBorder="1" applyAlignment="1">
      <alignment vertical="center"/>
    </xf>
    <xf numFmtId="165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2" borderId="8" xfId="0" applyNumberFormat="1" applyFont="1" applyFill="1" applyBorder="1" applyAlignment="1">
      <alignment horizontal="center"/>
    </xf>
    <xf numFmtId="0" fontId="2" fillId="22" borderId="1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7" fontId="19" fillId="0" borderId="11" xfId="17" applyNumberFormat="1" applyFont="1" applyFill="1" applyBorder="1"/>
    <xf numFmtId="167" fontId="1" fillId="0" borderId="11" xfId="6" applyNumberFormat="1" applyFont="1" applyBorder="1"/>
    <xf numFmtId="167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3" borderId="11" xfId="6" applyFill="1" applyBorder="1"/>
    <xf numFmtId="167" fontId="15" fillId="23" borderId="11" xfId="6" applyNumberFormat="1" applyFill="1" applyBorder="1"/>
    <xf numFmtId="167" fontId="15" fillId="4" borderId="11" xfId="6" applyNumberFormat="1" applyFill="1" applyBorder="1"/>
    <xf numFmtId="0" fontId="15" fillId="6" borderId="11" xfId="6" applyFill="1" applyBorder="1"/>
    <xf numFmtId="167" fontId="15" fillId="6" borderId="11" xfId="6" applyNumberFormat="1" applyFill="1" applyBorder="1"/>
    <xf numFmtId="0" fontId="1" fillId="6" borderId="11" xfId="6" applyFont="1" applyFill="1" applyBorder="1"/>
    <xf numFmtId="167" fontId="19" fillId="6" borderId="11" xfId="17" applyNumberFormat="1" applyFont="1" applyFill="1" applyBorder="1"/>
    <xf numFmtId="167" fontId="1" fillId="6" borderId="11" xfId="6" applyNumberFormat="1" applyFont="1" applyFill="1" applyBorder="1"/>
    <xf numFmtId="0" fontId="1" fillId="4" borderId="11" xfId="6" applyFont="1" applyFill="1" applyBorder="1"/>
    <xf numFmtId="167" fontId="19" fillId="4" borderId="11" xfId="17" applyNumberFormat="1" applyFont="1" applyFill="1" applyBorder="1"/>
    <xf numFmtId="167" fontId="1" fillId="4" borderId="11" xfId="6" applyNumberFormat="1" applyFont="1" applyFill="1" applyBorder="1"/>
    <xf numFmtId="167" fontId="1" fillId="4" borderId="11" xfId="17" applyNumberFormat="1" applyFont="1" applyFill="1" applyBorder="1"/>
    <xf numFmtId="3" fontId="1" fillId="4" borderId="11" xfId="6" applyNumberFormat="1" applyFont="1" applyFill="1" applyBorder="1"/>
    <xf numFmtId="167" fontId="2" fillId="8" borderId="4" xfId="1" applyNumberFormat="1" applyFont="1" applyFill="1" applyBorder="1" applyAlignment="1">
      <alignment horizontal="left"/>
    </xf>
    <xf numFmtId="167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5" fontId="2" fillId="0" borderId="4" xfId="1" applyNumberFormat="1" applyFont="1" applyFill="1" applyBorder="1"/>
    <xf numFmtId="165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7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7" fontId="2" fillId="0" borderId="3" xfId="48" applyNumberFormat="1" applyFont="1" applyBorder="1"/>
    <xf numFmtId="43" fontId="10" fillId="0" borderId="56" xfId="31" applyFont="1" applyFill="1" applyBorder="1"/>
    <xf numFmtId="173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7" fontId="2" fillId="0" borderId="3" xfId="71" applyNumberFormat="1" applyFont="1" applyBorder="1"/>
    <xf numFmtId="167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5" fontId="2" fillId="4" borderId="12" xfId="0" applyNumberFormat="1" applyFont="1" applyFill="1" applyBorder="1"/>
    <xf numFmtId="167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3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6" borderId="8" xfId="0" applyFont="1" applyFill="1" applyBorder="1"/>
    <xf numFmtId="165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5" fontId="2" fillId="26" borderId="4" xfId="1" applyNumberFormat="1" applyFont="1" applyFill="1" applyBorder="1" applyAlignment="1">
      <alignment horizontal="center"/>
    </xf>
    <xf numFmtId="167" fontId="2" fillId="26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7" fontId="3" fillId="4" borderId="184" xfId="1" applyNumberFormat="1" applyFont="1" applyFill="1" applyBorder="1"/>
    <xf numFmtId="0" fontId="3" fillId="4" borderId="154" xfId="0" quotePrefix="1" applyFont="1" applyFill="1" applyBorder="1"/>
    <xf numFmtId="167" fontId="3" fillId="4" borderId="156" xfId="1" applyNumberFormat="1" applyFont="1" applyFill="1" applyBorder="1"/>
    <xf numFmtId="167" fontId="2" fillId="7" borderId="4" xfId="1" applyNumberFormat="1" applyFont="1" applyFill="1" applyBorder="1" applyAlignment="1">
      <alignment horizontal="left" wrapText="1"/>
    </xf>
    <xf numFmtId="167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7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9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5" fontId="0" fillId="0" borderId="0" xfId="0" applyNumberFormat="1"/>
    <xf numFmtId="195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7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1" fontId="10" fillId="4" borderId="6" xfId="1" quotePrefix="1" applyNumberFormat="1" applyFont="1" applyFill="1" applyBorder="1" applyAlignment="1">
      <alignment horizontal="right"/>
    </xf>
    <xf numFmtId="172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5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4" xfId="0" quotePrefix="1" applyFont="1" applyFill="1" applyBorder="1"/>
    <xf numFmtId="167" fontId="2" fillId="8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/>
    </xf>
    <xf numFmtId="165" fontId="2" fillId="8" borderId="4" xfId="1" applyNumberFormat="1" applyFont="1" applyFill="1" applyBorder="1" applyAlignment="1">
      <alignment horizontal="right" vertical="center"/>
    </xf>
    <xf numFmtId="167" fontId="2" fillId="5" borderId="4" xfId="1" applyNumberFormat="1" applyFont="1" applyFill="1" applyBorder="1" applyAlignment="1">
      <alignment horizontal="center" vertical="center"/>
    </xf>
    <xf numFmtId="167" fontId="2" fillId="26" borderId="4" xfId="1" applyNumberFormat="1" applyFont="1" applyFill="1" applyBorder="1" applyAlignment="1">
      <alignment horizontal="center" vertical="center"/>
    </xf>
    <xf numFmtId="165" fontId="2" fillId="7" borderId="4" xfId="1" applyNumberFormat="1" applyFont="1" applyFill="1" applyBorder="1" applyAlignment="1">
      <alignment horizontal="right" vertical="center"/>
    </xf>
    <xf numFmtId="167" fontId="2" fillId="7" borderId="4" xfId="1" applyNumberFormat="1" applyFont="1" applyFill="1" applyBorder="1" applyAlignment="1">
      <alignment horizontal="center" vertical="center"/>
    </xf>
    <xf numFmtId="165" fontId="2" fillId="26" borderId="4" xfId="1" applyNumberFormat="1" applyFont="1" applyFill="1" applyBorder="1" applyAlignment="1">
      <alignment horizontal="center" vertical="center"/>
    </xf>
    <xf numFmtId="167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5" fontId="2" fillId="10" borderId="4" xfId="1" applyNumberFormat="1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 vertical="center"/>
    </xf>
    <xf numFmtId="165" fontId="2" fillId="4" borderId="4" xfId="1" applyNumberFormat="1" applyFont="1" applyFill="1" applyBorder="1" applyAlignment="1">
      <alignment horizontal="center" vertical="center"/>
    </xf>
    <xf numFmtId="167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5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7" fontId="3" fillId="4" borderId="155" xfId="1" applyNumberFormat="1" applyFont="1" applyFill="1" applyBorder="1" applyAlignment="1">
      <alignment horizontal="center"/>
    </xf>
    <xf numFmtId="0" fontId="0" fillId="0" borderId="187" xfId="0" applyBorder="1"/>
    <xf numFmtId="0" fontId="0" fillId="0" borderId="84" xfId="0" applyBorder="1"/>
    <xf numFmtId="165" fontId="0" fillId="0" borderId="84" xfId="0" applyNumberFormat="1" applyBorder="1"/>
    <xf numFmtId="0" fontId="0" fillId="0" borderId="188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9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5" fontId="2" fillId="7" borderId="4" xfId="1" applyNumberFormat="1" applyFont="1" applyFill="1" applyBorder="1" applyAlignment="1">
      <alignment horizontal="center" vertical="center"/>
    </xf>
    <xf numFmtId="0" fontId="1" fillId="0" borderId="59" xfId="6" applyFont="1" applyBorder="1"/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8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0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1" xfId="0" applyFont="1" applyBorder="1"/>
    <xf numFmtId="168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7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5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3" xfId="0" applyNumberFormat="1" applyFont="1" applyBorder="1" applyAlignment="1">
      <alignment horizontal="center"/>
    </xf>
    <xf numFmtId="0" fontId="0" fillId="0" borderId="192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198" fontId="0" fillId="0" borderId="0" xfId="0" applyNumberFormat="1"/>
    <xf numFmtId="199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3" borderId="11" xfId="6" applyFill="1" applyBorder="1" applyAlignment="1">
      <alignment vertical="center"/>
    </xf>
    <xf numFmtId="167" fontId="1" fillId="0" borderId="11" xfId="17" applyNumberFormat="1" applyFont="1" applyFill="1" applyBorder="1" applyAlignment="1">
      <alignment vertical="center"/>
    </xf>
    <xf numFmtId="167" fontId="1" fillId="0" borderId="11" xfId="17" applyNumberFormat="1" applyFont="1" applyFill="1" applyBorder="1" applyAlignment="1">
      <alignment horizontal="center" vertical="center"/>
    </xf>
    <xf numFmtId="167" fontId="1" fillId="6" borderId="11" xfId="6" applyNumberFormat="1" applyFont="1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7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7" fontId="3" fillId="0" borderId="7" xfId="1" applyNumberFormat="1" applyFont="1" applyBorder="1"/>
    <xf numFmtId="0" fontId="1" fillId="0" borderId="11" xfId="6" applyFont="1" applyBorder="1" applyAlignment="1">
      <alignment horizontal="center" vertical="center"/>
    </xf>
    <xf numFmtId="0" fontId="1" fillId="6" borderId="11" xfId="6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7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6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1" fontId="2" fillId="0" borderId="3" xfId="1" applyNumberFormat="1" applyFont="1" applyBorder="1"/>
    <xf numFmtId="167" fontId="1" fillId="6" borderId="11" xfId="73" applyNumberFormat="1" applyFill="1" applyBorder="1"/>
    <xf numFmtId="180" fontId="1" fillId="18" borderId="11" xfId="73" applyNumberFormat="1" applyFill="1" applyBorder="1"/>
    <xf numFmtId="167" fontId="1" fillId="0" borderId="11" xfId="73" applyNumberFormat="1" applyBorder="1"/>
    <xf numFmtId="0" fontId="1" fillId="6" borderId="11" xfId="73" applyFill="1" applyBorder="1"/>
    <xf numFmtId="167" fontId="1" fillId="4" borderId="11" xfId="73" applyNumberFormat="1" applyFill="1" applyBorder="1"/>
    <xf numFmtId="167" fontId="1" fillId="23" borderId="11" xfId="73" applyNumberFormat="1" applyFill="1" applyBorder="1"/>
    <xf numFmtId="0" fontId="1" fillId="0" borderId="11" xfId="73" applyBorder="1"/>
    <xf numFmtId="0" fontId="1" fillId="23" borderId="11" xfId="73" applyFill="1" applyBorder="1"/>
    <xf numFmtId="167" fontId="1" fillId="0" borderId="11" xfId="17" applyNumberFormat="1" applyFont="1" applyFill="1" applyBorder="1" applyAlignment="1"/>
    <xf numFmtId="167" fontId="15" fillId="0" borderId="11" xfId="6" applyNumberFormat="1" applyBorder="1" applyAlignment="1">
      <alignment horizontal="center"/>
    </xf>
    <xf numFmtId="41" fontId="2" fillId="6" borderId="4" xfId="2" applyFont="1" applyFill="1" applyBorder="1" applyAlignment="1">
      <alignment horizontal="center" vertical="center"/>
    </xf>
    <xf numFmtId="165" fontId="2" fillId="7" borderId="10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horizontal="center" vertical="center"/>
    </xf>
    <xf numFmtId="167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7" fontId="2" fillId="4" borderId="6" xfId="95" applyNumberFormat="1" applyFont="1" applyFill="1" applyBorder="1" applyAlignment="1">
      <alignment vertical="center"/>
    </xf>
    <xf numFmtId="167" fontId="2" fillId="6" borderId="4" xfId="95" applyNumberFormat="1" applyFont="1" applyFill="1" applyBorder="1" applyAlignment="1">
      <alignment vertical="center"/>
    </xf>
    <xf numFmtId="167" fontId="2" fillId="6" borderId="2" xfId="95" applyNumberFormat="1" applyFont="1" applyFill="1" applyBorder="1" applyAlignment="1">
      <alignment vertical="center"/>
    </xf>
    <xf numFmtId="167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7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7" fontId="3" fillId="0" borderId="4" xfId="95" applyNumberFormat="1" applyFont="1" applyFill="1" applyBorder="1" applyAlignment="1">
      <alignment vertical="center"/>
    </xf>
    <xf numFmtId="166" fontId="2" fillId="5" borderId="4" xfId="124" applyNumberFormat="1" applyFont="1" applyFill="1" applyBorder="1" applyAlignment="1">
      <alignment vertical="center"/>
    </xf>
    <xf numFmtId="167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6" fontId="3" fillId="6" borderId="11" xfId="124" applyNumberFormat="1" applyFont="1" applyFill="1" applyBorder="1" applyAlignment="1">
      <alignment vertical="center"/>
    </xf>
    <xf numFmtId="169" fontId="3" fillId="4" borderId="4" xfId="95" applyNumberFormat="1" applyFont="1" applyFill="1" applyBorder="1" applyAlignment="1">
      <alignment vertical="center"/>
    </xf>
    <xf numFmtId="167" fontId="2" fillId="0" borderId="4" xfId="95" applyNumberFormat="1" applyFont="1" applyBorder="1" applyAlignment="1">
      <alignment vertical="center"/>
    </xf>
    <xf numFmtId="167" fontId="2" fillId="5" borderId="4" xfId="95" applyNumberFormat="1" applyFont="1" applyFill="1" applyBorder="1" applyAlignment="1">
      <alignment vertical="center"/>
    </xf>
    <xf numFmtId="167" fontId="2" fillId="0" borderId="2" xfId="95" applyNumberFormat="1" applyFont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0" fontId="4" fillId="0" borderId="8" xfId="0" applyFont="1" applyBorder="1"/>
    <xf numFmtId="167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0" fontId="1" fillId="18" borderId="16" xfId="73" applyNumberFormat="1" applyFill="1" applyBorder="1" applyAlignment="1">
      <alignment vertical="center"/>
    </xf>
    <xf numFmtId="167" fontId="2" fillId="6" borderId="4" xfId="163" applyNumberFormat="1" applyFont="1" applyFill="1" applyBorder="1" applyAlignment="1">
      <alignment vertical="center"/>
    </xf>
    <xf numFmtId="169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7" fontId="3" fillId="0" borderId="4" xfId="308" applyNumberFormat="1" applyFont="1" applyFill="1" applyBorder="1" applyAlignment="1">
      <alignment vertical="center"/>
    </xf>
    <xf numFmtId="168" fontId="3" fillId="7" borderId="4" xfId="308" applyNumberFormat="1" applyFont="1" applyFill="1" applyBorder="1" applyAlignment="1">
      <alignment vertical="center"/>
    </xf>
    <xf numFmtId="43" fontId="2" fillId="0" borderId="4" xfId="31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7" fontId="2" fillId="7" borderId="4" xfId="310" applyNumberFormat="1" applyFont="1" applyFill="1" applyBorder="1" applyAlignment="1">
      <alignment vertical="center"/>
    </xf>
    <xf numFmtId="167" fontId="2" fillId="7" borderId="4" xfId="309" applyNumberFormat="1" applyFont="1" applyFill="1" applyBorder="1" applyAlignment="1">
      <alignment vertical="center"/>
    </xf>
    <xf numFmtId="167" fontId="2" fillId="4" borderId="11" xfId="1" applyNumberFormat="1" applyFont="1" applyFill="1" applyBorder="1"/>
    <xf numFmtId="0" fontId="1" fillId="0" borderId="59" xfId="6" applyFont="1" applyBorder="1" applyAlignment="1">
      <alignment horizontal="center" vertical="center"/>
    </xf>
    <xf numFmtId="0" fontId="15" fillId="0" borderId="59" xfId="6" applyBorder="1" applyAlignment="1">
      <alignment horizontal="center" vertical="center"/>
    </xf>
    <xf numFmtId="0" fontId="15" fillId="0" borderId="59" xfId="6" applyBorder="1"/>
    <xf numFmtId="0" fontId="15" fillId="6" borderId="59" xfId="6" applyFill="1" applyBorder="1"/>
    <xf numFmtId="167" fontId="15" fillId="0" borderId="59" xfId="6" applyNumberFormat="1" applyBorder="1" applyAlignment="1">
      <alignment horizontal="center" vertical="center"/>
    </xf>
    <xf numFmtId="0" fontId="15" fillId="4" borderId="59" xfId="6" applyFill="1" applyBorder="1"/>
    <xf numFmtId="0" fontId="0" fillId="0" borderId="59" xfId="0" applyBorder="1" applyAlignment="1">
      <alignment horizontal="center" vertical="center"/>
    </xf>
    <xf numFmtId="0" fontId="15" fillId="23" borderId="59" xfId="6" applyFill="1" applyBorder="1"/>
    <xf numFmtId="0" fontId="3" fillId="4" borderId="33" xfId="0" quotePrefix="1" applyFont="1" applyFill="1" applyBorder="1" applyAlignment="1">
      <alignment horizontal="center"/>
    </xf>
    <xf numFmtId="167" fontId="1" fillId="0" borderId="0" xfId="6" applyNumberFormat="1" applyFont="1"/>
    <xf numFmtId="174" fontId="2" fillId="5" borderId="2" xfId="1" applyNumberFormat="1" applyFont="1" applyFill="1" applyBorder="1" applyAlignment="1">
      <alignment vertical="center"/>
    </xf>
    <xf numFmtId="177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7" fontId="2" fillId="19" borderId="4" xfId="1" applyNumberFormat="1" applyFont="1" applyFill="1" applyBorder="1" applyAlignment="1">
      <alignment vertical="center"/>
    </xf>
    <xf numFmtId="167" fontId="6" fillId="19" borderId="3" xfId="0" applyNumberFormat="1" applyFont="1" applyFill="1" applyBorder="1"/>
    <xf numFmtId="43" fontId="2" fillId="19" borderId="4" xfId="1" applyFont="1" applyFill="1" applyBorder="1" applyAlignment="1">
      <alignment vertical="center"/>
    </xf>
    <xf numFmtId="166" fontId="2" fillId="0" borderId="4" xfId="319" applyNumberFormat="1" applyFont="1" applyFill="1" applyBorder="1" applyAlignment="1">
      <alignment vertical="center"/>
    </xf>
    <xf numFmtId="41" fontId="2" fillId="6" borderId="4" xfId="319" applyFont="1" applyFill="1" applyBorder="1" applyAlignment="1">
      <alignment horizontal="center" vertical="center"/>
    </xf>
    <xf numFmtId="196" fontId="81" fillId="18" borderId="11" xfId="553" applyNumberFormat="1" applyFont="1" applyFill="1" applyBorder="1"/>
    <xf numFmtId="196" fontId="81" fillId="18" borderId="11" xfId="553" applyNumberFormat="1" applyFont="1" applyFill="1" applyBorder="1" applyAlignment="1">
      <alignment vertical="center"/>
    </xf>
    <xf numFmtId="167" fontId="1" fillId="0" borderId="11" xfId="556" applyNumberFormat="1" applyFont="1" applyFill="1" applyBorder="1" applyAlignment="1">
      <alignment horizontal="right"/>
    </xf>
    <xf numFmtId="167" fontId="2" fillId="7" borderId="4" xfId="620" applyNumberFormat="1" applyFont="1" applyFill="1" applyBorder="1" applyAlignment="1">
      <alignment vertical="center"/>
    </xf>
    <xf numFmtId="169" fontId="2" fillId="7" borderId="4" xfId="632" applyNumberFormat="1" applyFont="1" applyFill="1" applyBorder="1" applyAlignment="1">
      <alignment horizontal="center" vertical="center"/>
    </xf>
    <xf numFmtId="169" fontId="3" fillId="7" borderId="4" xfId="630" applyNumberFormat="1" applyFont="1" applyFill="1" applyBorder="1" applyAlignment="1">
      <alignment vertical="center"/>
    </xf>
    <xf numFmtId="43" fontId="2" fillId="7" borderId="4" xfId="625" applyFont="1" applyFill="1" applyBorder="1" applyAlignment="1">
      <alignment vertical="center"/>
    </xf>
    <xf numFmtId="43" fontId="2" fillId="7" borderId="4" xfId="618" applyFont="1" applyFill="1" applyBorder="1" applyAlignment="1">
      <alignment vertical="center"/>
    </xf>
    <xf numFmtId="43" fontId="3" fillId="7" borderId="4" xfId="624" applyFont="1" applyFill="1" applyBorder="1" applyAlignment="1">
      <alignment vertical="center"/>
    </xf>
    <xf numFmtId="167" fontId="3" fillId="7" borderId="4" xfId="623" applyNumberFormat="1" applyFont="1" applyFill="1" applyBorder="1" applyAlignment="1">
      <alignment vertical="center"/>
    </xf>
    <xf numFmtId="43" fontId="2" fillId="7" borderId="4" xfId="621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7" fontId="2" fillId="7" borderId="4" xfId="633" applyNumberFormat="1" applyFont="1" applyFill="1" applyBorder="1" applyAlignment="1">
      <alignment vertical="center"/>
    </xf>
    <xf numFmtId="167" fontId="2" fillId="7" borderId="4" xfId="614" applyNumberFormat="1" applyFont="1" applyFill="1" applyBorder="1" applyAlignment="1">
      <alignment vertical="center"/>
    </xf>
    <xf numFmtId="167" fontId="2" fillId="7" borderId="4" xfId="628" applyNumberFormat="1" applyFont="1" applyFill="1" applyBorder="1" applyAlignment="1">
      <alignment vertical="center"/>
    </xf>
    <xf numFmtId="166" fontId="2" fillId="0" borderId="4" xfId="1165" applyNumberFormat="1" applyFont="1" applyFill="1" applyBorder="1" applyAlignment="1">
      <alignment vertical="center"/>
    </xf>
    <xf numFmtId="166" fontId="2" fillId="0" borderId="4" xfId="1175" applyNumberFormat="1" applyFont="1" applyFill="1" applyBorder="1" applyAlignment="1">
      <alignment vertical="center"/>
    </xf>
    <xf numFmtId="41" fontId="2" fillId="6" borderId="4" xfId="931" applyFont="1" applyFill="1" applyBorder="1" applyAlignment="1">
      <alignment horizontal="center" vertical="center"/>
    </xf>
    <xf numFmtId="167" fontId="2" fillId="7" borderId="4" xfId="1247" applyNumberFormat="1" applyFont="1" applyFill="1" applyBorder="1" applyAlignment="1">
      <alignment vertical="center"/>
    </xf>
    <xf numFmtId="167" fontId="2" fillId="7" borderId="4" xfId="1146" applyNumberFormat="1" applyFont="1" applyFill="1" applyBorder="1" applyAlignment="1">
      <alignment vertical="center"/>
    </xf>
    <xf numFmtId="43" fontId="2" fillId="7" borderId="4" xfId="1261" applyFont="1" applyFill="1" applyBorder="1" applyAlignment="1">
      <alignment vertical="center"/>
    </xf>
    <xf numFmtId="174" fontId="2" fillId="7" borderId="4" xfId="1261" applyNumberFormat="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7" fontId="2" fillId="7" borderId="4" xfId="1260" applyNumberFormat="1" applyFont="1" applyFill="1" applyBorder="1" applyAlignment="1">
      <alignment vertical="center"/>
    </xf>
    <xf numFmtId="169" fontId="2" fillId="7" borderId="4" xfId="1260" applyNumberFormat="1" applyFont="1" applyFill="1" applyBorder="1" applyAlignment="1">
      <alignment horizontal="center" vertical="center"/>
    </xf>
    <xf numFmtId="169" fontId="2" fillId="0" borderId="4" xfId="1260" applyNumberFormat="1" applyFont="1" applyFill="1" applyBorder="1" applyAlignment="1">
      <alignment vertical="center"/>
    </xf>
    <xf numFmtId="169" fontId="2" fillId="7" borderId="4" xfId="1146" applyNumberFormat="1" applyFont="1" applyFill="1" applyBorder="1" applyAlignment="1">
      <alignment horizontal="center" vertical="center"/>
    </xf>
    <xf numFmtId="169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7" fontId="3" fillId="0" borderId="4" xfId="1250" applyNumberFormat="1" applyFont="1" applyFill="1" applyBorder="1" applyAlignment="1">
      <alignment vertical="center"/>
    </xf>
    <xf numFmtId="168" fontId="3" fillId="7" borderId="4" xfId="1250" applyNumberFormat="1" applyFont="1" applyFill="1" applyBorder="1" applyAlignment="1">
      <alignment vertical="center"/>
    </xf>
    <xf numFmtId="167" fontId="3" fillId="0" borderId="4" xfId="1146" applyNumberFormat="1" applyFont="1" applyFill="1" applyBorder="1" applyAlignment="1">
      <alignment vertical="center"/>
    </xf>
    <xf numFmtId="169" fontId="3" fillId="7" borderId="4" xfId="1146" applyNumberFormat="1" applyFont="1" applyFill="1" applyBorder="1" applyAlignment="1">
      <alignment vertical="center"/>
    </xf>
    <xf numFmtId="43" fontId="2" fillId="7" borderId="4" xfId="1236" applyFont="1" applyFill="1" applyBorder="1" applyAlignment="1">
      <alignment vertical="center"/>
    </xf>
    <xf numFmtId="43" fontId="2" fillId="7" borderId="4" xfId="1267" applyFont="1" applyFill="1" applyBorder="1" applyAlignment="1">
      <alignment vertical="center"/>
    </xf>
    <xf numFmtId="43" fontId="2" fillId="7" borderId="4" xfId="1229" applyFont="1" applyFill="1" applyBorder="1" applyAlignment="1">
      <alignment vertical="center"/>
    </xf>
    <xf numFmtId="43" fontId="2" fillId="0" borderId="4" xfId="1253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2" fillId="0" borderId="4" xfId="1146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167" fontId="3" fillId="7" borderId="4" xfId="1234" applyNumberFormat="1" applyFont="1" applyFill="1" applyBorder="1" applyAlignment="1">
      <alignment vertical="center"/>
    </xf>
    <xf numFmtId="43" fontId="2" fillId="7" borderId="4" xfId="1265" applyFont="1" applyFill="1" applyBorder="1" applyAlignment="1">
      <alignment vertical="center"/>
    </xf>
    <xf numFmtId="43" fontId="2" fillId="7" borderId="4" xfId="1232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7" fontId="2" fillId="7" borderId="4" xfId="1264" applyNumberFormat="1" applyFont="1" applyFill="1" applyBorder="1" applyAlignment="1">
      <alignment vertical="center"/>
    </xf>
    <xf numFmtId="167" fontId="3" fillId="0" borderId="4" xfId="1264" applyNumberFormat="1" applyFont="1" applyFill="1" applyBorder="1" applyAlignment="1">
      <alignment vertical="center"/>
    </xf>
    <xf numFmtId="167" fontId="2" fillId="7" borderId="4" xfId="1257" applyNumberFormat="1" applyFont="1" applyFill="1" applyBorder="1" applyAlignment="1">
      <alignment vertical="center"/>
    </xf>
    <xf numFmtId="167" fontId="2" fillId="7" borderId="4" xfId="1254" applyNumberFormat="1" applyFont="1" applyFill="1" applyBorder="1" applyAlignment="1">
      <alignment vertical="center"/>
    </xf>
    <xf numFmtId="167" fontId="1" fillId="0" borderId="11" xfId="1168" applyNumberFormat="1" applyFont="1" applyFill="1" applyBorder="1" applyAlignment="1">
      <alignment horizontal="right"/>
    </xf>
    <xf numFmtId="167" fontId="1" fillId="0" borderId="11" xfId="1168" applyNumberFormat="1" applyFont="1" applyFill="1" applyBorder="1"/>
    <xf numFmtId="167" fontId="97" fillId="0" borderId="0" xfId="17" applyNumberFormat="1" applyFont="1" applyAlignment="1">
      <alignment horizontal="right" vertical="center"/>
    </xf>
    <xf numFmtId="198" fontId="2" fillId="0" borderId="0" xfId="0" applyNumberFormat="1" applyFont="1"/>
    <xf numFmtId="200" fontId="2" fillId="0" borderId="0" xfId="0" applyNumberFormat="1" applyFont="1"/>
    <xf numFmtId="194" fontId="2" fillId="0" borderId="0" xfId="0" applyNumberFormat="1" applyFont="1"/>
    <xf numFmtId="180" fontId="1" fillId="18" borderId="16" xfId="73" applyNumberFormat="1" applyFill="1" applyBorder="1"/>
    <xf numFmtId="166" fontId="2" fillId="0" borderId="4" xfId="1282" applyNumberFormat="1" applyFont="1" applyFill="1" applyBorder="1" applyAlignment="1">
      <alignment vertical="center"/>
    </xf>
    <xf numFmtId="41" fontId="2" fillId="6" borderId="4" xfId="2183" applyFont="1" applyFill="1" applyBorder="1" applyAlignment="1">
      <alignment horizontal="center" vertical="center"/>
    </xf>
    <xf numFmtId="167" fontId="2" fillId="7" borderId="4" xfId="2529" applyNumberFormat="1" applyFont="1" applyFill="1" applyBorder="1" applyAlignment="1">
      <alignment vertical="center"/>
    </xf>
    <xf numFmtId="174" fontId="2" fillId="7" borderId="4" xfId="2538" applyNumberFormat="1" applyFont="1" applyFill="1" applyBorder="1" applyAlignment="1">
      <alignment vertical="center"/>
    </xf>
    <xf numFmtId="167" fontId="2" fillId="7" borderId="4" xfId="2528" applyNumberFormat="1" applyFont="1" applyFill="1" applyBorder="1" applyAlignment="1">
      <alignment vertical="center"/>
    </xf>
    <xf numFmtId="169" fontId="2" fillId="7" borderId="4" xfId="2528" applyNumberFormat="1" applyFont="1" applyFill="1" applyBorder="1" applyAlignment="1">
      <alignment horizontal="center" vertical="center"/>
    </xf>
    <xf numFmtId="169" fontId="2" fillId="0" borderId="4" xfId="2528" applyNumberFormat="1" applyFont="1" applyFill="1" applyBorder="1" applyAlignment="1">
      <alignment vertical="center"/>
    </xf>
    <xf numFmtId="43" fontId="2" fillId="7" borderId="4" xfId="2540" applyFont="1" applyFill="1" applyBorder="1" applyAlignment="1">
      <alignment vertical="center"/>
    </xf>
    <xf numFmtId="167" fontId="3" fillId="0" borderId="4" xfId="2540" applyNumberFormat="1" applyFont="1" applyFill="1" applyBorder="1" applyAlignment="1">
      <alignment vertical="center"/>
    </xf>
    <xf numFmtId="168" fontId="3" fillId="7" borderId="4" xfId="2540" applyNumberFormat="1" applyFont="1" applyFill="1" applyBorder="1" applyAlignment="1">
      <alignment vertical="center"/>
    </xf>
    <xf numFmtId="43" fontId="2" fillId="7" borderId="4" xfId="2530" applyFont="1" applyFill="1" applyBorder="1" applyAlignment="1">
      <alignment vertical="center"/>
    </xf>
    <xf numFmtId="43" fontId="2" fillId="0" borderId="4" xfId="2534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167" fontId="3" fillId="7" borderId="4" xfId="2486" applyNumberFormat="1" applyFont="1" applyFill="1" applyBorder="1" applyAlignment="1">
      <alignment vertical="center"/>
    </xf>
    <xf numFmtId="43" fontId="2" fillId="7" borderId="4" xfId="2531" applyFont="1" applyFill="1" applyBorder="1" applyAlignment="1">
      <alignment vertical="center"/>
    </xf>
    <xf numFmtId="43" fontId="2" fillId="7" borderId="4" xfId="2532" applyFont="1" applyFill="1" applyBorder="1" applyAlignment="1">
      <alignment vertical="center"/>
    </xf>
    <xf numFmtId="43" fontId="2" fillId="7" borderId="4" xfId="2539" applyFont="1" applyFill="1" applyBorder="1" applyAlignment="1">
      <alignment vertical="center"/>
    </xf>
    <xf numFmtId="167" fontId="2" fillId="7" borderId="4" xfId="2535" applyNumberFormat="1" applyFont="1" applyFill="1" applyBorder="1" applyAlignment="1">
      <alignment vertical="center"/>
    </xf>
    <xf numFmtId="167" fontId="3" fillId="0" borderId="4" xfId="2535" applyNumberFormat="1" applyFont="1" applyFill="1" applyBorder="1" applyAlignment="1">
      <alignment vertical="center"/>
    </xf>
    <xf numFmtId="167" fontId="2" fillId="7" borderId="4" xfId="2533" applyNumberFormat="1" applyFont="1" applyFill="1" applyBorder="1" applyAlignment="1">
      <alignment vertical="center"/>
    </xf>
    <xf numFmtId="167" fontId="2" fillId="7" borderId="4" xfId="2536" applyNumberFormat="1" applyFont="1" applyFill="1" applyBorder="1" applyAlignment="1">
      <alignment vertical="center"/>
    </xf>
    <xf numFmtId="2" fontId="2" fillId="0" borderId="0" xfId="0" applyNumberFormat="1" applyFont="1"/>
    <xf numFmtId="0" fontId="2" fillId="4" borderId="0" xfId="0" applyFont="1" applyFill="1"/>
    <xf numFmtId="167" fontId="2" fillId="4" borderId="0" xfId="0" applyNumberFormat="1" applyFont="1" applyFill="1"/>
    <xf numFmtId="167" fontId="2" fillId="4" borderId="2" xfId="1" applyNumberFormat="1" applyFont="1" applyFill="1" applyBorder="1" applyAlignment="1">
      <alignment vertical="center"/>
    </xf>
    <xf numFmtId="0" fontId="2" fillId="0" borderId="63" xfId="0" applyFont="1" applyBorder="1" applyAlignment="1">
      <alignment horizontal="center" vertical="center" wrapText="1"/>
    </xf>
    <xf numFmtId="17" fontId="0" fillId="0" borderId="0" xfId="0" applyNumberFormat="1"/>
    <xf numFmtId="0" fontId="0" fillId="0" borderId="167" xfId="0" applyBorder="1"/>
    <xf numFmtId="167" fontId="0" fillId="0" borderId="167" xfId="0" applyNumberFormat="1" applyBorder="1"/>
    <xf numFmtId="43" fontId="0" fillId="0" borderId="167" xfId="0" applyNumberFormat="1" applyBorder="1"/>
    <xf numFmtId="10" fontId="0" fillId="0" borderId="167" xfId="0" applyNumberFormat="1" applyBorder="1"/>
    <xf numFmtId="167" fontId="2" fillId="0" borderId="167" xfId="1" applyNumberFormat="1" applyFont="1" applyFill="1" applyBorder="1" applyAlignment="1">
      <alignment vertical="center"/>
    </xf>
    <xf numFmtId="0" fontId="2" fillId="0" borderId="167" xfId="0" applyFont="1" applyBorder="1" applyAlignment="1">
      <alignment horizontal="center" vertical="center" wrapText="1"/>
    </xf>
    <xf numFmtId="43" fontId="2" fillId="0" borderId="167" xfId="1" applyFont="1" applyFill="1" applyBorder="1" applyAlignment="1">
      <alignment vertical="center"/>
    </xf>
    <xf numFmtId="0" fontId="19" fillId="0" borderId="167" xfId="0" applyFont="1" applyBorder="1" applyAlignment="1">
      <alignment horizontal="center"/>
    </xf>
    <xf numFmtId="0" fontId="0" fillId="0" borderId="167" xfId="0" applyBorder="1" applyAlignment="1">
      <alignment horizontal="center" vertical="center"/>
    </xf>
    <xf numFmtId="43" fontId="19" fillId="0" borderId="167" xfId="0" applyNumberFormat="1" applyFont="1" applyBorder="1"/>
    <xf numFmtId="43" fontId="2" fillId="0" borderId="170" xfId="1" quotePrefix="1" applyFont="1" applyFill="1" applyBorder="1" applyAlignment="1">
      <alignment horizontal="right" vertical="center"/>
    </xf>
    <xf numFmtId="167" fontId="2" fillId="0" borderId="108" xfId="1" applyNumberFormat="1" applyFont="1" applyFill="1" applyBorder="1" applyAlignment="1">
      <alignment vertical="center"/>
    </xf>
    <xf numFmtId="167" fontId="2" fillId="0" borderId="62" xfId="1" applyNumberFormat="1" applyFont="1" applyFill="1" applyBorder="1" applyAlignment="1">
      <alignment vertical="center"/>
    </xf>
    <xf numFmtId="167" fontId="2" fillId="0" borderId="159" xfId="1" applyNumberFormat="1" applyFont="1" applyFill="1" applyBorder="1" applyAlignment="1">
      <alignment vertical="center"/>
    </xf>
    <xf numFmtId="0" fontId="2" fillId="5" borderId="2" xfId="16" applyFont="1" applyFill="1" applyBorder="1" applyAlignment="1">
      <alignment horizontal="center"/>
    </xf>
    <xf numFmtId="165" fontId="9" fillId="0" borderId="2" xfId="5" applyFont="1" applyFill="1" applyBorder="1"/>
    <xf numFmtId="167" fontId="2" fillId="5" borderId="4" xfId="5" applyNumberFormat="1" applyFont="1" applyFill="1" applyBorder="1"/>
    <xf numFmtId="167" fontId="2" fillId="5" borderId="2" xfId="5" applyNumberFormat="1" applyFont="1" applyFill="1" applyBorder="1"/>
    <xf numFmtId="178" fontId="10" fillId="0" borderId="4" xfId="3" applyNumberFormat="1" applyFont="1" applyFill="1" applyBorder="1"/>
    <xf numFmtId="178" fontId="10" fillId="0" borderId="2" xfId="3" applyNumberFormat="1" applyFont="1" applyFill="1" applyBorder="1"/>
    <xf numFmtId="43" fontId="2" fillId="0" borderId="0" xfId="16" applyNumberFormat="1" applyFont="1"/>
    <xf numFmtId="43" fontId="22" fillId="0" borderId="0" xfId="1" applyFont="1" applyAlignment="1">
      <alignment vertical="center"/>
    </xf>
    <xf numFmtId="167" fontId="10" fillId="0" borderId="24" xfId="5" applyNumberFormat="1" applyFont="1" applyFill="1" applyBorder="1" applyAlignment="1">
      <alignment horizontal="center" vertical="center"/>
    </xf>
    <xf numFmtId="9" fontId="2" fillId="0" borderId="0" xfId="3" applyFont="1"/>
    <xf numFmtId="9" fontId="2" fillId="4" borderId="0" xfId="3" applyFont="1" applyFill="1"/>
    <xf numFmtId="43" fontId="1" fillId="0" borderId="0" xfId="16" applyNumberFormat="1"/>
    <xf numFmtId="168" fontId="2" fillId="5" borderId="4" xfId="5" applyNumberFormat="1" applyFont="1" applyFill="1" applyBorder="1"/>
    <xf numFmtId="168" fontId="10" fillId="16" borderId="4" xfId="5" applyNumberFormat="1" applyFont="1" applyFill="1" applyBorder="1"/>
    <xf numFmtId="168" fontId="10" fillId="5" borderId="4" xfId="5" applyNumberFormat="1" applyFont="1" applyFill="1" applyBorder="1"/>
    <xf numFmtId="177" fontId="10" fillId="5" borderId="4" xfId="1" applyNumberFormat="1" applyFont="1" applyFill="1" applyBorder="1"/>
    <xf numFmtId="174" fontId="9" fillId="16" borderId="4" xfId="5" applyNumberFormat="1" applyFont="1" applyFill="1" applyBorder="1"/>
    <xf numFmtId="174" fontId="10" fillId="0" borderId="4" xfId="5" applyNumberFormat="1" applyFont="1" applyFill="1" applyBorder="1"/>
    <xf numFmtId="174" fontId="10" fillId="0" borderId="2" xfId="5" applyNumberFormat="1" applyFont="1" applyFill="1" applyBorder="1"/>
    <xf numFmtId="0" fontId="3" fillId="3" borderId="4" xfId="16" quotePrefix="1" applyFont="1" applyFill="1" applyBorder="1" applyAlignment="1">
      <alignment horizontal="center" vertical="center"/>
    </xf>
    <xf numFmtId="180" fontId="23" fillId="0" borderId="65" xfId="16" applyNumberFormat="1" applyFont="1" applyBorder="1" applyAlignment="1">
      <alignment horizontal="right" vertical="center" wrapText="1"/>
    </xf>
    <xf numFmtId="1" fontId="23" fillId="0" borderId="65" xfId="16" applyNumberFormat="1" applyFont="1" applyBorder="1" applyAlignment="1">
      <alignment horizontal="right" vertical="center" wrapText="1"/>
    </xf>
    <xf numFmtId="191" fontId="23" fillId="7" borderId="115" xfId="16" applyNumberFormat="1" applyFont="1" applyFill="1" applyBorder="1" applyAlignment="1">
      <alignment vertical="center"/>
    </xf>
    <xf numFmtId="191" fontId="23" fillId="0" borderId="97" xfId="12" applyNumberFormat="1" applyFont="1" applyBorder="1" applyAlignment="1">
      <alignment horizontal="center" vertical="center"/>
    </xf>
    <xf numFmtId="0" fontId="23" fillId="0" borderId="117" xfId="16" applyFont="1" applyBorder="1" applyAlignment="1">
      <alignment horizontal="center" vertical="center" wrapText="1"/>
    </xf>
    <xf numFmtId="168" fontId="2" fillId="7" borderId="3" xfId="0" applyNumberFormat="1" applyFont="1" applyFill="1" applyBorder="1"/>
    <xf numFmtId="0" fontId="2" fillId="27" borderId="0" xfId="0" applyFont="1" applyFill="1"/>
    <xf numFmtId="0" fontId="2" fillId="25" borderId="0" xfId="0" applyFont="1" applyFill="1"/>
    <xf numFmtId="167" fontId="2" fillId="25" borderId="0" xfId="0" applyNumberFormat="1" applyFont="1" applyFill="1"/>
    <xf numFmtId="0" fontId="2" fillId="25" borderId="0" xfId="0" applyFont="1" applyFill="1" applyAlignment="1">
      <alignment horizontal="left"/>
    </xf>
    <xf numFmtId="2" fontId="2" fillId="25" borderId="0" xfId="0" applyNumberFormat="1" applyFont="1" applyFill="1"/>
    <xf numFmtId="1" fontId="2" fillId="25" borderId="0" xfId="0" applyNumberFormat="1" applyFont="1" applyFill="1"/>
    <xf numFmtId="2" fontId="2" fillId="25" borderId="0" xfId="0" applyNumberFormat="1" applyFont="1" applyFill="1" applyAlignment="1">
      <alignment horizontal="left"/>
    </xf>
    <xf numFmtId="165" fontId="2" fillId="25" borderId="0" xfId="0" applyNumberFormat="1" applyFont="1" applyFill="1"/>
    <xf numFmtId="201" fontId="2" fillId="25" borderId="0" xfId="0" applyNumberFormat="1" applyFont="1" applyFill="1" applyAlignment="1">
      <alignment horizontal="left"/>
    </xf>
    <xf numFmtId="167" fontId="99" fillId="6" borderId="4" xfId="95" applyNumberFormat="1" applyFont="1" applyFill="1" applyBorder="1" applyAlignment="1">
      <alignment horizontal="left" vertical="center" wrapText="1"/>
    </xf>
    <xf numFmtId="0" fontId="2" fillId="25" borderId="0" xfId="0" applyFont="1" applyFill="1" applyAlignment="1">
      <alignment vertical="center"/>
    </xf>
    <xf numFmtId="165" fontId="2" fillId="25" borderId="0" xfId="0" applyNumberFormat="1" applyFont="1" applyFill="1" applyAlignment="1">
      <alignment vertical="center"/>
    </xf>
    <xf numFmtId="167" fontId="2" fillId="25" borderId="0" xfId="0" applyNumberFormat="1" applyFont="1" applyFill="1" applyAlignment="1">
      <alignment vertical="center"/>
    </xf>
    <xf numFmtId="167" fontId="1" fillId="6" borderId="4" xfId="73" applyNumberFormat="1" applyFill="1" applyBorder="1"/>
    <xf numFmtId="0" fontId="2" fillId="24" borderId="0" xfId="0" applyFont="1" applyFill="1"/>
    <xf numFmtId="167" fontId="2" fillId="24" borderId="0" xfId="0" applyNumberFormat="1" applyFont="1" applyFill="1"/>
    <xf numFmtId="0" fontId="2" fillId="24" borderId="0" xfId="0" applyFont="1" applyFill="1" applyAlignment="1">
      <alignment horizontal="left"/>
    </xf>
    <xf numFmtId="165" fontId="2" fillId="24" borderId="0" xfId="0" applyNumberFormat="1" applyFont="1" applyFill="1"/>
    <xf numFmtId="167" fontId="2" fillId="24" borderId="0" xfId="0" applyNumberFormat="1" applyFont="1" applyFill="1" applyAlignment="1">
      <alignment horizontal="left"/>
    </xf>
    <xf numFmtId="3" fontId="2" fillId="24" borderId="0" xfId="0" applyNumberFormat="1" applyFont="1" applyFill="1"/>
    <xf numFmtId="167" fontId="2" fillId="24" borderId="0" xfId="0" applyNumberFormat="1" applyFont="1" applyFill="1" applyAlignment="1">
      <alignment horizontal="center"/>
    </xf>
    <xf numFmtId="1" fontId="2" fillId="24" borderId="0" xfId="0" applyNumberFormat="1" applyFont="1" applyFill="1"/>
    <xf numFmtId="0" fontId="2" fillId="24" borderId="0" xfId="0" applyFont="1" applyFill="1" applyAlignment="1">
      <alignment vertical="center"/>
    </xf>
    <xf numFmtId="167" fontId="2" fillId="24" borderId="0" xfId="0" applyNumberFormat="1" applyFont="1" applyFill="1" applyAlignment="1">
      <alignment vertical="center"/>
    </xf>
    <xf numFmtId="177" fontId="2" fillId="7" borderId="4" xfId="615" applyNumberFormat="1" applyFont="1" applyFill="1" applyBorder="1" applyAlignment="1">
      <alignment vertical="center"/>
    </xf>
    <xf numFmtId="177" fontId="2" fillId="7" borderId="4" xfId="1260" applyNumberFormat="1" applyFont="1" applyFill="1" applyBorder="1" applyAlignment="1">
      <alignment vertical="center"/>
    </xf>
    <xf numFmtId="165" fontId="2" fillId="7" borderId="4" xfId="1260" applyNumberFormat="1" applyFont="1" applyFill="1" applyBorder="1" applyAlignment="1">
      <alignment vertical="center"/>
    </xf>
    <xf numFmtId="168" fontId="2" fillId="0" borderId="0" xfId="0" applyNumberFormat="1" applyFont="1"/>
    <xf numFmtId="0" fontId="11" fillId="0" borderId="0" xfId="0" applyFont="1" applyAlignment="1">
      <alignment vertical="center"/>
    </xf>
    <xf numFmtId="0" fontId="53" fillId="2" borderId="16" xfId="0" applyFont="1" applyFill="1" applyBorder="1" applyAlignment="1">
      <alignment vertical="center"/>
    </xf>
    <xf numFmtId="0" fontId="53" fillId="2" borderId="50" xfId="0" applyFont="1" applyFill="1" applyBorder="1" applyAlignment="1">
      <alignment vertical="center"/>
    </xf>
    <xf numFmtId="0" fontId="53" fillId="2" borderId="21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6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36" fillId="0" borderId="74" xfId="16" applyFont="1" applyBorder="1" applyAlignment="1">
      <alignment horizontal="center" vertic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77" fillId="0" borderId="0" xfId="16" quotePrefix="1" applyFont="1" applyAlignment="1">
      <alignment horizontal="left" vertical="center"/>
    </xf>
    <xf numFmtId="0" fontId="9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64" fillId="5" borderId="0" xfId="16" quotePrefix="1" applyFont="1" applyFill="1" applyAlignment="1">
      <alignment horizontal="left" vertical="center"/>
    </xf>
    <xf numFmtId="0" fontId="64" fillId="5" borderId="0" xfId="16" quotePrefix="1" applyFont="1" applyFill="1" applyAlignment="1">
      <alignment horizontal="left" vertical="center" wrapText="1"/>
    </xf>
    <xf numFmtId="0" fontId="18" fillId="5" borderId="0" xfId="16" quotePrefix="1" applyFont="1" applyFill="1" applyAlignment="1">
      <alignment horizontal="left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7" fontId="15" fillId="0" borderId="16" xfId="6" applyNumberFormat="1" applyBorder="1" applyAlignment="1">
      <alignment horizontal="center"/>
    </xf>
    <xf numFmtId="0" fontId="43" fillId="25" borderId="6" xfId="6" applyFont="1" applyFill="1" applyBorder="1" applyAlignment="1">
      <alignment horizontal="center" vertical="center" wrapText="1"/>
    </xf>
    <xf numFmtId="0" fontId="43" fillId="25" borderId="2" xfId="6" applyFont="1" applyFill="1" applyBorder="1" applyAlignment="1">
      <alignment horizontal="center" vertical="center" wrapText="1"/>
    </xf>
    <xf numFmtId="0" fontId="15" fillId="0" borderId="0" xfId="6" applyAlignment="1">
      <alignment horizontal="center"/>
    </xf>
    <xf numFmtId="0" fontId="43" fillId="24" borderId="16" xfId="6" applyFont="1" applyFill="1" applyBorder="1" applyAlignment="1">
      <alignment horizontal="center"/>
    </xf>
    <xf numFmtId="0" fontId="43" fillId="24" borderId="50" xfId="6" applyFont="1" applyFill="1" applyBorder="1" applyAlignment="1">
      <alignment horizontal="center"/>
    </xf>
    <xf numFmtId="0" fontId="43" fillId="24" borderId="21" xfId="6" applyFont="1" applyFill="1" applyBorder="1" applyAlignment="1">
      <alignment horizontal="center"/>
    </xf>
    <xf numFmtId="0" fontId="43" fillId="25" borderId="11" xfId="6" applyFont="1" applyFill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168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19" fillId="0" borderId="161" xfId="0" applyFont="1" applyBorder="1" applyAlignment="1">
      <alignment horizontal="center"/>
    </xf>
    <xf numFmtId="0" fontId="19" fillId="0" borderId="162" xfId="0" applyFont="1" applyBorder="1" applyAlignment="1">
      <alignment horizontal="center"/>
    </xf>
    <xf numFmtId="0" fontId="19" fillId="0" borderId="163" xfId="0" applyFont="1" applyBorder="1" applyAlignment="1">
      <alignment horizontal="center"/>
    </xf>
    <xf numFmtId="0" fontId="19" fillId="0" borderId="148" xfId="0" applyFont="1" applyBorder="1" applyAlignment="1">
      <alignment horizontal="center" vertical="center"/>
    </xf>
    <xf numFmtId="0" fontId="19" fillId="0" borderId="151" xfId="0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64" fontId="49" fillId="9" borderId="19" xfId="0" applyNumberFormat="1" applyFont="1" applyFill="1" applyBorder="1" applyAlignment="1">
      <alignment horizontal="center" vertical="center" wrapText="1"/>
    </xf>
    <xf numFmtId="164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64" fontId="49" fillId="9" borderId="85" xfId="0" applyNumberFormat="1" applyFont="1" applyFill="1" applyBorder="1" applyAlignment="1">
      <alignment horizontal="center" vertical="center" wrapText="1"/>
    </xf>
    <xf numFmtId="164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64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165" fontId="2" fillId="7" borderId="4" xfId="616" applyNumberFormat="1" applyFont="1" applyFill="1" applyBorder="1" applyAlignment="1">
      <alignment vertical="center"/>
    </xf>
    <xf numFmtId="165" fontId="2" fillId="7" borderId="4" xfId="1146" applyNumberFormat="1" applyFont="1" applyFill="1" applyBorder="1" applyAlignment="1">
      <alignment vertical="center"/>
    </xf>
    <xf numFmtId="165" fontId="2" fillId="7" borderId="4" xfId="1264" applyNumberFormat="1" applyFont="1" applyFill="1" applyBorder="1" applyAlignment="1">
      <alignment vertical="center"/>
    </xf>
    <xf numFmtId="165" fontId="2" fillId="7" borderId="4" xfId="2535" applyNumberFormat="1" applyFont="1" applyFill="1" applyBorder="1" applyAlignment="1">
      <alignment vertical="center"/>
    </xf>
    <xf numFmtId="165" fontId="2" fillId="7" borderId="4" xfId="306" applyNumberFormat="1" applyFont="1" applyFill="1" applyBorder="1" applyAlignment="1">
      <alignment vertical="center"/>
    </xf>
  </cellXfs>
  <cellStyles count="2541"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1" xfId="1282" xr:uid="{F5D5E5D5-8F9F-49E3-A35F-D6F7A3DA0E81}"/>
    <cellStyle name="Comma [0] 2 2" xfId="15" xr:uid="{C9B81FE9-6A9A-4DDD-8A00-157CD5DDC22E}"/>
    <cellStyle name="Comma [0] 2 2 2" xfId="35" xr:uid="{24B74CA3-616A-480D-A6FF-4400E113CAF9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3" xfId="1806" xr:uid="{D8555C89-289D-4647-A887-AD77E86B5C03}"/>
    <cellStyle name="Comma [0] 2 2 2 2 2 3" xfId="870" xr:uid="{7F86BF55-15B4-4149-B42A-58A49B2FAF04}"/>
    <cellStyle name="Comma [0] 2 2 2 2 2 3 2" xfId="2122" xr:uid="{A311AAD3-2350-489F-B8F9-B9BB2FEDEBA1}"/>
    <cellStyle name="Comma [0] 2 2 2 2 2 4" xfId="1511" xr:uid="{75D628B4-D440-4DFB-A05C-EFA92F236704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3" xfId="1664" xr:uid="{2CCE9DB3-CEDD-482A-8581-E94CE306C0B8}"/>
    <cellStyle name="Comma [0] 2 2 2 2 4" xfId="728" xr:uid="{941E2F2C-D1C6-4917-91AB-9A808A3CA887}"/>
    <cellStyle name="Comma [0] 2 2 2 2 4 2" xfId="1980" xr:uid="{25375E91-F550-4A53-8EE2-9B79DCE3FE37}"/>
    <cellStyle name="Comma [0] 2 2 2 2 5" xfId="1369" xr:uid="{32EABA49-4B5F-4E0F-96E5-E91C51D6211F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3" xfId="1734" xr:uid="{CD318950-A6E2-444A-8800-866AAE3834A8}"/>
    <cellStyle name="Comma [0] 2 2 2 3 3" xfId="798" xr:uid="{44AA3DBD-B2E3-4C27-ABC0-2F9056339455}"/>
    <cellStyle name="Comma [0] 2 2 2 3 3 2" xfId="2050" xr:uid="{55907D52-CA2A-44A3-9869-8384B94A28B6}"/>
    <cellStyle name="Comma [0] 2 2 2 3 4" xfId="1439" xr:uid="{6A3F7579-B68A-4419-BE74-8D2A7B525662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3" xfId="1592" xr:uid="{F4E4E09D-224D-49CD-B16B-0663DBB74052}"/>
    <cellStyle name="Comma [0] 2 2 2 5" xfId="656" xr:uid="{60E2362A-CAF4-4165-AE8D-1BF6936C8C57}"/>
    <cellStyle name="Comma [0] 2 2 2 5 2" xfId="1908" xr:uid="{C3BC6A53-F381-4A44-B8D4-7140F971EE5A}"/>
    <cellStyle name="Comma [0] 2 2 2 6" xfId="1297" xr:uid="{7A43796A-5AD5-4B73-BFD9-170A77D972AB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3" xfId="1789" xr:uid="{382FB461-275E-4867-B915-16B2A1E820E0}"/>
    <cellStyle name="Comma [0] 2 2 3 2 3" xfId="853" xr:uid="{0D76DB92-F0CF-4196-A580-A67EAD62CFAC}"/>
    <cellStyle name="Comma [0] 2 2 3 2 3 2" xfId="2105" xr:uid="{40D70609-C2C7-49B9-B5A3-F0D31FE571C1}"/>
    <cellStyle name="Comma [0] 2 2 3 2 4" xfId="1494" xr:uid="{DE456F68-B8DA-4979-83FA-DB35418E8224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3" xfId="1647" xr:uid="{C04233A4-98DD-4DB3-B3C5-8F99AE180BCF}"/>
    <cellStyle name="Comma [0] 2 2 3 4" xfId="711" xr:uid="{C14CEA95-ADA6-4A20-9A87-E8F0A7588498}"/>
    <cellStyle name="Comma [0] 2 2 3 4 2" xfId="1963" xr:uid="{437D46EA-24FF-4773-A0D7-0E7AF3486CEF}"/>
    <cellStyle name="Comma [0] 2 2 3 5" xfId="1352" xr:uid="{F3BE2C80-2B1C-4AAA-80E2-8B1F4151EE4B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3" xfId="1717" xr:uid="{94C0CC32-FF12-43D9-B1E0-0E28C45CA444}"/>
    <cellStyle name="Comma [0] 2 2 4 3" xfId="781" xr:uid="{72837A07-477B-4317-86A5-29C4F4621412}"/>
    <cellStyle name="Comma [0] 2 2 4 3 2" xfId="2033" xr:uid="{21E435E3-51CC-4127-A638-09168AB6AFC2}"/>
    <cellStyle name="Comma [0] 2 2 4 4" xfId="1422" xr:uid="{0CA77629-3D79-4126-86CD-487CE7A505BE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3" xfId="1575" xr:uid="{A895BCEC-747D-4D23-AC7C-2C619CE0EF77}"/>
    <cellStyle name="Comma [0] 2 2 6" xfId="639" xr:uid="{61C5C7EA-7D65-4229-A448-4CE0A3D03F7C}"/>
    <cellStyle name="Comma [0] 2 2 6 2" xfId="1891" xr:uid="{01257C2B-CF21-49D9-BFF0-EC041E3DC2AA}"/>
    <cellStyle name="Comma [0] 2 2 7" xfId="1280" xr:uid="{88788DEF-4E45-4D7E-AA46-89BFCE5DAED4}"/>
    <cellStyle name="Comma [0] 2 3" xfId="39" xr:uid="{797D288C-C5C7-4F24-BFDB-2C1780659DB5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3" xfId="1810" xr:uid="{6CF1A677-67E2-4DB2-A681-6BAEB6BB269C}"/>
    <cellStyle name="Comma [0] 2 3 2 2 3" xfId="874" xr:uid="{F19BEB00-11ED-46C6-B4B5-66FA39BD0A02}"/>
    <cellStyle name="Comma [0] 2 3 2 2 3 2" xfId="2126" xr:uid="{4BE18958-FF6E-4074-B2A1-AA5178134716}"/>
    <cellStyle name="Comma [0] 2 3 2 2 4" xfId="1515" xr:uid="{F957D736-0D17-4992-AD8A-B114988D45EA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3" xfId="1668" xr:uid="{C1BCD86E-0CE7-43B6-BC44-9CF9ED35F2B0}"/>
    <cellStyle name="Comma [0] 2 3 2 4" xfId="732" xr:uid="{6B190E5D-8398-47FA-A558-BE1A06A84A05}"/>
    <cellStyle name="Comma [0] 2 3 2 4 2" xfId="1984" xr:uid="{6D406DD9-C388-4ABC-9756-D63A7A7F8D04}"/>
    <cellStyle name="Comma [0] 2 3 2 5" xfId="1373" xr:uid="{B8868BF1-F8F9-4580-9B7A-2B8A2C2D2A4B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3" xfId="1738" xr:uid="{B8BDA6D0-48CD-473F-8A53-F2013F1E14C0}"/>
    <cellStyle name="Comma [0] 2 3 3 3" xfId="802" xr:uid="{9FD3722E-922E-4F63-B6C3-37F7006E48F9}"/>
    <cellStyle name="Comma [0] 2 3 3 3 2" xfId="2054" xr:uid="{2D906689-5E8E-45C5-8231-57F3EEA21A7A}"/>
    <cellStyle name="Comma [0] 2 3 3 4" xfId="1443" xr:uid="{063E8C6D-708F-46F2-95A6-8F7F27588F4C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3" xfId="1596" xr:uid="{E30F07C8-F197-4355-A19F-CF87C02DFF17}"/>
    <cellStyle name="Comma [0] 2 3 5" xfId="660" xr:uid="{877FCF91-48F6-412E-BDE7-2C1BFC43AF1B}"/>
    <cellStyle name="Comma [0] 2 3 5 2" xfId="1912" xr:uid="{4D9CFE20-1733-419B-8608-FF68C95278A5}"/>
    <cellStyle name="Comma [0] 2 3 6" xfId="1301" xr:uid="{A9842EA5-3AFC-4841-A0F8-9A9387D6D293}"/>
    <cellStyle name="Comma [0] 2 4" xfId="89" xr:uid="{2752D895-9A99-4F1A-9AAC-C8B7DCBFCBC0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3" xfId="1852" xr:uid="{8BC5F21D-8241-4DC1-9ADE-C72325FB3CA7}"/>
    <cellStyle name="Comma [0] 2 4 2 2 3" xfId="916" xr:uid="{0FE224E9-6328-4665-BD81-47727B6064C5}"/>
    <cellStyle name="Comma [0] 2 4 2 2 3 2" xfId="2168" xr:uid="{F95EE43F-0EF9-4939-BD33-1922B2C180FD}"/>
    <cellStyle name="Comma [0] 2 4 2 2 4" xfId="1557" xr:uid="{1AD80F57-7250-40F2-8582-997CDBB94B3C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3" xfId="1710" xr:uid="{64C4236A-47D7-4F66-9B09-E97B2CDA7535}"/>
    <cellStyle name="Comma [0] 2 4 2 4" xfId="774" xr:uid="{30DA8B08-A4CD-42B3-8CB4-77717E5A94F6}"/>
    <cellStyle name="Comma [0] 2 4 2 4 2" xfId="2026" xr:uid="{0EAB0950-A9B5-42D7-9C59-7FAD18727AC3}"/>
    <cellStyle name="Comma [0] 2 4 2 5" xfId="1415" xr:uid="{E13FA105-0393-4D21-8760-C35C6BEFD18C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3" xfId="1781" xr:uid="{92F8DFCE-9797-4C21-A3DA-6F0997172D28}"/>
    <cellStyle name="Comma [0] 2 4 3 3" xfId="845" xr:uid="{23D9ACD0-FFFA-4B9A-8CC2-9E9C9B5A3058}"/>
    <cellStyle name="Comma [0] 2 4 3 3 2" xfId="2097" xr:uid="{D4DDCC6A-C328-4CCD-8A44-D768323D367B}"/>
    <cellStyle name="Comma [0] 2 4 3 4" xfId="1486" xr:uid="{71F9DA37-1D8C-472E-9EB9-90936708D2A2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3" xfId="1639" xr:uid="{9073E9E1-DF6B-49A1-AD31-C9B1D7FAEDE9}"/>
    <cellStyle name="Comma [0] 2 4 5" xfId="703" xr:uid="{7DFCDA17-34F8-4029-8131-62CC30E7CDAF}"/>
    <cellStyle name="Comma [0] 2 4 5 2" xfId="1955" xr:uid="{CA0BAA90-94FF-4120-B2F0-4AF5DE01B7ED}"/>
    <cellStyle name="Comma [0] 2 4 6" xfId="1344" xr:uid="{515B5556-3124-44C4-A405-C26B688F162D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3" xfId="1791" xr:uid="{62BFC08E-FB86-4B2E-9FF9-5ADBB5F46B20}"/>
    <cellStyle name="Comma [0] 2 5 2 3" xfId="855" xr:uid="{71A6D558-B3A8-4CC7-94A3-82492F5579E6}"/>
    <cellStyle name="Comma [0] 2 5 2 3 2" xfId="2107" xr:uid="{9057D4CA-E717-4263-83FF-537526FCC359}"/>
    <cellStyle name="Comma [0] 2 5 2 4" xfId="1496" xr:uid="{B7087E72-2E87-486B-BED7-11E377187B1F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3" xfId="1649" xr:uid="{4445351A-5BDA-431E-92B5-3FF7CDED5611}"/>
    <cellStyle name="Comma [0] 2 5 4" xfId="713" xr:uid="{9C27F00B-CCBA-4C67-870C-64B54EA3E8FA}"/>
    <cellStyle name="Comma [0] 2 5 4 2" xfId="1965" xr:uid="{72BFD401-D3B1-4CF1-99A1-4C6E9DD13E1A}"/>
    <cellStyle name="Comma [0] 2 5 5" xfId="1354" xr:uid="{1832C2B3-5643-4B01-BF53-A8478A09A790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3" xfId="1719" xr:uid="{E2A75389-725F-4D7F-978B-233515038254}"/>
    <cellStyle name="Comma [0] 2 6 3" xfId="783" xr:uid="{CF70A812-D887-48F8-8A59-ED6CEFF82067}"/>
    <cellStyle name="Comma [0] 2 6 3 2" xfId="2035" xr:uid="{6D7804D0-4E13-4D97-9B92-37D28FB9985D}"/>
    <cellStyle name="Comma [0] 2 6 4" xfId="1424" xr:uid="{7795B21A-EE32-4803-984C-90CEFB56DADA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3" xfId="1865" xr:uid="{33BA58A3-EC37-4D3E-BDE9-5831219B3D37}"/>
    <cellStyle name="Comma [0] 2 7 3" xfId="929" xr:uid="{82AB9BE6-B6F8-4DA2-B933-8DBC172C203F}"/>
    <cellStyle name="Comma [0] 2 7 3 2" xfId="2181" xr:uid="{C16DBD0E-C072-4219-AC99-20E0808D2C69}"/>
    <cellStyle name="Comma [0] 2 7 4" xfId="1570" xr:uid="{B01F0058-B509-46AB-B4E3-A0F0C801941A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3" xfId="1577" xr:uid="{14551113-4C2D-46EF-92EA-307E675B70BD}"/>
    <cellStyle name="Comma [0] 2 9" xfId="641" xr:uid="{96B3A2C3-682F-4CBE-AB66-734D5913D0D0}"/>
    <cellStyle name="Comma [0] 2 9 2" xfId="1893" xr:uid="{4E4F05C3-20A7-49CD-B4CD-B1B2A465D134}"/>
    <cellStyle name="Comma [0] 3" xfId="27" xr:uid="{D1D915A8-AD67-4C83-B00D-6F1F8CAC39C2}"/>
    <cellStyle name="Comma [0] 3 2" xfId="106" xr:uid="{7F8AE49C-74D1-47F6-A227-04C8FEA4532C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3" xfId="1798" xr:uid="{5B54A02C-A948-48F8-81AB-D4F4EEC6D935}"/>
    <cellStyle name="Comma [0] 3 2 2 3" xfId="862" xr:uid="{B8D4288A-5186-4EB3-A474-3ECF1DCB5C97}"/>
    <cellStyle name="Comma [0] 3 2 2 3 2" xfId="2114" xr:uid="{BC55A30B-D508-4164-8B50-D1541C58973C}"/>
    <cellStyle name="Comma [0] 3 2 2 4" xfId="1503" xr:uid="{0243501F-127B-47BA-A3F0-5B1CE95CEAEF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3" xfId="1656" xr:uid="{F7F4019A-2A95-49C7-A09F-3888892ACB27}"/>
    <cellStyle name="Comma [0] 3 2 4" xfId="720" xr:uid="{D868E33F-B03B-460F-9876-3FF98C678F9E}"/>
    <cellStyle name="Comma [0] 3 2 4 2" xfId="1972" xr:uid="{DA7B027C-00E5-4B74-A3B6-B067BF43CF9A}"/>
    <cellStyle name="Comma [0] 3 2 5" xfId="1361" xr:uid="{4D63722D-9D13-413B-8EC9-BB4500A3A864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3" xfId="1726" xr:uid="{A6B43361-D78D-4B69-B9EB-77CAC304E0BB}"/>
    <cellStyle name="Comma [0] 3 3 3" xfId="790" xr:uid="{61BE9F2A-7870-47F7-B65D-752CF79EAC1D}"/>
    <cellStyle name="Comma [0] 3 3 3 2" xfId="2042" xr:uid="{AEB24DFF-B73A-48BD-9E3B-9A2E05D786AE}"/>
    <cellStyle name="Comma [0] 3 3 4" xfId="1431" xr:uid="{31CF73E3-162D-4FBF-B39B-B181CCF7F03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3" xfId="1584" xr:uid="{4BA29274-2FD3-49CF-88F2-9A7FC425F0B9}"/>
    <cellStyle name="Comma [0] 3 5" xfId="648" xr:uid="{883A7B75-F78D-431A-8909-4153F0EEE8CC}"/>
    <cellStyle name="Comma [0] 3 5 2" xfId="1900" xr:uid="{E3C17948-F6D0-4ECA-922E-0084B09A6DF4}"/>
    <cellStyle name="Comma [0] 3 6" xfId="1289" xr:uid="{13AA22D3-9AD8-4632-8BD2-1822482B968B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3" xfId="1714" xr:uid="{EAA51BC3-6429-49FB-BA4B-125697682633}"/>
    <cellStyle name="Comma [0] 4 3" xfId="778" xr:uid="{1A222905-7ACF-426E-941A-56C3641D46CA}"/>
    <cellStyle name="Comma [0] 4 3 2" xfId="2030" xr:uid="{8EF8FFCB-C3BE-47EB-A66F-C54288FCDA49}"/>
    <cellStyle name="Comma [0] 4 4" xfId="1419" xr:uid="{BF961704-93DE-434F-8735-634A4CFE7EFC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3" xfId="1861" xr:uid="{53D19C9C-A44A-4507-AB01-BDF25749CF45}"/>
    <cellStyle name="Comma [0] 5 3" xfId="925" xr:uid="{E97C2021-FE71-41AC-AD99-72122469F0C7}"/>
    <cellStyle name="Comma [0] 5 3 2" xfId="2177" xr:uid="{18E88D7C-026F-47CF-B016-FC0F0DA88C9F}"/>
    <cellStyle name="Comma [0] 5 4" xfId="1566" xr:uid="{CA357AA6-4DEB-437D-865C-840E977D02D7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3" xfId="1572" xr:uid="{62BF0A2A-F527-4C37-9835-35EBE515A054}"/>
    <cellStyle name="Comma [0] 7" xfId="636" xr:uid="{B2D29035-BFFD-4D47-A656-DAD73CC76265}"/>
    <cellStyle name="Comma [0] 7 2" xfId="1888" xr:uid="{0A8C870F-0364-49C9-90D7-C9C2FE1298F7}"/>
    <cellStyle name="Comma [0] 7 6" xfId="4" xr:uid="{ECFD3BC1-7400-4267-8DA1-28CB919DA43E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1" xfId="1273" xr:uid="{A72D3DE8-8163-4B04-A3DD-BFB7616AB55D}"/>
    <cellStyle name="Comma [0] 7 6 2 11 2" xfId="2524" xr:uid="{F8D2F0B0-81C9-46B6-9501-E591250D097B}"/>
    <cellStyle name="Comma [0] 7 6 2 12" xfId="1284" xr:uid="{B1D48B15-1FEA-4F36-A266-E016FF75A5AB}"/>
    <cellStyle name="Comma [0] 7 6 2 2" xfId="41" xr:uid="{6974B004-4BE9-4587-A04C-A0731384CD7B}"/>
    <cellStyle name="Comma [0] 7 6 2 2 2" xfId="81" xr:uid="{564E505A-1940-4545-A4D5-874270F5CDFB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3" xfId="1847" xr:uid="{61FB0AF8-8845-41AE-934E-2E008DF3E143}"/>
    <cellStyle name="Comma [0] 7 6 2 2 2 2 2 3" xfId="911" xr:uid="{06D1E8F2-C5A6-4E54-8457-40F864762159}"/>
    <cellStyle name="Comma [0] 7 6 2 2 2 2 2 3 2" xfId="2163" xr:uid="{5D15B31F-6795-4808-A6A2-10A7CF615C56}"/>
    <cellStyle name="Comma [0] 7 6 2 2 2 2 2 4" xfId="1552" xr:uid="{905EEF10-17E8-4D05-A9A2-6738C68BF919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3" xfId="1705" xr:uid="{4010DC43-529B-46C9-B858-F2C551BE091C}"/>
    <cellStyle name="Comma [0] 7 6 2 2 2 2 4" xfId="769" xr:uid="{37BB17BB-74A5-45EE-9D01-58641D754002}"/>
    <cellStyle name="Comma [0] 7 6 2 2 2 2 4 2" xfId="2021" xr:uid="{AD6C9235-E812-49B4-AE72-4B15090DE79B}"/>
    <cellStyle name="Comma [0] 7 6 2 2 2 2 5" xfId="1410" xr:uid="{DD77A024-5F95-4A75-8983-7D637F9F785B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3" xfId="1775" xr:uid="{DC0DFD81-D66C-4329-AE1C-162D2C331F02}"/>
    <cellStyle name="Comma [0] 7 6 2 2 2 3 3" xfId="839" xr:uid="{A05F122A-60E2-442B-82F0-B6AA94F524BD}"/>
    <cellStyle name="Comma [0] 7 6 2 2 2 3 3 2" xfId="2091" xr:uid="{7EE6F50E-A73E-4110-98DF-C63A5A83EBDD}"/>
    <cellStyle name="Comma [0] 7 6 2 2 2 3 4" xfId="1480" xr:uid="{E66088D1-A1CE-4D40-A85C-95549D77EF7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3" xfId="1633" xr:uid="{BD3A91BA-66E8-4584-99B0-E12AE32BDE25}"/>
    <cellStyle name="Comma [0] 7 6 2 2 2 5" xfId="697" xr:uid="{FEEA6877-9674-4DD4-9717-4151180D3085}"/>
    <cellStyle name="Comma [0] 7 6 2 2 2 5 2" xfId="1949" xr:uid="{F52D817B-7168-4DAF-AF23-996CEFE66AE9}"/>
    <cellStyle name="Comma [0] 7 6 2 2 2 6" xfId="1338" xr:uid="{A023D09D-0C73-4A8F-8D93-9ED55FE8CA69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3" xfId="1812" xr:uid="{440ACF4E-E514-4E7B-B92C-957CB47D3AEA}"/>
    <cellStyle name="Comma [0] 7 6 2 2 3 2 3" xfId="876" xr:uid="{ACFD6BCE-D283-452F-B996-970E8671DACD}"/>
    <cellStyle name="Comma [0] 7 6 2 2 3 2 3 2" xfId="2128" xr:uid="{102BACA9-AD95-44A7-8586-C981CF1D525C}"/>
    <cellStyle name="Comma [0] 7 6 2 2 3 2 4" xfId="1517" xr:uid="{CEB7170F-854F-461B-AA7C-703A9F3CDDBD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3" xfId="1670" xr:uid="{04D266E8-7033-4F00-895B-647C4F653138}"/>
    <cellStyle name="Comma [0] 7 6 2 2 3 4" xfId="734" xr:uid="{35BBED8D-C217-4B48-BA02-4ADE5F3E7703}"/>
    <cellStyle name="Comma [0] 7 6 2 2 3 4 2" xfId="1986" xr:uid="{0258C183-D48B-4828-8F2A-02AACB64D280}"/>
    <cellStyle name="Comma [0] 7 6 2 2 3 5" xfId="1375" xr:uid="{55A5B18E-5761-473C-818A-79F6414A3D04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3" xfId="1740" xr:uid="{FDB6063D-336D-4377-9EFA-04FF23F53F50}"/>
    <cellStyle name="Comma [0] 7 6 2 2 4 3" xfId="804" xr:uid="{47B6FDE7-2DE3-4118-A724-1A671A63EA7B}"/>
    <cellStyle name="Comma [0] 7 6 2 2 4 3 2" xfId="2056" xr:uid="{195955B9-1E14-4F1F-AAE5-E0D99D92EDFB}"/>
    <cellStyle name="Comma [0] 7 6 2 2 4 4" xfId="1445" xr:uid="{833EA580-D890-4074-9573-4761FBFAF150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3" xfId="1598" xr:uid="{9419437A-A001-419B-9D82-F335E77A03B8}"/>
    <cellStyle name="Comma [0] 7 6 2 2 6" xfId="662" xr:uid="{DB240432-B670-402B-ADF1-F145C6750F59}"/>
    <cellStyle name="Comma [0] 7 6 2 2 6 2" xfId="1914" xr:uid="{99424512-EA87-4CB1-A4BA-A30D05AF9BBD}"/>
    <cellStyle name="Comma [0] 7 6 2 2 7" xfId="1303" xr:uid="{820AEE72-D8A3-4400-97B2-38FC043DE221}"/>
    <cellStyle name="Comma [0] 7 6 2 3" xfId="86" xr:uid="{E9824DFF-9C1D-4B7E-A469-864326F4B36F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3" xfId="1850" xr:uid="{89833F5A-0AB6-41BD-B0A2-91BE153DCDD6}"/>
    <cellStyle name="Comma [0] 7 6 2 3 2 2 3" xfId="914" xr:uid="{7CBB2B01-D9E3-4DE1-9AA9-761C3500B513}"/>
    <cellStyle name="Comma [0] 7 6 2 3 2 2 3 2" xfId="2166" xr:uid="{5B765C85-80D2-479D-9784-3D3FD6A30BA2}"/>
    <cellStyle name="Comma [0] 7 6 2 3 2 2 4" xfId="1555" xr:uid="{D25EF62D-60F9-40EC-9986-4740E01B7792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3" xfId="1708" xr:uid="{7A93BD17-B362-4FC7-B581-206F19AFA954}"/>
    <cellStyle name="Comma [0] 7 6 2 3 2 4" xfId="772" xr:uid="{F1155897-4E81-4235-8D96-C30B6BF6C453}"/>
    <cellStyle name="Comma [0] 7 6 2 3 2 4 2" xfId="2024" xr:uid="{F42DE8FB-C810-4BB7-8CF1-E9827FE28ECB}"/>
    <cellStyle name="Comma [0] 7 6 2 3 2 5" xfId="1413" xr:uid="{B78FBC2D-1F7A-4F09-8F82-AA6DEA94AB1F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3" xfId="1778" xr:uid="{A8D27532-26AB-4BC0-A534-028FBE6CD348}"/>
    <cellStyle name="Comma [0] 7 6 2 3 3 3" xfId="842" xr:uid="{43C720A9-CE52-4C50-91DD-29CCB1B6226E}"/>
    <cellStyle name="Comma [0] 7 6 2 3 3 3 2" xfId="2094" xr:uid="{620B79D2-56DC-459A-A868-BBB130225392}"/>
    <cellStyle name="Comma [0] 7 6 2 3 3 4" xfId="1483" xr:uid="{F14F935F-020C-43D7-B43E-A64F737FFE73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3" xfId="1636" xr:uid="{86FF6F96-B907-4767-B5E3-05D326824525}"/>
    <cellStyle name="Comma [0] 7 6 2 3 5" xfId="700" xr:uid="{D72F7F41-5548-4B96-98BE-CC2921BEBFED}"/>
    <cellStyle name="Comma [0] 7 6 2 3 5 2" xfId="1952" xr:uid="{83D27AFD-4D6F-41B0-9D46-497D3FF9D702}"/>
    <cellStyle name="Comma [0] 7 6 2 3 6" xfId="1341" xr:uid="{DCE60330-E113-415F-8DAE-90F08EF174DC}"/>
    <cellStyle name="Comma [0] 7 6 2 4" xfId="76" xr:uid="{76202EC3-B6A1-4F29-8DC9-C5022B13BC19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3" xfId="1844" xr:uid="{518771B4-8732-400A-8170-D3AF4874001E}"/>
    <cellStyle name="Comma [0] 7 6 2 4 2 2 3" xfId="908" xr:uid="{4B502992-5777-48F3-B6CD-E91321D20416}"/>
    <cellStyle name="Comma [0] 7 6 2 4 2 2 3 2" xfId="2160" xr:uid="{38F8E0B2-BFBA-4F8C-A2AF-535C396FF8EA}"/>
    <cellStyle name="Comma [0] 7 6 2 4 2 2 4" xfId="1549" xr:uid="{6DEFD3DD-1026-44B1-BA11-DF4FA4F4DBE6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3" xfId="1702" xr:uid="{2E3E3707-BA4D-4925-9069-55F29CCFB700}"/>
    <cellStyle name="Comma [0] 7 6 2 4 2 4" xfId="766" xr:uid="{20C41332-127C-4A25-94B3-DA602B9E1F63}"/>
    <cellStyle name="Comma [0] 7 6 2 4 2 4 2" xfId="2018" xr:uid="{7CE2890C-E70B-4947-B19D-140F11A13F8B}"/>
    <cellStyle name="Comma [0] 7 6 2 4 2 5" xfId="1407" xr:uid="{2C6366AC-2136-4C53-98A1-27DBD4EEED9E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3" xfId="1772" xr:uid="{AC042EAF-25D6-4D39-A40B-801990B3009D}"/>
    <cellStyle name="Comma [0] 7 6 2 4 3 3" xfId="836" xr:uid="{34FDD784-5083-46F6-BD0E-E288DB68DD9C}"/>
    <cellStyle name="Comma [0] 7 6 2 4 3 3 2" xfId="2088" xr:uid="{0CA44175-C96D-478B-825F-5CC19468D3C7}"/>
    <cellStyle name="Comma [0] 7 6 2 4 3 4" xfId="1477" xr:uid="{B6E6BC6E-8139-4818-9A84-413F9FBF2BEC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3" xfId="1630" xr:uid="{95503629-ACBB-4816-BF2E-187ADB13C51A}"/>
    <cellStyle name="Comma [0] 7 6 2 4 5" xfId="694" xr:uid="{FFC24947-D216-4302-94F5-B500E389FDF3}"/>
    <cellStyle name="Comma [0] 7 6 2 4 5 2" xfId="1946" xr:uid="{48F5F392-090D-4C3D-A868-A12E5E71E437}"/>
    <cellStyle name="Comma [0] 7 6 2 4 6" xfId="1335" xr:uid="{0F3F6F62-700F-4D5B-9730-F9606752D426}"/>
    <cellStyle name="Comma [0] 7 6 2 5" xfId="91" xr:uid="{5F5553B6-EC2E-4291-83C9-6FDB17EA1339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3" xfId="1854" xr:uid="{8D39C69D-94B8-4372-B204-870262B67D4F}"/>
    <cellStyle name="Comma [0] 7 6 2 5 2 2 3" xfId="918" xr:uid="{E2E3C6D9-DF05-4509-951F-77169223C3A0}"/>
    <cellStyle name="Comma [0] 7 6 2 5 2 2 3 2" xfId="2170" xr:uid="{D4042275-9012-4CB1-86F9-03ED58459FBD}"/>
    <cellStyle name="Comma [0] 7 6 2 5 2 2 4" xfId="1559" xr:uid="{ADC98213-20A5-4F84-83E9-6D5E92906559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3" xfId="1712" xr:uid="{9D8BA87D-BEF0-40AA-B192-47B5AC5128BB}"/>
    <cellStyle name="Comma [0] 7 6 2 5 2 4" xfId="776" xr:uid="{5D96F92A-AFC7-4A04-8949-C973F00FEC05}"/>
    <cellStyle name="Comma [0] 7 6 2 5 2 4 2" xfId="2028" xr:uid="{758CBDC5-27FA-41A9-B11C-DE070815BAF2}"/>
    <cellStyle name="Comma [0] 7 6 2 5 2 5" xfId="1417" xr:uid="{12CFE00D-D889-40AF-ADBC-C16FED943F36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3" xfId="1783" xr:uid="{2D4F4EC2-7195-49AF-90AE-5BD636649305}"/>
    <cellStyle name="Comma [0] 7 6 2 5 3 3" xfId="847" xr:uid="{E36BC0D0-7010-41E6-86CD-FCB2322C9374}"/>
    <cellStyle name="Comma [0] 7 6 2 5 3 3 2" xfId="2099" xr:uid="{75DE1C94-42AE-4221-A178-97DE494751B8}"/>
    <cellStyle name="Comma [0] 7 6 2 5 3 4" xfId="1488" xr:uid="{851DEA77-218F-408A-AFDC-DF06A704546E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3" xfId="1641" xr:uid="{F28284D0-F0B5-44FB-B061-4349E5F477B2}"/>
    <cellStyle name="Comma [0] 7 6 2 5 5" xfId="705" xr:uid="{097ED93E-F80C-4A3D-8555-229CB8E7CE27}"/>
    <cellStyle name="Comma [0] 7 6 2 5 5 2" xfId="1957" xr:uid="{8B425FF2-7DC5-425A-A8B3-063928322427}"/>
    <cellStyle name="Comma [0] 7 6 2 5 6" xfId="1346" xr:uid="{F1ECB7C2-1C56-4C8C-AFF9-016976FFA2B5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3" xfId="1793" xr:uid="{0DB61D9A-BA3E-4326-A932-F26FA3249923}"/>
    <cellStyle name="Comma [0] 7 6 2 6 2 3" xfId="857" xr:uid="{AD39C31F-5193-4AAD-BC61-B151AF6B227D}"/>
    <cellStyle name="Comma [0] 7 6 2 6 2 3 2" xfId="2109" xr:uid="{A19F9E4E-9B1C-4CB1-9945-563475CCE74B}"/>
    <cellStyle name="Comma [0] 7 6 2 6 2 4" xfId="1498" xr:uid="{F9C16409-7D59-4E98-AFF1-3CFA835FC3F5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3" xfId="1651" xr:uid="{20BC581E-325B-4A6F-9DE9-377293484B43}"/>
    <cellStyle name="Comma [0] 7 6 2 6 4" xfId="715" xr:uid="{69AFF6FE-AE8A-4EDC-BFBD-A3A07EAEA26D}"/>
    <cellStyle name="Comma [0] 7 6 2 6 4 2" xfId="1967" xr:uid="{9BA1E45B-BC35-4FD6-9DCC-4CB83C498DD3}"/>
    <cellStyle name="Comma [0] 7 6 2 6 5" xfId="1356" xr:uid="{C924AA74-4B73-41E0-A77D-8D4B251051D5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3" xfId="1721" xr:uid="{F6449CEA-73F2-40DE-9710-4B754757626C}"/>
    <cellStyle name="Comma [0] 7 6 2 7 3" xfId="785" xr:uid="{36FECE98-6F65-45FB-AE7A-88EF107A0FEA}"/>
    <cellStyle name="Comma [0] 7 6 2 7 3 2" xfId="2037" xr:uid="{5ECB6F18-D3BD-4712-A1C6-C77A183E65CA}"/>
    <cellStyle name="Comma [0] 7 6 2 7 4" xfId="1426" xr:uid="{046A0486-3BA9-49B7-A751-600960DC5E84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3" xfId="1863" xr:uid="{832E410E-70C6-4BE5-ADD8-4CEB40C47E71}"/>
    <cellStyle name="Comma [0] 7 6 2 8 3" xfId="927" xr:uid="{C58EBEA9-809E-4186-B6AF-B4943E0C8A50}"/>
    <cellStyle name="Comma [0] 7 6 2 8 3 2" xfId="2179" xr:uid="{C85AFFA0-5458-4A48-9243-D69D601196F2}"/>
    <cellStyle name="Comma [0] 7 6 2 8 4" xfId="1568" xr:uid="{CCCA9F41-BF89-43C5-BEAB-A139BCEDAD1D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3" xfId="1579" xr:uid="{9433A435-723E-4238-A92B-B0E6137376E1}"/>
    <cellStyle name="Comma [0] 7 6 3" xfId="29" xr:uid="{04ACA5F1-DD3F-418D-BD60-6181D4261DF5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3" xfId="1800" xr:uid="{4B0A3F69-84B1-4907-8563-320157A29A18}"/>
    <cellStyle name="Comma [0] 7 6 3 2 2 3" xfId="864" xr:uid="{D728FEEC-96DE-48DD-B407-85FDBF314F3D}"/>
    <cellStyle name="Comma [0] 7 6 3 2 2 3 2" xfId="2116" xr:uid="{EDBB597C-39F1-4A62-9430-58719122CD39}"/>
    <cellStyle name="Comma [0] 7 6 3 2 2 4" xfId="1505" xr:uid="{3B6CD631-06D2-42E7-B61F-5B509CFEDDA8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3" xfId="1658" xr:uid="{B47990C3-66D7-435D-812D-3BC003008658}"/>
    <cellStyle name="Comma [0] 7 6 3 2 4" xfId="722" xr:uid="{4E41FBF1-3351-4EF2-A414-535F04AF81EF}"/>
    <cellStyle name="Comma [0] 7 6 3 2 4 2" xfId="1974" xr:uid="{71A8018F-2185-44E6-8FC6-EF7E4DF59000}"/>
    <cellStyle name="Comma [0] 7 6 3 2 5" xfId="1363" xr:uid="{E650DAE3-D790-47FD-B6E3-BD7232B90F3F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3" xfId="1728" xr:uid="{3053F470-5C98-40D5-8462-1D8877C3022D}"/>
    <cellStyle name="Comma [0] 7 6 3 3 3" xfId="792" xr:uid="{C836C3C6-6388-4884-A5F6-E85A36CC9B29}"/>
    <cellStyle name="Comma [0] 7 6 3 3 3 2" xfId="2044" xr:uid="{9F314F9D-5AC0-4424-A7F9-ACE1B6E98FA4}"/>
    <cellStyle name="Comma [0] 7 6 3 3 4" xfId="1433" xr:uid="{072C6A0F-6EDA-41E2-9D29-B14F60C6FD6D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3" xfId="1586" xr:uid="{B8BC6EBD-64B4-4728-A144-EE631E5B4217}"/>
    <cellStyle name="Comma [0] 7 6 3 5" xfId="650" xr:uid="{A2CE32C6-C9A1-4295-A7DC-3D64429488CB}"/>
    <cellStyle name="Comma [0] 7 6 3 5 2" xfId="1902" xr:uid="{EA7E2D7E-21B4-4EBC-9DC1-3A3AE4D81C68}"/>
    <cellStyle name="Comma [0] 7 6 3 6" xfId="1291" xr:uid="{260809F9-2B51-4FA9-96D8-9DDAB89CA1C2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3" xfId="1786" xr:uid="{71CAEFA4-C598-49A9-8F7D-79A804E753FF}"/>
    <cellStyle name="Comma [0] 7 6 4 2 3" xfId="850" xr:uid="{2E6FEED0-B03E-4CE3-BE3E-40A9C1AA20C9}"/>
    <cellStyle name="Comma [0] 7 6 4 2 3 2" xfId="2102" xr:uid="{B7F208A9-1633-4F46-85F9-913CD0D54222}"/>
    <cellStyle name="Comma [0] 7 6 4 2 4" xfId="1491" xr:uid="{F5915A9C-66D8-40B2-95CB-A20FE0BFE66F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3" xfId="1644" xr:uid="{F9A70685-2209-4F58-A187-EA291FC33542}"/>
    <cellStyle name="Comma [0] 7 6 4 4" xfId="708" xr:uid="{C4A75189-266B-4361-9A72-703F73A51263}"/>
    <cellStyle name="Comma [0] 7 6 4 4 2" xfId="1960" xr:uid="{979EB314-7784-4B55-8DC3-2C564F1471D4}"/>
    <cellStyle name="Comma [0] 7 6 4 5" xfId="1349" xr:uid="{55F7BD69-022F-4354-9BB5-3E8838061490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3" xfId="1715" xr:uid="{D478ED0E-62B2-4767-98A2-B8EDAC87FE9D}"/>
    <cellStyle name="Comma [0] 7 6 5 3" xfId="779" xr:uid="{5A6B8B8D-75D9-4595-B59B-491126969559}"/>
    <cellStyle name="Comma [0] 7 6 5 3 2" xfId="2031" xr:uid="{3C702B03-F1DE-4066-A951-8E928F0982BE}"/>
    <cellStyle name="Comma [0] 7 6 5 4" xfId="1420" xr:uid="{56678CB3-7A5E-4A17-BAFA-A78383144518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3" xfId="1573" xr:uid="{9DBBC189-D361-4720-92BF-A7E571A83957}"/>
    <cellStyle name="Comma [0] 7 6 7" xfId="637" xr:uid="{8F27CCF1-BD79-4E5D-8537-D495B43F6A3B}"/>
    <cellStyle name="Comma [0] 7 6 7 2" xfId="1889" xr:uid="{953E68F2-2EFE-4C16-834D-C3E478E519E0}"/>
    <cellStyle name="Comma [0] 7 6 8" xfId="1278" xr:uid="{DE632BE3-77FF-4CC8-A8B6-7F7722F4079D}"/>
    <cellStyle name="Comma [0] 8" xfId="1271" xr:uid="{5E665EF1-BF0D-4AA0-996C-5DF80D40E6CB}"/>
    <cellStyle name="Comma [0] 8 2" xfId="2522" xr:uid="{D94ED12A-1E67-4B79-9AEC-1F838EE7D988}"/>
    <cellStyle name="Comma [0] 9" xfId="1277" xr:uid="{30DCADC1-CEFA-42F1-9718-69A940BE85E8}"/>
    <cellStyle name="Comma 10" xfId="14" xr:uid="{D19F8384-4AD9-4057-9DEE-0CB81B34BF07}"/>
    <cellStyle name="Comma 10 2" xfId="34" xr:uid="{8EAE8B3D-977F-46B7-90AB-A47603A9F3CD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3" xfId="1805" xr:uid="{1AB6E541-E54C-483A-8B23-10BE04C93F6F}"/>
    <cellStyle name="Comma 10 2 2 2 3" xfId="869" xr:uid="{BD4C4BF4-E2C3-49AD-AD4D-85B3E97D5D83}"/>
    <cellStyle name="Comma 10 2 2 2 3 2" xfId="2121" xr:uid="{66F93EC5-3FFC-4EE9-8860-9C7BF4380264}"/>
    <cellStyle name="Comma 10 2 2 2 4" xfId="1510" xr:uid="{6DFAC585-C4B3-4822-802E-8B10DDD5E6CE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3" xfId="1663" xr:uid="{AA142B88-134E-44DF-9E29-742CF216F7AB}"/>
    <cellStyle name="Comma 10 2 2 4" xfId="727" xr:uid="{2E9FEDEF-18A3-40F9-9821-2C1D97E9354D}"/>
    <cellStyle name="Comma 10 2 2 4 2" xfId="1979" xr:uid="{A0224DA2-326D-4F47-9BA1-5ADFF68198EE}"/>
    <cellStyle name="Comma 10 2 2 5" xfId="1368" xr:uid="{1B1FEDE0-83A0-4F2C-8AC6-1E26D714CEE9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3" xfId="1733" xr:uid="{D5D520E9-C2C5-447F-97FA-78C5EA62F8D5}"/>
    <cellStyle name="Comma 10 2 3 3" xfId="797" xr:uid="{DC7EE89E-3DC2-4FAC-8CE4-153DD0382ECD}"/>
    <cellStyle name="Comma 10 2 3 3 2" xfId="2049" xr:uid="{C240BE2A-8E3C-4A29-B0D4-9ED3E6653132}"/>
    <cellStyle name="Comma 10 2 3 4" xfId="1438" xr:uid="{B216A8BB-02D1-4D67-971A-C42431D5AD76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3" xfId="1591" xr:uid="{2B0A25EC-CD27-423C-98A4-FA5C1FF05F33}"/>
    <cellStyle name="Comma 10 2 5" xfId="655" xr:uid="{4D605441-B292-4C5A-99E1-D416E4F9B96A}"/>
    <cellStyle name="Comma 10 2 5 2" xfId="1907" xr:uid="{4CDDFC57-CA27-4779-ABA0-59CFCC43E6A6}"/>
    <cellStyle name="Comma 10 2 6" xfId="1296" xr:uid="{AACF3B6F-3DF4-4C95-AB53-6E4811F811AE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3" xfId="1788" xr:uid="{90C6B23B-FD04-4A76-A651-199054DD48CD}"/>
    <cellStyle name="Comma 10 3 2 3" xfId="852" xr:uid="{8E90EB66-5FDE-44AB-B127-0BC890CB0C9B}"/>
    <cellStyle name="Comma 10 3 2 3 2" xfId="2104" xr:uid="{AAF475BF-B8DB-46F1-A032-665C7C87A5A4}"/>
    <cellStyle name="Comma 10 3 2 4" xfId="1493" xr:uid="{A8DA3C62-5A0C-4558-85A8-C86ACEDB85ED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3" xfId="1646" xr:uid="{4993679B-06E4-41FC-BD4A-1ADE9A385043}"/>
    <cellStyle name="Comma 10 3 4" xfId="710" xr:uid="{2D364EC2-02FE-43A5-A526-139C59D2B985}"/>
    <cellStyle name="Comma 10 3 4 2" xfId="1962" xr:uid="{0BD3536B-CF6F-40CC-A9C3-48D28DA59EC8}"/>
    <cellStyle name="Comma 10 3 5" xfId="1351" xr:uid="{931646BA-7825-41AF-A57B-074D4C508BCC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3" xfId="1716" xr:uid="{B0D9A52A-A082-409E-9D8D-6FB2277A2D1E}"/>
    <cellStyle name="Comma 10 4 3" xfId="780" xr:uid="{F190E4F0-AE15-4629-8929-FEE8A498BB51}"/>
    <cellStyle name="Comma 10 4 3 2" xfId="2032" xr:uid="{BE542043-443F-4E97-8E09-6515357F8884}"/>
    <cellStyle name="Comma 10 4 4" xfId="1421" xr:uid="{CF17A958-1DF9-42AE-8B17-35D59628873E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3" xfId="1574" xr:uid="{14D146A5-3289-4835-98E4-2BA1C16D4A7F}"/>
    <cellStyle name="Comma 10 6" xfId="638" xr:uid="{C9388FB5-0314-44AA-B225-9BCDA36EDA8D}"/>
    <cellStyle name="Comma 10 6 2" xfId="1890" xr:uid="{20B2B624-EFC3-4AF8-9A7B-2F466F77AECC}"/>
    <cellStyle name="Comma 10 7" xfId="1279" xr:uid="{9892BE39-4146-4DD4-9367-4AD4BDD1FAA6}"/>
    <cellStyle name="Comma 100" xfId="2527" xr:uid="{568E66C6-8B3B-4578-8A83-C2206D29B200}"/>
    <cellStyle name="Comma 101" xfId="2529" xr:uid="{85300A48-B535-4AA7-807E-0D0776DB2D63}"/>
    <cellStyle name="Comma 102" xfId="2538" xr:uid="{7A075E85-6A76-4AC8-AE44-0E2F670482D2}"/>
    <cellStyle name="Comma 103" xfId="2528" xr:uid="{A1887355-92A2-49D9-886E-93DADABA3EBE}"/>
    <cellStyle name="Comma 104" xfId="2540" xr:uid="{843AAFB2-82F7-41B8-AD3C-30C5DB65CB93}"/>
    <cellStyle name="Comma 105" xfId="2530" xr:uid="{90453C65-398C-4C46-9197-20B9E5458EDD}"/>
    <cellStyle name="Comma 106" xfId="2534" xr:uid="{733A8952-5C8D-4069-A865-DE2F60FD6B94}"/>
    <cellStyle name="Comma 107" xfId="2531" xr:uid="{2D02A162-3BB6-46AC-AC60-C287D3D3A6B2}"/>
    <cellStyle name="Comma 108" xfId="2532" xr:uid="{53C14A3C-B511-442C-9890-A9CC10DA09F0}"/>
    <cellStyle name="Comma 109" xfId="2539" xr:uid="{392D8C74-2F2B-4F64-BFFC-ED1D8B891A30}"/>
    <cellStyle name="Comma 11" xfId="33" xr:uid="{A18E9DF8-0166-49A6-A49F-508A0093855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3" xfId="1804" xr:uid="{1C464CF8-040C-4BB6-9027-056B21EC3DF3}"/>
    <cellStyle name="Comma 11 2 2 3" xfId="868" xr:uid="{35A43E09-3E3E-40BA-8351-2866CE85993C}"/>
    <cellStyle name="Comma 11 2 2 3 2" xfId="2120" xr:uid="{3FEC5EEA-4FA4-4757-803D-D4AD40CA1F44}"/>
    <cellStyle name="Comma 11 2 2 4" xfId="1509" xr:uid="{04ABF795-4E0F-492E-8D02-DAF57902DE90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3" xfId="1662" xr:uid="{0181668B-57C8-442E-A3E3-FB9901567E46}"/>
    <cellStyle name="Comma 11 2 4" xfId="726" xr:uid="{D07E2995-D4C5-476C-869F-81504663A209}"/>
    <cellStyle name="Comma 11 2 4 2" xfId="1978" xr:uid="{D05C9A89-89DB-458C-8C34-CBE230239A6A}"/>
    <cellStyle name="Comma 11 2 5" xfId="1367" xr:uid="{C1DDE874-B5FB-4E59-A3A0-BCB9B872E266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3" xfId="1732" xr:uid="{E52BB153-CB2A-4BBF-A7A8-CD201C726781}"/>
    <cellStyle name="Comma 11 3 3" xfId="796" xr:uid="{3D2627B2-86DE-4829-884A-61E4C7CA87DF}"/>
    <cellStyle name="Comma 11 3 3 2" xfId="2048" xr:uid="{FA2BD8E9-25E2-4205-9E13-00494A373089}"/>
    <cellStyle name="Comma 11 3 4" xfId="1437" xr:uid="{1FFE64D9-4FC6-4CFA-8759-9775A640EA46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3" xfId="1590" xr:uid="{073537AF-2164-4AA8-B34F-0BB48E1A2B56}"/>
    <cellStyle name="Comma 11 5" xfId="654" xr:uid="{8761EB50-0D05-4D9A-8EA4-0C5903CB27C3}"/>
    <cellStyle name="Comma 11 5 2" xfId="1906" xr:uid="{DDF69362-EE89-4266-8547-80FE885EA1A3}"/>
    <cellStyle name="Comma 11 6" xfId="1295" xr:uid="{2EC46F2E-C9DA-48F0-A8F2-776430CC70B9}"/>
    <cellStyle name="Comma 110" xfId="2535" xr:uid="{4C89892B-6F70-4966-8179-B9441E8E5694}"/>
    <cellStyle name="Comma 111" xfId="2533" xr:uid="{FCB1D933-311F-492F-B184-C70BFD062541}"/>
    <cellStyle name="Comma 112" xfId="2537" xr:uid="{6A0F3823-BB21-4EE4-A2D7-DD5006345E32}"/>
    <cellStyle name="Comma 113" xfId="2536" xr:uid="{67A3F7D9-8F19-459C-8961-34AE4BF8906E}"/>
    <cellStyle name="Comma 12" xfId="37" xr:uid="{513BAD3F-5FDE-4902-B235-AC6711FDBF75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3" xfId="1808" xr:uid="{B1BF6123-0C70-4403-96F4-E65E5C53FD3E}"/>
    <cellStyle name="Comma 12 2 2 3" xfId="872" xr:uid="{5DBCE7C0-ACA1-4891-8732-22C65FEAD08A}"/>
    <cellStyle name="Comma 12 2 2 3 2" xfId="2124" xr:uid="{C7095278-2505-4180-BA25-3AC565782138}"/>
    <cellStyle name="Comma 12 2 2 4" xfId="1513" xr:uid="{3899A094-7063-4D5B-BD09-70343C3D9B95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3" xfId="1666" xr:uid="{37848173-4C99-4DE6-B51B-1711C78B4388}"/>
    <cellStyle name="Comma 12 2 4" xfId="730" xr:uid="{BE5C83F3-1AFD-439A-B835-690A05DE00D0}"/>
    <cellStyle name="Comma 12 2 4 2" xfId="1982" xr:uid="{22718378-280B-42F6-86D7-E364849A7106}"/>
    <cellStyle name="Comma 12 2 5" xfId="1371" xr:uid="{5B8A14BB-6D2F-46F2-A20B-8867E600A6D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3" xfId="1736" xr:uid="{74F50959-C617-4437-AE61-1020E7399DE0}"/>
    <cellStyle name="Comma 12 3 3" xfId="800" xr:uid="{62AB9488-0416-4179-9374-161A46546AD1}"/>
    <cellStyle name="Comma 12 3 3 2" xfId="2052" xr:uid="{2667DF1C-D019-4A21-B602-11CB2C2BE485}"/>
    <cellStyle name="Comma 12 3 4" xfId="1441" xr:uid="{B594ABD2-64C5-4601-8CEE-6D88E4BE213C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3" xfId="1594" xr:uid="{70F2A391-327E-4E60-BE1A-8DDDE82E9E37}"/>
    <cellStyle name="Comma 12 5" xfId="658" xr:uid="{7F99FB08-7B18-405E-ADB3-F1ACB8FF17EF}"/>
    <cellStyle name="Comma 12 5 2" xfId="1910" xr:uid="{13B2395A-D7F1-46C9-A462-43EE4355C1A6}"/>
    <cellStyle name="Comma 12 6" xfId="1299" xr:uid="{30EFED34-DE54-4DBA-9E2F-1698CCA55CBD}"/>
    <cellStyle name="Comma 13" xfId="51" xr:uid="{36878A85-C09B-4E82-8B46-3C3B31997AA6}"/>
    <cellStyle name="Comma 13 2" xfId="130" xr:uid="{3B6B6012-CEC3-4B4D-AA38-88C85F70C0D0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3" xfId="1822" xr:uid="{9AB9F82C-4FEA-47E4-A07A-F8FC0AFC34A0}"/>
    <cellStyle name="Comma 13 2 2 3" xfId="886" xr:uid="{B6CD4F1E-8AE1-4266-965F-7751B3B2930E}"/>
    <cellStyle name="Comma 13 2 2 3 2" xfId="2138" xr:uid="{777A2493-2721-448B-B672-7BCAD28E4516}"/>
    <cellStyle name="Comma 13 2 2 4" xfId="1527" xr:uid="{AE26416B-7DA6-4760-851E-F2866A226371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3" xfId="1680" xr:uid="{EDECF6AD-B1EC-4D39-8026-01D3DA2520CF}"/>
    <cellStyle name="Comma 13 2 4" xfId="744" xr:uid="{1207BFA7-7A75-41FB-BE5D-D9AB31175EA8}"/>
    <cellStyle name="Comma 13 2 4 2" xfId="1996" xr:uid="{0EE124F1-813D-45CB-AE6C-83B79699448C}"/>
    <cellStyle name="Comma 13 2 5" xfId="1385" xr:uid="{12BB71CD-7B3B-448E-8366-85C066F026E8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3" xfId="1750" xr:uid="{DAB5BB14-669C-4DF4-AFB7-69EBF98AB950}"/>
    <cellStyle name="Comma 13 3 3" xfId="814" xr:uid="{CE4C69B4-0742-4E72-BF47-7D17552C6630}"/>
    <cellStyle name="Comma 13 3 3 2" xfId="2066" xr:uid="{CC70E4F5-80A9-4F61-B009-CF1C77C40457}"/>
    <cellStyle name="Comma 13 3 4" xfId="1455" xr:uid="{9DE2641A-7A07-409B-8D45-15092A6F2745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3" xfId="1608" xr:uid="{D93B16AF-858A-4A7C-BFCE-07EDFA88E008}"/>
    <cellStyle name="Comma 13 5" xfId="672" xr:uid="{E50452A7-AA8B-4DEE-8785-677000460693}"/>
    <cellStyle name="Comma 13 5 2" xfId="1924" xr:uid="{3C1BC5A8-B299-4E45-BD75-74E7CDD263A4}"/>
    <cellStyle name="Comma 13 6" xfId="1313" xr:uid="{ECDA4A5D-4A71-42C8-9D48-7C73AD3F28EE}"/>
    <cellStyle name="Comma 14" xfId="52" xr:uid="{3BC2A69F-85B5-4721-B3CA-44243E17A28C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3" xfId="1823" xr:uid="{AFB2B2C5-0B62-44F2-B416-5AE6759C8283}"/>
    <cellStyle name="Comma 14 2 2 3" xfId="887" xr:uid="{ABCE90C8-7FC8-4403-9E6E-84955A705C54}"/>
    <cellStyle name="Comma 14 2 2 3 2" xfId="2139" xr:uid="{98950DE2-06BA-450D-91C2-90C448F54DC2}"/>
    <cellStyle name="Comma 14 2 2 4" xfId="1528" xr:uid="{C5AAD91E-EA36-48DF-A648-57E6EB2A80F4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3" xfId="1681" xr:uid="{CAFF3B4D-BE90-4538-87A3-5147C4913EA5}"/>
    <cellStyle name="Comma 14 2 4" xfId="745" xr:uid="{00CC4FCB-1759-4118-BEF3-1DF047D1E809}"/>
    <cellStyle name="Comma 14 2 4 2" xfId="1997" xr:uid="{A043D53E-996C-4A87-9197-65959CA27249}"/>
    <cellStyle name="Comma 14 2 5" xfId="1386" xr:uid="{D852319B-B28C-43AC-A870-F598707E01E1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3" xfId="1751" xr:uid="{8280CE42-C22A-4807-9199-E0EF1CDDC936}"/>
    <cellStyle name="Comma 14 3 3" xfId="815" xr:uid="{A3ACA85A-9D90-4861-A420-7B0DBE084A54}"/>
    <cellStyle name="Comma 14 3 3 2" xfId="2067" xr:uid="{4A129616-D6DD-45DC-9083-EC21291F228D}"/>
    <cellStyle name="Comma 14 3 4" xfId="1456" xr:uid="{A3390888-7FC7-4E6B-B997-730EE15D17DA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3" xfId="1609" xr:uid="{AF98BF02-AB85-4806-8BED-A217523CF3A4}"/>
    <cellStyle name="Comma 14 5" xfId="673" xr:uid="{0594A290-75B9-4770-867B-D4BC8D259AC1}"/>
    <cellStyle name="Comma 14 5 2" xfId="1925" xr:uid="{90321990-C14A-418B-9C35-13FA35C5ABDF}"/>
    <cellStyle name="Comma 14 6" xfId="1314" xr:uid="{7E9CE5AC-AA61-489C-9121-BD270D2936A1}"/>
    <cellStyle name="Comma 15" xfId="53" xr:uid="{31594E66-BE66-4550-B2CC-D2EE1DE5CA1B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3" xfId="1824" xr:uid="{2142F3C0-D737-48E4-8A67-725C44F2D859}"/>
    <cellStyle name="Comma 15 2 2 3" xfId="888" xr:uid="{B423DE3A-B5DA-4FD3-9B13-63E82CE79187}"/>
    <cellStyle name="Comma 15 2 2 3 2" xfId="2140" xr:uid="{D45CE119-36B4-416B-A63F-9450AAD9CD95}"/>
    <cellStyle name="Comma 15 2 2 4" xfId="1529" xr:uid="{CE5A9B60-0479-4E99-ADEB-C65C7F95C189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3" xfId="1682" xr:uid="{1E4A99E4-039B-40AB-BE4B-B97B9AF0817F}"/>
    <cellStyle name="Comma 15 2 4" xfId="746" xr:uid="{F44249E1-CA21-4896-B75B-4FC47C9333E4}"/>
    <cellStyle name="Comma 15 2 4 2" xfId="1998" xr:uid="{D4882945-A4CD-41B5-A059-3AC38B5EF54D}"/>
    <cellStyle name="Comma 15 2 5" xfId="1387" xr:uid="{064EFE44-A6EC-409E-A42C-C88D4F5C5F96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3" xfId="1752" xr:uid="{A1F59831-9558-48FF-AD70-AAC753C096B3}"/>
    <cellStyle name="Comma 15 3 3" xfId="816" xr:uid="{49F86D92-D867-4C24-B4FF-829FE7827A73}"/>
    <cellStyle name="Comma 15 3 3 2" xfId="2068" xr:uid="{9CEC617D-C469-4728-AE7A-789010EB1F17}"/>
    <cellStyle name="Comma 15 3 4" xfId="1457" xr:uid="{0D4BFD6D-34E8-43A1-A9CC-4D150AF26022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3" xfId="1610" xr:uid="{A83CA51F-22D2-4EFF-B6A9-5F4BA6BCD263}"/>
    <cellStyle name="Comma 15 5" xfId="674" xr:uid="{2903BA6D-348C-4DDF-B995-EDB71955A787}"/>
    <cellStyle name="Comma 15 5 2" xfId="1926" xr:uid="{47DEF632-7545-4EFE-BBD1-F6413E7277D8}"/>
    <cellStyle name="Comma 15 6" xfId="1315" xr:uid="{95887C25-769A-447F-8DD0-420ED7F79085}"/>
    <cellStyle name="Comma 16" xfId="54" xr:uid="{A01E7C94-4AA8-49D9-BF5A-E280F5085C89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3" xfId="1825" xr:uid="{68DC49F6-0C6E-4479-8CD2-C2B2A300AD7A}"/>
    <cellStyle name="Comma 16 2 2 3" xfId="889" xr:uid="{4E311A86-146F-4546-9F85-74596E800286}"/>
    <cellStyle name="Comma 16 2 2 3 2" xfId="2141" xr:uid="{E6830162-C26F-4FA6-B7FE-D3305A9B841D}"/>
    <cellStyle name="Comma 16 2 2 4" xfId="1530" xr:uid="{7FC63D39-9BBE-44F5-9307-D75B1C30D2AE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3" xfId="1683" xr:uid="{83A4D847-FD75-4F1B-A5C7-B012D3FA7BAC}"/>
    <cellStyle name="Comma 16 2 4" xfId="747" xr:uid="{C7AE5D28-5DB9-4640-804E-BCB599F3FB4F}"/>
    <cellStyle name="Comma 16 2 4 2" xfId="1999" xr:uid="{8B4A9A37-6AFA-4EDC-848C-A92F7C682ED2}"/>
    <cellStyle name="Comma 16 2 5" xfId="1388" xr:uid="{254D0C26-6A20-4F80-8F5A-ADB4DD2818CF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3" xfId="1753" xr:uid="{351732FF-B742-45C1-892D-9E2B1859C2F9}"/>
    <cellStyle name="Comma 16 3 3" xfId="817" xr:uid="{5C376DDC-96B4-42A9-892E-98202C4A4B1F}"/>
    <cellStyle name="Comma 16 3 3 2" xfId="2069" xr:uid="{AAE0A30A-E042-4B44-B5C2-70AA0EC3578F}"/>
    <cellStyle name="Comma 16 3 4" xfId="1458" xr:uid="{3A4EF618-AC87-47AF-923C-B13AEB4132CB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3" xfId="1611" xr:uid="{020D6CDA-01A7-498C-AFD5-C28E6932A34F}"/>
    <cellStyle name="Comma 16 5" xfId="675" xr:uid="{1162681C-B521-44B7-B8E9-769B3FF22EDE}"/>
    <cellStyle name="Comma 16 5 2" xfId="1927" xr:uid="{E521F488-A138-4375-A6D1-6D62C26D617D}"/>
    <cellStyle name="Comma 16 6" xfId="1316" xr:uid="{00D1C962-C3AC-4E3D-A73B-7942EEA811B2}"/>
    <cellStyle name="Comma 17" xfId="55" xr:uid="{A37EAD8C-8A90-4613-B13E-873CF5615D25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3" xfId="1826" xr:uid="{A24A2BD5-A5A1-471E-AEC6-E46F98AA446D}"/>
    <cellStyle name="Comma 17 2 2 3" xfId="890" xr:uid="{F8F59FC8-740B-4572-8D13-AE8E307F0B46}"/>
    <cellStyle name="Comma 17 2 2 3 2" xfId="2142" xr:uid="{6591697E-66D7-4892-BDCD-5E4D7AD23E4C}"/>
    <cellStyle name="Comma 17 2 2 4" xfId="1531" xr:uid="{ACBD9352-A05B-4E29-85D2-55B41EC27DF0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3" xfId="1684" xr:uid="{2026C8F8-AB66-4DDE-BEB7-F400F01134AE}"/>
    <cellStyle name="Comma 17 2 4" xfId="748" xr:uid="{0FB7B841-FF66-4A19-A3BB-AEDBD7700CC6}"/>
    <cellStyle name="Comma 17 2 4 2" xfId="2000" xr:uid="{1830A5B5-658F-45F9-8F80-E1F95B64CC8C}"/>
    <cellStyle name="Comma 17 2 5" xfId="1389" xr:uid="{3E4AA5DD-C38F-4653-B1F8-6E99F15DB021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3" xfId="1754" xr:uid="{64810F6A-E468-4375-8FA5-528220BBDFA3}"/>
    <cellStyle name="Comma 17 3 3" xfId="818" xr:uid="{A5BEDDD8-CCCE-4320-8EDD-4E6B8E9CB622}"/>
    <cellStyle name="Comma 17 3 3 2" xfId="2070" xr:uid="{88841FF2-CDC3-4F96-97AC-DBEF3CD2049F}"/>
    <cellStyle name="Comma 17 3 4" xfId="1459" xr:uid="{15FBFF8E-5AFC-484B-9445-A85A742A29D6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3" xfId="1612" xr:uid="{E74D6C05-98E5-45B1-A1A1-92882FF575B5}"/>
    <cellStyle name="Comma 17 5" xfId="676" xr:uid="{5C1E58F7-A359-44DF-B1C5-A3A53E2B9093}"/>
    <cellStyle name="Comma 17 5 2" xfId="1928" xr:uid="{713CF80E-ECD4-4274-B4CD-BBB2B2556B90}"/>
    <cellStyle name="Comma 17 6" xfId="1317" xr:uid="{C3DD926E-A608-4E27-9175-2FEE2D20DD0D}"/>
    <cellStyle name="Comma 18" xfId="48" xr:uid="{B97B05EC-54CC-45AB-B636-F7842D8E7E38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3" xfId="1819" xr:uid="{64DA9F62-6543-4088-94FC-6F8A01609355}"/>
    <cellStyle name="Comma 18 2 2 3" xfId="883" xr:uid="{B0F1016F-E8FE-4241-9D0A-7A11C47570CD}"/>
    <cellStyle name="Comma 18 2 2 3 2" xfId="2135" xr:uid="{18BC99F1-3495-451E-9593-E317AEC5DA27}"/>
    <cellStyle name="Comma 18 2 2 4" xfId="1524" xr:uid="{8BC4461F-EC6F-4A2E-B925-7BDBA28401C8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3" xfId="1677" xr:uid="{23A9C3E8-34B9-4214-8AC6-2DCD2F7B11D7}"/>
    <cellStyle name="Comma 18 2 4" xfId="741" xr:uid="{2E04C00D-F0E5-4041-BB5D-C3C8091C96A8}"/>
    <cellStyle name="Comma 18 2 4 2" xfId="1993" xr:uid="{FF9EBE12-29CC-4A62-AADF-CFF7E3C9BEF6}"/>
    <cellStyle name="Comma 18 2 5" xfId="1382" xr:uid="{0F8B8474-0DD7-45CE-B5F9-09B99BFA2A7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3" xfId="1747" xr:uid="{4A6302B8-D043-4343-95F4-4A767B62781D}"/>
    <cellStyle name="Comma 18 3 3" xfId="811" xr:uid="{3709ADA4-5DA4-4839-96F8-9B3B2A2C48E4}"/>
    <cellStyle name="Comma 18 3 3 2" xfId="2063" xr:uid="{54B6B3B0-5AE9-49C0-90F5-3B89365F97F0}"/>
    <cellStyle name="Comma 18 3 4" xfId="1452" xr:uid="{1DEDA211-C979-443B-B24A-D0FA59571721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3" xfId="1605" xr:uid="{4B58DB67-9F37-48D1-8442-1640540E8259}"/>
    <cellStyle name="Comma 18 5" xfId="669" xr:uid="{4693E302-1714-4CC2-A996-7F191AE5DEBE}"/>
    <cellStyle name="Comma 18 5 2" xfId="1921" xr:uid="{8EA6D6B5-6859-46E3-9A17-BD6F265101A7}"/>
    <cellStyle name="Comma 18 6" xfId="1310" xr:uid="{2B020118-B6B9-4916-BD23-0B67313F7C14}"/>
    <cellStyle name="Comma 19" xfId="31" xr:uid="{D42E312C-06C8-409A-86D8-6AAA58E0C17C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3" xfId="1802" xr:uid="{6C9078C1-000A-4472-9BE7-EB068B7E0070}"/>
    <cellStyle name="Comma 19 2 2 3" xfId="866" xr:uid="{37C194EA-D131-4A42-989E-3B04259B64B0}"/>
    <cellStyle name="Comma 19 2 2 3 2" xfId="2118" xr:uid="{DEFB17DD-3265-4C6B-9A92-412047E00446}"/>
    <cellStyle name="Comma 19 2 2 4" xfId="1507" xr:uid="{1A481336-D6A3-4885-BF0E-3FFE712A182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3" xfId="1660" xr:uid="{B29A37C2-C155-4879-B3C3-517C9009EF55}"/>
    <cellStyle name="Comma 19 2 4" xfId="724" xr:uid="{7B7F7EED-6A8C-4F11-B30C-9CF410FC9871}"/>
    <cellStyle name="Comma 19 2 4 2" xfId="1976" xr:uid="{78F1CD68-618E-4AB4-9316-F04D9E3521FD}"/>
    <cellStyle name="Comma 19 2 5" xfId="1365" xr:uid="{BE15BD5C-780E-4C6F-9BF0-A5DDD62BED5D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3" xfId="1730" xr:uid="{F7A2B6D0-C003-4670-B7D7-BC07D3B1DEA2}"/>
    <cellStyle name="Comma 19 3 3" xfId="794" xr:uid="{F0B8E93A-DEB5-4D9B-ACD4-20CFA7FD7681}"/>
    <cellStyle name="Comma 19 3 3 2" xfId="2046" xr:uid="{96013A8C-0E13-4817-A528-0144AAF5BD3C}"/>
    <cellStyle name="Comma 19 3 4" xfId="1435" xr:uid="{57B790CC-EE9F-406A-85BB-D4D0DB13F1DE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3" xfId="1588" xr:uid="{7DB26021-3805-42D7-9374-5793D688D6FF}"/>
    <cellStyle name="Comma 19 5" xfId="652" xr:uid="{FA40BF4A-128D-4E28-BED9-E17052243E74}"/>
    <cellStyle name="Comma 19 5 2" xfId="1904" xr:uid="{8496FE92-8F9A-41FA-B71E-B3E454ECC490}"/>
    <cellStyle name="Comma 19 6" xfId="1293" xr:uid="{C7A9ABE5-3284-43AA-BFAF-7408E415B278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1" xfId="1281" xr:uid="{9EE073E5-B744-41F2-A864-7E4ECCD73697}"/>
    <cellStyle name="Comma 2 2" xfId="38" xr:uid="{EDFED93E-E29C-400E-9FD4-77D8BD799D1B}"/>
    <cellStyle name="Comma 2 2 2" xfId="83" xr:uid="{755B623F-53BE-4E6F-9428-95A63A34FD58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3" xfId="1848" xr:uid="{0BD0FA5E-5CB3-4DF4-8B30-EEF158AE7972}"/>
    <cellStyle name="Comma 2 2 2 2 2 3" xfId="912" xr:uid="{3E405FA4-0D81-452D-8157-655AAABC2CF4}"/>
    <cellStyle name="Comma 2 2 2 2 2 3 2" xfId="2164" xr:uid="{09A2575F-8449-4241-9A29-507F711F5547}"/>
    <cellStyle name="Comma 2 2 2 2 2 4" xfId="1553" xr:uid="{4B9234AB-C10F-4078-81A2-0B38DC109954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3" xfId="1706" xr:uid="{95426D4C-045C-4C5A-A159-32899E02E940}"/>
    <cellStyle name="Comma 2 2 2 2 4" xfId="770" xr:uid="{440E0C8B-4066-45AE-BD70-40C5E658497A}"/>
    <cellStyle name="Comma 2 2 2 2 4 2" xfId="2022" xr:uid="{95556035-15DD-4DEC-B7E5-BE5CF0C4AB4F}"/>
    <cellStyle name="Comma 2 2 2 2 5" xfId="1411" xr:uid="{59EBDF96-2EB6-4765-9D15-010116D696C6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3" xfId="1776" xr:uid="{5A447388-E42D-49A4-A3F0-59DC6AF2720D}"/>
    <cellStyle name="Comma 2 2 2 3 3" xfId="840" xr:uid="{9AEB3D5F-26E5-475E-B5E8-CF46C0EA58DD}"/>
    <cellStyle name="Comma 2 2 2 3 3 2" xfId="2092" xr:uid="{12000F14-7F43-4546-8956-0B4B1DBEF087}"/>
    <cellStyle name="Comma 2 2 2 3 4" xfId="1481" xr:uid="{F0D2E614-E60A-4D2B-9697-3EA7C4952A7B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3" xfId="1634" xr:uid="{FA6074C5-35FC-4358-956C-E58AAB4E3EB5}"/>
    <cellStyle name="Comma 2 2 2 5" xfId="698" xr:uid="{C55EB6A7-E4DD-4C64-BC7C-10B99EBC48DE}"/>
    <cellStyle name="Comma 2 2 2 5 2" xfId="1950" xr:uid="{722918FB-2F79-42B5-BB60-FCF41A6D05BE}"/>
    <cellStyle name="Comma 2 2 2 6" xfId="1339" xr:uid="{9B9F88DA-2C08-4E0B-B91C-13DC28F39C04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3" xfId="1809" xr:uid="{5098DAC4-CD61-4D07-94EC-3D2801376415}"/>
    <cellStyle name="Comma 2 2 3 2 3" xfId="873" xr:uid="{2D531D32-51CB-47FF-828D-4B0DA7C39230}"/>
    <cellStyle name="Comma 2 2 3 2 3 2" xfId="2125" xr:uid="{ADCC5B71-FCCB-482C-8BE3-16DAC2EECE87}"/>
    <cellStyle name="Comma 2 2 3 2 4" xfId="1514" xr:uid="{08F4AF1E-EA66-424F-8CA6-4B19D0EEE082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3" xfId="1667" xr:uid="{86919DDE-74F4-4C62-A7A7-13D052D53D69}"/>
    <cellStyle name="Comma 2 2 3 4" xfId="731" xr:uid="{08F709C4-1013-46D6-B814-7D9ABDEFDEED}"/>
    <cellStyle name="Comma 2 2 3 4 2" xfId="1983" xr:uid="{335AE05C-3712-4C80-8C2D-D63A6707E897}"/>
    <cellStyle name="Comma 2 2 3 5" xfId="1372" xr:uid="{AD82D476-F218-4FEA-8968-E03555F4B422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3" xfId="1737" xr:uid="{A7ABF4D7-1FC4-458A-8D1C-B9595D6D22BB}"/>
    <cellStyle name="Comma 2 2 4 3" xfId="801" xr:uid="{AB362E79-A462-4368-91E5-E329D3E90E25}"/>
    <cellStyle name="Comma 2 2 4 3 2" xfId="2053" xr:uid="{C08A40FD-383D-4C60-86FF-CD31479CCB5D}"/>
    <cellStyle name="Comma 2 2 4 4" xfId="1442" xr:uid="{AE00FF24-A475-44EB-B0B1-3B0AC32333EF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3" xfId="1595" xr:uid="{699223AF-B103-4EF1-8157-9D544A8A4962}"/>
    <cellStyle name="Comma 2 2 6" xfId="659" xr:uid="{ED0A53B7-115C-497F-98C2-E3D17E3B9D3F}"/>
    <cellStyle name="Comma 2 2 6 2" xfId="1911" xr:uid="{3F446306-0EDF-4D63-9BA3-D1E316A54427}"/>
    <cellStyle name="Comma 2 2 7" xfId="1300" xr:uid="{2126CB6E-4CBA-484F-A27C-2447B2DE2FB8}"/>
    <cellStyle name="Comma 2 3" xfId="88" xr:uid="{F534A226-CCE2-408B-B0B2-2FCE5703897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3" xfId="1851" xr:uid="{1C85B9D5-25D4-41F4-9E05-A4DB9ECA3517}"/>
    <cellStyle name="Comma 2 3 2 2 3" xfId="915" xr:uid="{14C325F1-388D-455D-9CA3-B20B502BB237}"/>
    <cellStyle name="Comma 2 3 2 2 3 2" xfId="2167" xr:uid="{97C8A22A-6873-45AA-B673-56BECD84903C}"/>
    <cellStyle name="Comma 2 3 2 2 4" xfId="1556" xr:uid="{0515E086-1CF3-4241-BB86-5A599F961C2D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3" xfId="1709" xr:uid="{9BF6B7D3-50A0-424A-9723-CA55CB1DC060}"/>
    <cellStyle name="Comma 2 3 2 4" xfId="773" xr:uid="{F7E00CBB-04AE-46B2-AE69-E592EA169CDD}"/>
    <cellStyle name="Comma 2 3 2 4 2" xfId="2025" xr:uid="{CE78AC1A-D0EA-4CBD-A5BB-74D080BCEBBF}"/>
    <cellStyle name="Comma 2 3 2 5" xfId="1414" xr:uid="{4F0927A6-B171-40DB-B969-9DF0540A0A0A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3" xfId="1780" xr:uid="{BD1780ED-CAE1-4FA5-B0AC-61AD5A6EB226}"/>
    <cellStyle name="Comma 2 3 3 3" xfId="844" xr:uid="{CB8F8968-22A7-4043-BF0F-AEBC9F061381}"/>
    <cellStyle name="Comma 2 3 3 3 2" xfId="2096" xr:uid="{3B3CCD72-99B4-46CF-BF49-731CA679F31D}"/>
    <cellStyle name="Comma 2 3 3 4" xfId="1485" xr:uid="{D4316D4D-33A3-4F1F-B76A-3E8AF9A3E321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3" xfId="1638" xr:uid="{872EF728-9268-4890-B468-558A72162862}"/>
    <cellStyle name="Comma 2 3 5" xfId="702" xr:uid="{704B4B69-CD6F-4B8D-BF24-B48F6CB8585A}"/>
    <cellStyle name="Comma 2 3 5 2" xfId="1954" xr:uid="{769F0A5D-0D86-40EC-87FA-5634642EE0AC}"/>
    <cellStyle name="Comma 2 3 6" xfId="1343" xr:uid="{0AEA7E0F-C8E8-4DDF-A122-E1514C3182A3}"/>
    <cellStyle name="Comma 2 4" xfId="78" xr:uid="{2EAB4A5B-8377-48D4-9DA4-39939CF65DFB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3" xfId="1845" xr:uid="{03DF3735-95C5-4E0C-9461-11E13C79916E}"/>
    <cellStyle name="Comma 2 4 2 2 3" xfId="909" xr:uid="{4A6A8D33-E6EA-49A8-AF77-6803F3F7DDBA}"/>
    <cellStyle name="Comma 2 4 2 2 3 2" xfId="2161" xr:uid="{40380BF4-0AA5-4C17-B8B0-3DB6EB8C1ED9}"/>
    <cellStyle name="Comma 2 4 2 2 4" xfId="1550" xr:uid="{D34F0E61-A37D-4907-A0FC-DB1EFFCCE7DD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3" xfId="1703" xr:uid="{49EFEAFA-392C-479E-8FC7-B8BC10FD8B74}"/>
    <cellStyle name="Comma 2 4 2 4" xfId="767" xr:uid="{A7626D36-F1BA-4FAC-84A2-418404298801}"/>
    <cellStyle name="Comma 2 4 2 4 2" xfId="2019" xr:uid="{8D432F9B-D723-40E7-A425-7A4FEE760234}"/>
    <cellStyle name="Comma 2 4 2 5" xfId="1408" xr:uid="{78B28748-DB27-4B7F-AB63-2A79EC4185AA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3" xfId="1773" xr:uid="{155E0D4E-071A-455F-9BE5-212302BFD737}"/>
    <cellStyle name="Comma 2 4 3 3" xfId="837" xr:uid="{C1128137-7639-45D5-BC91-386052988372}"/>
    <cellStyle name="Comma 2 4 3 3 2" xfId="2089" xr:uid="{A5222E95-07DC-4114-879A-CB4F58B86B8B}"/>
    <cellStyle name="Comma 2 4 3 4" xfId="1478" xr:uid="{4465ED7D-D139-47DB-BBCA-B0FF2AE5791E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3" xfId="1631" xr:uid="{33C3DD04-053E-4C3B-9545-F6E20DCC356C}"/>
    <cellStyle name="Comma 2 4 5" xfId="695" xr:uid="{65AAED11-E2C2-437C-8150-2C0D02054098}"/>
    <cellStyle name="Comma 2 4 5 2" xfId="1947" xr:uid="{DDE49D70-8293-4606-BD2E-86529921C52F}"/>
    <cellStyle name="Comma 2 4 6" xfId="1336" xr:uid="{45A96F26-7E5C-4439-A3C2-8BD34C1E18A3}"/>
    <cellStyle name="Comma 2 5" xfId="98" xr:uid="{709235A8-C36A-4BF1-A72E-271578A65DB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3" xfId="1790" xr:uid="{A954973D-A984-41D3-A958-57A3E3752C3B}"/>
    <cellStyle name="Comma 2 5 2 3" xfId="854" xr:uid="{8CBC4E9C-A773-4D39-9330-ECD151FFA5A2}"/>
    <cellStyle name="Comma 2 5 2 3 2" xfId="2106" xr:uid="{F2E6A959-ECBE-459C-AB16-9FF0500B19F8}"/>
    <cellStyle name="Comma 2 5 2 4" xfId="1495" xr:uid="{F4A242AD-51AB-4958-8C70-A7C7669687FC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3" xfId="1648" xr:uid="{806FFCA4-A166-490C-A47C-2CE040F596D4}"/>
    <cellStyle name="Comma 2 5 4" xfId="712" xr:uid="{56AC47AC-D22C-46ED-B75D-B30A07A0819F}"/>
    <cellStyle name="Comma 2 5 4 2" xfId="1964" xr:uid="{266188DF-972D-4745-8C6E-1FC782DDA4B4}"/>
    <cellStyle name="Comma 2 5 5" xfId="1353" xr:uid="{76465EA4-E444-4AFB-A3C2-A59A783B2DCB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3" xfId="1718" xr:uid="{D98DEE25-135A-4467-BF0B-4F4F1ECDCBFB}"/>
    <cellStyle name="Comma 2 6 3" xfId="782" xr:uid="{58EF8AD8-5C96-4722-B979-CAB1E9A5EA3D}"/>
    <cellStyle name="Comma 2 6 3 2" xfId="2034" xr:uid="{5A82AC20-2A5B-4EB8-8114-C1C845A3B871}"/>
    <cellStyle name="Comma 2 6 4" xfId="1423" xr:uid="{F89296C0-D1D1-41DB-BCDB-822231B0BE14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3" xfId="1864" xr:uid="{7DFE8084-AB9C-4404-99C9-080771B62EE6}"/>
    <cellStyle name="Comma 2 7 3" xfId="928" xr:uid="{91454706-F10D-46F9-BAB5-EB5584334AEB}"/>
    <cellStyle name="Comma 2 7 3 2" xfId="2180" xr:uid="{F5FB2783-3FEC-44CD-9675-3E55ACF30BC1}"/>
    <cellStyle name="Comma 2 7 4" xfId="1569" xr:uid="{34C8DDAA-98D4-43F3-B0A6-EC03F93F4107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3" xfId="1576" xr:uid="{BD724498-4AAA-46C7-B5A0-C073A38C9AEB}"/>
    <cellStyle name="Comma 2 9" xfId="640" xr:uid="{7C42188A-652D-437D-ABDC-66CD33B5B47D}"/>
    <cellStyle name="Comma 2 9 2" xfId="1892" xr:uid="{AC39086A-324A-4BC1-8C08-7288568D47F2}"/>
    <cellStyle name="Comma 20" xfId="30" xr:uid="{ADD69484-F603-479D-B1B0-523F1B63F3FC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3" xfId="1801" xr:uid="{7135164C-C022-4588-9A59-1FFD75442283}"/>
    <cellStyle name="Comma 20 2 2 3" xfId="865" xr:uid="{22684726-77DB-47A5-AEDC-D484BDEBC96C}"/>
    <cellStyle name="Comma 20 2 2 3 2" xfId="2117" xr:uid="{73A16F39-314B-4F7D-ADF3-400DB7A210E7}"/>
    <cellStyle name="Comma 20 2 2 4" xfId="1506" xr:uid="{8AD56081-A8B7-447F-8B7D-75695D5C92A8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3" xfId="1659" xr:uid="{025B0727-C195-4C40-858D-66FC86897B0B}"/>
    <cellStyle name="Comma 20 2 4" xfId="723" xr:uid="{1717FA3A-74A0-42BA-9294-87E98AAAEB75}"/>
    <cellStyle name="Comma 20 2 4 2" xfId="1975" xr:uid="{840C41EA-52A2-4E03-9E17-77848AF2F551}"/>
    <cellStyle name="Comma 20 2 5" xfId="1364" xr:uid="{21C1B398-704D-4774-A5E7-3BB90FCD1380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3" xfId="1729" xr:uid="{41912D90-A16B-48A5-A783-5819330EDB82}"/>
    <cellStyle name="Comma 20 3 3" xfId="793" xr:uid="{4B587F6C-DD12-4EF3-AE2C-A5BB7039F954}"/>
    <cellStyle name="Comma 20 3 3 2" xfId="2045" xr:uid="{48222041-D082-4415-9097-6C0D3E601D42}"/>
    <cellStyle name="Comma 20 3 4" xfId="1434" xr:uid="{B315EF60-99A4-46DC-93A8-5C20046D0D98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3" xfId="1587" xr:uid="{C8F5FD4F-DFCC-4B27-AC98-59563E08B309}"/>
    <cellStyle name="Comma 20 5" xfId="651" xr:uid="{6E398C7D-6093-4F8A-8320-BAFFC9410F13}"/>
    <cellStyle name="Comma 20 5 2" xfId="1903" xr:uid="{26B56A59-0CE1-45F0-9A15-D02F7ACB7F42}"/>
    <cellStyle name="Comma 20 6" xfId="1292" xr:uid="{7B59142E-C71B-4320-9431-5B1A82826B30}"/>
    <cellStyle name="Comma 21" xfId="58" xr:uid="{FB38CD4A-7003-4578-9CC7-5379CBB24538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3" xfId="1829" xr:uid="{DDF2198C-2053-4C7E-97A9-3F6AAAC67C27}"/>
    <cellStyle name="Comma 21 2 2 3" xfId="893" xr:uid="{1C8D4A5F-1E36-4609-8E29-BF7727D55724}"/>
    <cellStyle name="Comma 21 2 2 3 2" xfId="2145" xr:uid="{1E0C63D4-75EB-4389-9F41-4E22E0DEF481}"/>
    <cellStyle name="Comma 21 2 2 4" xfId="1534" xr:uid="{46949BCF-7B1F-44E2-944B-F0F675AED0C7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3" xfId="1687" xr:uid="{A27EDB54-53B5-46F1-A182-C42541B7DF4E}"/>
    <cellStyle name="Comma 21 2 4" xfId="751" xr:uid="{E9418360-2966-4941-BE96-8A15D5901BCC}"/>
    <cellStyle name="Comma 21 2 4 2" xfId="2003" xr:uid="{F58CA42B-37C9-4595-9F7C-079086272DA6}"/>
    <cellStyle name="Comma 21 2 5" xfId="1392" xr:uid="{7C4E2A8D-641F-4720-85AA-29C59BDE263E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3" xfId="1757" xr:uid="{BE3019FA-53C6-4F6C-9F75-D0AAAF1E524D}"/>
    <cellStyle name="Comma 21 3 3" xfId="821" xr:uid="{D5E89543-F677-4ADC-BEA1-1114BE3A9983}"/>
    <cellStyle name="Comma 21 3 3 2" xfId="2073" xr:uid="{B874391C-1655-4F7C-835E-02B6BF1CE309}"/>
    <cellStyle name="Comma 21 3 4" xfId="1462" xr:uid="{9F020186-3158-4F73-AF5C-C6C6B5A5A15A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3" xfId="1615" xr:uid="{8C494DE4-5137-4300-A9F2-199C6DA2EDB5}"/>
    <cellStyle name="Comma 21 5" xfId="679" xr:uid="{977905A8-7D9B-4D89-BC7D-44540CC54A9C}"/>
    <cellStyle name="Comma 21 5 2" xfId="1931" xr:uid="{640FB862-921E-4DC6-9CAF-24177A7F8694}"/>
    <cellStyle name="Comma 21 6" xfId="1320" xr:uid="{EB15FAD4-6C1D-472B-9AC7-8656D812294B}"/>
    <cellStyle name="Comma 22" xfId="56" xr:uid="{CC95F0BC-AA1B-41A5-99DD-8FF7E8E3FAAA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3" xfId="1827" xr:uid="{EA7249A4-DCFC-45B7-9770-0EF61DC4368B}"/>
    <cellStyle name="Comma 22 2 2 3" xfId="891" xr:uid="{FBA0A266-61C0-4A64-8639-7AF042A57D61}"/>
    <cellStyle name="Comma 22 2 2 3 2" xfId="2143" xr:uid="{EB712B61-4F26-4D0E-9146-BAB0EE15EC00}"/>
    <cellStyle name="Comma 22 2 2 4" xfId="1532" xr:uid="{23A231AC-9791-44F9-90F9-8FB90EF82E0F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3" xfId="1685" xr:uid="{1A37F66C-5A41-4F23-AFC8-197BC8C8893C}"/>
    <cellStyle name="Comma 22 2 4" xfId="749" xr:uid="{53CD5835-F074-4507-A355-6560E99339F7}"/>
    <cellStyle name="Comma 22 2 4 2" xfId="2001" xr:uid="{51B47D35-45B8-4ECA-9283-82EE5775164F}"/>
    <cellStyle name="Comma 22 2 5" xfId="1390" xr:uid="{123A3BFC-9ABC-406D-BC38-40E1D6A6F72F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3" xfId="1755" xr:uid="{3E728BDC-A5C3-465A-9495-A3D6286F51AC}"/>
    <cellStyle name="Comma 22 3 3" xfId="819" xr:uid="{8120A4B1-15F3-4A23-B874-0B3EBFFE5178}"/>
    <cellStyle name="Comma 22 3 3 2" xfId="2071" xr:uid="{425E30E6-B051-4FD7-98C9-A06A996B5371}"/>
    <cellStyle name="Comma 22 3 4" xfId="1460" xr:uid="{C3D7F708-FCA3-4F0B-A4F0-1AF2E988ADE8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3" xfId="1613" xr:uid="{3B523C42-6A3B-4BE0-9F5D-F02346A33FAE}"/>
    <cellStyle name="Comma 22 5" xfId="677" xr:uid="{8EE35452-85B5-4976-BEAC-5545B4E0104D}"/>
    <cellStyle name="Comma 22 5 2" xfId="1929" xr:uid="{4D8A60ED-054E-4559-9046-90B395ABE416}"/>
    <cellStyle name="Comma 22 6" xfId="1318" xr:uid="{514D36F1-9F3F-438F-A0EE-2BD5E820FA32}"/>
    <cellStyle name="Comma 23" xfId="46" xr:uid="{57316692-215C-43C1-9A17-1E2C89D4B299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3" xfId="1817" xr:uid="{4A92914B-BF60-4924-9D8C-2FA583E4FA98}"/>
    <cellStyle name="Comma 23 2 2 3" xfId="881" xr:uid="{39CE6605-FEB2-4D44-9ED3-ABC9FFE7382E}"/>
    <cellStyle name="Comma 23 2 2 3 2" xfId="2133" xr:uid="{C7D9576A-61DA-4B01-B905-F65CED77A4FC}"/>
    <cellStyle name="Comma 23 2 2 4" xfId="1522" xr:uid="{2DC7DD98-1BFA-431A-B33C-2C2AB435F4A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3" xfId="1675" xr:uid="{E9E68C34-FD1F-4CE3-90E4-AAD30D07B7BB}"/>
    <cellStyle name="Comma 23 2 4" xfId="739" xr:uid="{598CAC39-A695-43BD-8291-177D8C84A8E3}"/>
    <cellStyle name="Comma 23 2 4 2" xfId="1991" xr:uid="{73711EC5-CEC7-4022-A197-68B996A9CCFA}"/>
    <cellStyle name="Comma 23 2 5" xfId="1380" xr:uid="{8D4EFB69-43A1-4208-91CD-FE5FC6B49C1B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3" xfId="1745" xr:uid="{6530575D-47B3-40C0-939F-3E95C6326D26}"/>
    <cellStyle name="Comma 23 3 3" xfId="809" xr:uid="{7E6D13C2-6AD4-43C5-8D55-235E721A6F91}"/>
    <cellStyle name="Comma 23 3 3 2" xfId="2061" xr:uid="{465AC581-4284-46F9-8D8A-674340EF501A}"/>
    <cellStyle name="Comma 23 3 4" xfId="1450" xr:uid="{4B436FA8-619B-435E-812F-732D02E2E495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3" xfId="1603" xr:uid="{1C00AB3E-DD3C-4792-91EE-DD46E75BE377}"/>
    <cellStyle name="Comma 23 5" xfId="667" xr:uid="{914EE138-5725-4541-B825-A92F508F464B}"/>
    <cellStyle name="Comma 23 5 2" xfId="1919" xr:uid="{CD8FF39F-A8E1-4480-8B44-B48FEB8D38D1}"/>
    <cellStyle name="Comma 23 6" xfId="1308" xr:uid="{48E98E51-C2B2-4AE3-BB42-40AA64FCDCC9}"/>
    <cellStyle name="Comma 24" xfId="59" xr:uid="{815E800E-142D-4081-A39F-C1C99F46C3DB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3" xfId="1830" xr:uid="{D209530C-9184-4EE3-A016-8B1B9006C99D}"/>
    <cellStyle name="Comma 24 2 2 3" xfId="894" xr:uid="{46732D24-33EC-456C-83DA-B784F1CAB3B4}"/>
    <cellStyle name="Comma 24 2 2 3 2" xfId="2146" xr:uid="{ED59B792-10CC-491B-B0D0-DB4B7F72C152}"/>
    <cellStyle name="Comma 24 2 2 4" xfId="1535" xr:uid="{3C8E3B0C-9ED0-460C-9198-711BC7DECA9D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3" xfId="1688" xr:uid="{557C880E-B378-4E86-93E7-42CFE1B1CF29}"/>
    <cellStyle name="Comma 24 2 4" xfId="752" xr:uid="{D84387EC-051E-418F-88D4-5B21FAAC1C05}"/>
    <cellStyle name="Comma 24 2 4 2" xfId="2004" xr:uid="{E5A28338-DE29-41D7-A715-E69BCC4BE576}"/>
    <cellStyle name="Comma 24 2 5" xfId="1393" xr:uid="{8E62B7CD-86B0-455E-B769-7BB78CF77E17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3" xfId="1758" xr:uid="{D3FF8F7A-294C-45FF-BA54-B53420B00253}"/>
    <cellStyle name="Comma 24 3 3" xfId="822" xr:uid="{B246CA67-D4C4-4500-A86C-889F7D4121A3}"/>
    <cellStyle name="Comma 24 3 3 2" xfId="2074" xr:uid="{BD4F7316-E76F-4A76-98E4-40EE9323A252}"/>
    <cellStyle name="Comma 24 3 4" xfId="1463" xr:uid="{E693CF39-3B6B-4A0A-AD47-AC549F29D256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3" xfId="1616" xr:uid="{BA5CA249-10F2-4149-89FF-3CCFA687C3CB}"/>
    <cellStyle name="Comma 24 5" xfId="680" xr:uid="{B71B5E3C-7954-4094-9A24-CD4C49356588}"/>
    <cellStyle name="Comma 24 5 2" xfId="1932" xr:uid="{8DFB78FB-37F5-4C39-9D1E-86F3AB4A6E11}"/>
    <cellStyle name="Comma 24 6" xfId="1321" xr:uid="{C7115C9A-2B61-4A1B-B6CF-D524F61065CD}"/>
    <cellStyle name="Comma 25" xfId="60" xr:uid="{87EB0049-15DC-4AFB-935C-9BC7E763DA92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3" xfId="1831" xr:uid="{57537F17-D299-4448-A649-1D4DE53D472C}"/>
    <cellStyle name="Comma 25 2 2 3" xfId="895" xr:uid="{20130A42-4539-402A-956B-858EC80C18A9}"/>
    <cellStyle name="Comma 25 2 2 3 2" xfId="2147" xr:uid="{1F0F198C-5B2A-4E3F-95A3-32749E38F839}"/>
    <cellStyle name="Comma 25 2 2 4" xfId="1536" xr:uid="{048476A6-E4D0-4D0C-A0B3-D488B9BCA8D8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3" xfId="1689" xr:uid="{E6EF0CBB-92E6-4A48-AB34-1FBE5557209D}"/>
    <cellStyle name="Comma 25 2 4" xfId="753" xr:uid="{500D38D1-0D13-4492-9EA4-6E25F20C5B1D}"/>
    <cellStyle name="Comma 25 2 4 2" xfId="2005" xr:uid="{004F3436-E786-4122-9A40-E19F3BD36488}"/>
    <cellStyle name="Comma 25 2 5" xfId="1394" xr:uid="{C3BF784F-A952-45D1-B8A1-D42B6FC8B1F7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3" xfId="1759" xr:uid="{78A9D9CD-8E6E-4912-9484-AF9A543C5414}"/>
    <cellStyle name="Comma 25 3 3" xfId="823" xr:uid="{0338BE91-CA2A-4D56-B964-B0B5630B8637}"/>
    <cellStyle name="Comma 25 3 3 2" xfId="2075" xr:uid="{8DAE6184-D456-4D23-964A-05890D714E0D}"/>
    <cellStyle name="Comma 25 3 4" xfId="1464" xr:uid="{E8BA7626-8449-48F5-BE4F-C8D81B3E66EE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3" xfId="1617" xr:uid="{4F408D7F-EC02-4BF5-9F62-FF05215A90F6}"/>
    <cellStyle name="Comma 25 5" xfId="681" xr:uid="{2884B55A-3951-4FC9-913D-CFBA57E80D8D}"/>
    <cellStyle name="Comma 25 5 2" xfId="1933" xr:uid="{4AFCE63A-8076-41D6-AD16-E8F42FDE054C}"/>
    <cellStyle name="Comma 25 6" xfId="1322" xr:uid="{2FF98849-0231-4C43-8158-47BE753EE850}"/>
    <cellStyle name="Comma 26" xfId="61" xr:uid="{C70692F9-33F1-4C3E-A690-D1AFB3D1D492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3" xfId="1832" xr:uid="{147DE5E4-D9B5-428A-8CCB-A8762FE5715C}"/>
    <cellStyle name="Comma 26 2 2 3" xfId="896" xr:uid="{6DEC4A4A-4616-408A-B975-332EB401ED06}"/>
    <cellStyle name="Comma 26 2 2 3 2" xfId="2148" xr:uid="{A66995BE-0315-486E-97C6-28EFE5E4E454}"/>
    <cellStyle name="Comma 26 2 2 4" xfId="1537" xr:uid="{B615F6A9-7F3E-49E9-A1B8-0E3D8DE93366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3" xfId="1690" xr:uid="{87D74738-73AC-4CE7-9BEB-7F7057CA4D7F}"/>
    <cellStyle name="Comma 26 2 4" xfId="754" xr:uid="{0F11DE9B-1748-4213-B5E0-BBF15C75EFF9}"/>
    <cellStyle name="Comma 26 2 4 2" xfId="2006" xr:uid="{3534DB52-9BBF-42D9-9B2A-15537C7962FA}"/>
    <cellStyle name="Comma 26 2 5" xfId="1395" xr:uid="{D20641E5-32CA-4B5D-A955-32BC2EA349DA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3" xfId="1760" xr:uid="{CBD23E6A-DB53-4FE0-A6D1-302D204AD69F}"/>
    <cellStyle name="Comma 26 3 3" xfId="824" xr:uid="{9D1915B9-F73C-4359-A02F-7B960F7C2A82}"/>
    <cellStyle name="Comma 26 3 3 2" xfId="2076" xr:uid="{1E7A2997-E63B-4464-8ED4-54B848EC12FF}"/>
    <cellStyle name="Comma 26 3 4" xfId="1465" xr:uid="{23EFC904-52EF-4F32-BB09-0C2EFB9777D3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3" xfId="1618" xr:uid="{CEC1904A-9ABC-40CE-9E0A-CFDC4F8D2A87}"/>
    <cellStyle name="Comma 26 5" xfId="682" xr:uid="{E4DBE701-2811-4113-A873-802D8B4FBC2F}"/>
    <cellStyle name="Comma 26 5 2" xfId="1934" xr:uid="{7E20934D-6E15-4E89-8327-3ED46955EE0E}"/>
    <cellStyle name="Comma 26 6" xfId="1323" xr:uid="{B302AB75-FEE2-4969-964C-0C0F0E9C9FFA}"/>
    <cellStyle name="Comma 27" xfId="62" xr:uid="{2537D875-3D33-445A-93A7-A336E57BC92E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3" xfId="1833" xr:uid="{000DE435-CDAC-402C-BC93-48E88A8B3B31}"/>
    <cellStyle name="Comma 27 2 2 3" xfId="897" xr:uid="{D0BB3E2B-A3F9-48BD-A0F6-7B8F3E3D3261}"/>
    <cellStyle name="Comma 27 2 2 3 2" xfId="2149" xr:uid="{316BAFB7-A194-418B-9F36-2349C863FC7E}"/>
    <cellStyle name="Comma 27 2 2 4" xfId="1538" xr:uid="{6A1871E8-9F10-4657-B22A-AD64772863F3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3" xfId="1691" xr:uid="{F8AA17A1-C7D2-452F-9CDF-6935A354B8DB}"/>
    <cellStyle name="Comma 27 2 4" xfId="755" xr:uid="{AB56429F-24F4-4345-A057-EA9695B64C3A}"/>
    <cellStyle name="Comma 27 2 4 2" xfId="2007" xr:uid="{1E6B78ED-12D8-4AD5-A5FE-B539D547D8BB}"/>
    <cellStyle name="Comma 27 2 5" xfId="1396" xr:uid="{E9B04A92-3DF9-4E38-956D-9081CF85C567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3" xfId="1761" xr:uid="{DD43C9EA-50B8-47D2-AC43-5201E4DC951A}"/>
    <cellStyle name="Comma 27 3 3" xfId="825" xr:uid="{7D56F979-03C2-458A-BF37-DBBD78AC543A}"/>
    <cellStyle name="Comma 27 3 3 2" xfId="2077" xr:uid="{117E3CCF-9134-451C-ACE9-16293AD9E39A}"/>
    <cellStyle name="Comma 27 3 4" xfId="1466" xr:uid="{1DD9400E-2158-4341-BFFF-B9D1C9B3F8C9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3" xfId="1619" xr:uid="{BD0B9590-B59A-4077-8684-1C238542A15D}"/>
    <cellStyle name="Comma 27 5" xfId="683" xr:uid="{D05275E8-9A55-4838-A59F-D01191A064CD}"/>
    <cellStyle name="Comma 27 5 2" xfId="1935" xr:uid="{B4D17D64-8370-4F0B-9561-93DF81C95879}"/>
    <cellStyle name="Comma 27 6" xfId="1324" xr:uid="{D38C760D-8DFE-4104-8813-836DBAAAF7D3}"/>
    <cellStyle name="Comma 28" xfId="63" xr:uid="{DF478E1E-919D-43CE-9B38-3510DE34C88A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3" xfId="1834" xr:uid="{2761BA0E-156A-4CD2-89E5-48C157960A9B}"/>
    <cellStyle name="Comma 28 2 2 3" xfId="898" xr:uid="{4F09C0FA-A3D9-4C51-A3E7-E61CA1FAF773}"/>
    <cellStyle name="Comma 28 2 2 3 2" xfId="2150" xr:uid="{572DA502-61D3-4AD3-8DEE-4C231F9EEC6C}"/>
    <cellStyle name="Comma 28 2 2 4" xfId="1539" xr:uid="{58EEE93B-9572-4D33-9013-57AAA73A7750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3" xfId="1692" xr:uid="{F242124B-4659-42F0-9FFD-932C64117B7B}"/>
    <cellStyle name="Comma 28 2 4" xfId="756" xr:uid="{C7F15681-DE92-400E-8F48-AD4BC4F0EE44}"/>
    <cellStyle name="Comma 28 2 4 2" xfId="2008" xr:uid="{6E8CBB31-D0EB-4C34-9480-43C02C7524EB}"/>
    <cellStyle name="Comma 28 2 5" xfId="1397" xr:uid="{F61E0E28-9D5C-462C-AAA6-4201847B2923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3" xfId="1762" xr:uid="{DA195CEB-B2D6-442C-A7A6-6EC74CEDD4CA}"/>
    <cellStyle name="Comma 28 3 3" xfId="826" xr:uid="{72EE9B74-89A1-4DFC-9072-8510509742FE}"/>
    <cellStyle name="Comma 28 3 3 2" xfId="2078" xr:uid="{43B2D574-6C52-404B-8B1E-4A2B54D34E26}"/>
    <cellStyle name="Comma 28 3 4" xfId="1467" xr:uid="{88A430C5-CB65-43B0-9652-0C48BE2DDEAE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3" xfId="1620" xr:uid="{28E92F7F-7E74-46BD-8FCC-16B9980CB2E9}"/>
    <cellStyle name="Comma 28 5" xfId="684" xr:uid="{DA4DEECA-61A9-4C69-8FB6-228535726345}"/>
    <cellStyle name="Comma 28 5 2" xfId="1936" xr:uid="{AD782014-8332-4B88-BD37-7A8721012176}"/>
    <cellStyle name="Comma 28 6" xfId="1325" xr:uid="{C8D76827-8997-46B8-853C-8F528443479E}"/>
    <cellStyle name="Comma 29" xfId="64" xr:uid="{E6A8AD48-430A-459C-A9FF-326CC71D493A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3" xfId="1835" xr:uid="{53E0C5B4-2399-4B51-A42D-59932FAF208E}"/>
    <cellStyle name="Comma 29 2 2 3" xfId="899" xr:uid="{11A1420D-7F5F-453A-8EF1-48C99913728E}"/>
    <cellStyle name="Comma 29 2 2 3 2" xfId="2151" xr:uid="{C36DCF39-DE29-492B-976E-7FE590F65E2A}"/>
    <cellStyle name="Comma 29 2 2 4" xfId="1540" xr:uid="{5C393DA8-6AEF-4DAF-985D-35E4426FD09F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3" xfId="1693" xr:uid="{8BA180AF-4C09-4E3C-A586-DB87577499C1}"/>
    <cellStyle name="Comma 29 2 4" xfId="757" xr:uid="{02D115F8-AC62-4975-A3AD-A9223C660747}"/>
    <cellStyle name="Comma 29 2 4 2" xfId="2009" xr:uid="{D0E4458B-A57A-4CD7-9FFF-737D4B51BD26}"/>
    <cellStyle name="Comma 29 2 5" xfId="1398" xr:uid="{1FB44D0E-664E-46B3-B863-311F4A9AF8E3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3" xfId="1763" xr:uid="{47D7BAA9-CE8E-46D4-B8F8-19676BDECCF6}"/>
    <cellStyle name="Comma 29 3 3" xfId="827" xr:uid="{52B3B002-07EC-492D-8F8A-F31B1B4E4694}"/>
    <cellStyle name="Comma 29 3 3 2" xfId="2079" xr:uid="{0F2194F4-2004-4B68-8440-CDC49E71BABB}"/>
    <cellStyle name="Comma 29 3 4" xfId="1468" xr:uid="{D9FB0F7B-3B96-4BE8-9A0F-FBE72A410710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3" xfId="1621" xr:uid="{557B62C0-0ABF-4A8A-989A-FDDF836EE671}"/>
    <cellStyle name="Comma 29 5" xfId="685" xr:uid="{956DB694-D11C-4F75-8C9C-99B6E77775E8}"/>
    <cellStyle name="Comma 29 5 2" xfId="1937" xr:uid="{8E5671A9-ADD4-4F7F-BEA5-6C0ECC7BA6F0}"/>
    <cellStyle name="Comma 29 6" xfId="1326" xr:uid="{531F0B2D-9017-4377-B504-5E2B48CF3636}"/>
    <cellStyle name="Comma 3" xfId="19" xr:uid="{44D675AE-C82A-41B6-B56D-ABEF675C7D9E}"/>
    <cellStyle name="Comma 3 2" xfId="40" xr:uid="{B9605F6C-6D33-4C4B-9BE6-647185645F32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3" xfId="1811" xr:uid="{E0BACABD-A10E-42E6-97C1-8DAD0805839E}"/>
    <cellStyle name="Comma 3 2 2 2 3" xfId="875" xr:uid="{73416E75-94D0-4828-B532-FAB84A904D95}"/>
    <cellStyle name="Comma 3 2 2 2 3 2" xfId="2127" xr:uid="{DDB54A90-15BB-4481-BAF4-3B30C2E9B470}"/>
    <cellStyle name="Comma 3 2 2 2 4" xfId="1516" xr:uid="{D348304B-A9BD-48D3-B3B7-E061553B94D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3" xfId="1669" xr:uid="{3E706590-922A-499E-9796-999D4DC7E576}"/>
    <cellStyle name="Comma 3 2 2 4" xfId="733" xr:uid="{E5164D4A-BB67-4D6D-8BBD-5C6017877A73}"/>
    <cellStyle name="Comma 3 2 2 4 2" xfId="1985" xr:uid="{BEFA31B5-976E-4C14-AD71-12CCF2E05BDE}"/>
    <cellStyle name="Comma 3 2 2 5" xfId="1374" xr:uid="{F3604B5A-0933-4EDE-8EFF-86D3CD5416B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3" xfId="1739" xr:uid="{A977BF5A-9DFA-40C2-A9F7-8A05987DEDDC}"/>
    <cellStyle name="Comma 3 2 3 3" xfId="803" xr:uid="{CA5FABEE-3562-4C36-A61F-E3A99F0A06EC}"/>
    <cellStyle name="Comma 3 2 3 3 2" xfId="2055" xr:uid="{BD906B78-1188-4172-BB22-7E858BD1B3AE}"/>
    <cellStyle name="Comma 3 2 3 4" xfId="1444" xr:uid="{68C0F4AC-E590-4268-AB19-3C49059ACE9A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3" xfId="1597" xr:uid="{6A06F8B4-E831-47C5-B619-B6FC7EDB690A}"/>
    <cellStyle name="Comma 3 2 5" xfId="661" xr:uid="{47717232-5AB2-48A4-B0A9-24294041116A}"/>
    <cellStyle name="Comma 3 2 5 2" xfId="1913" xr:uid="{D09B2718-15BE-47CB-95BF-EDF727B371E0}"/>
    <cellStyle name="Comma 3 2 6" xfId="1302" xr:uid="{31556621-B9FF-4A2A-862B-1B0C4DF145C4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3" xfId="1792" xr:uid="{309DEF31-198A-4236-8F90-62E6D89F6009}"/>
    <cellStyle name="Comma 3 3 2 3" xfId="856" xr:uid="{04FA9392-4445-4779-8D4B-0EEBDA745CD7}"/>
    <cellStyle name="Comma 3 3 2 3 2" xfId="2108" xr:uid="{A1764F89-6804-4F45-BE88-5BE4B318A12B}"/>
    <cellStyle name="Comma 3 3 2 4" xfId="1497" xr:uid="{CFDCDC85-F468-46C2-8850-65C85EDD7BDE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3" xfId="1650" xr:uid="{54071059-3375-4F40-9547-4C197C56ED98}"/>
    <cellStyle name="Comma 3 3 4" xfId="714" xr:uid="{0732D3FF-327C-4920-A3B0-E45E50D5A3A7}"/>
    <cellStyle name="Comma 3 3 4 2" xfId="1966" xr:uid="{1ECE435A-81E1-4823-B3EB-78D2DDCDB800}"/>
    <cellStyle name="Comma 3 3 5" xfId="1355" xr:uid="{D5000682-9060-4650-A012-E16C8F8712A3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3" xfId="1720" xr:uid="{6B47F417-FEE4-4E62-8C26-F91017F6E79C}"/>
    <cellStyle name="Comma 3 4 3" xfId="784" xr:uid="{05E1253A-FB5A-46EA-B42C-136D75F31D7E}"/>
    <cellStyle name="Comma 3 4 3 2" xfId="2036" xr:uid="{09C378A3-87BD-4FD3-9C8F-0FCBDFD462FB}"/>
    <cellStyle name="Comma 3 4 4" xfId="1425" xr:uid="{7989659D-808C-4255-8DCE-D8F302332560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3" xfId="1578" xr:uid="{5523D8C0-906B-4235-A2F8-0E490AB59BCA}"/>
    <cellStyle name="Comma 3 6" xfId="642" xr:uid="{6B09FB32-0AA9-410C-A94C-E4ECB2B93A50}"/>
    <cellStyle name="Comma 3 6 2" xfId="1894" xr:uid="{D7F7AD1E-4154-41E5-B515-FE9C21D38D44}"/>
    <cellStyle name="Comma 3 7" xfId="1283" xr:uid="{0F0A842B-BFE7-4472-B8DC-37976743EADD}"/>
    <cellStyle name="Comma 30" xfId="65" xr:uid="{3059CF6A-7A09-4731-B595-1BD7AF3A6EDF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3" xfId="1836" xr:uid="{5DA7C1FA-2892-4409-9FAE-A96FEDE4F82D}"/>
    <cellStyle name="Comma 30 2 2 3" xfId="900" xr:uid="{E1A32594-DC70-48DC-A22D-2558F4BC07CA}"/>
    <cellStyle name="Comma 30 2 2 3 2" xfId="2152" xr:uid="{23D5245D-BCE5-452A-ABE6-8834496B4B67}"/>
    <cellStyle name="Comma 30 2 2 4" xfId="1541" xr:uid="{742CC93E-5771-4D77-B0CA-41CF75F200F6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3" xfId="1694" xr:uid="{2DF5A245-90E5-49EC-8974-98673214CC92}"/>
    <cellStyle name="Comma 30 2 4" xfId="758" xr:uid="{0A1D3882-2F3F-4CA4-B432-4F3497FD5BB3}"/>
    <cellStyle name="Comma 30 2 4 2" xfId="2010" xr:uid="{CE8C35EA-40F8-4FDA-B2B2-881063EF6EBF}"/>
    <cellStyle name="Comma 30 2 5" xfId="1399" xr:uid="{34C13BC2-0BA7-4099-8CDA-9DA48EDCC89E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3" xfId="1764" xr:uid="{34DCB528-51A9-48DB-A468-49E74550C716}"/>
    <cellStyle name="Comma 30 3 3" xfId="828" xr:uid="{D3145BB6-FD24-451C-92FF-79057B132141}"/>
    <cellStyle name="Comma 30 3 3 2" xfId="2080" xr:uid="{502964F6-AB1F-4D5D-8EBD-CC17CCFA43E0}"/>
    <cellStyle name="Comma 30 3 4" xfId="1469" xr:uid="{FC088BDA-7379-4584-A2CA-B31474081787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3" xfId="1622" xr:uid="{7B08D2BB-0E11-4F77-A0E6-D7E915771D9B}"/>
    <cellStyle name="Comma 30 5" xfId="686" xr:uid="{E816784B-397D-4BE8-9968-5EFCE86D6DB8}"/>
    <cellStyle name="Comma 30 5 2" xfId="1938" xr:uid="{07FAE642-A631-44C5-9339-2A46542F02ED}"/>
    <cellStyle name="Comma 30 6" xfId="1327" xr:uid="{2956D6E5-EA2C-44B2-BF60-C87DD5EDA937}"/>
    <cellStyle name="Comma 31" xfId="66" xr:uid="{1FA83441-1F9E-452D-B3E7-EB04D182F245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3" xfId="1837" xr:uid="{3F112B09-21E9-46A8-A3A5-8BA938A76F52}"/>
    <cellStyle name="Comma 31 2 2 3" xfId="901" xr:uid="{64A683DF-F9F0-4013-9AC3-C0C351E61E7F}"/>
    <cellStyle name="Comma 31 2 2 3 2" xfId="2153" xr:uid="{BF831BF1-16C4-4ACB-B3D0-0E3A467BBD01}"/>
    <cellStyle name="Comma 31 2 2 4" xfId="1542" xr:uid="{03B3DF86-CED8-45D4-8DC4-AAA57F1299F3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3" xfId="1695" xr:uid="{91446BCA-882C-4E9B-BF34-CCE46E80D184}"/>
    <cellStyle name="Comma 31 2 4" xfId="759" xr:uid="{55EAC223-F7C7-450E-8A24-FCDAA6D392FE}"/>
    <cellStyle name="Comma 31 2 4 2" xfId="2011" xr:uid="{8805C35F-45A0-48FB-B302-3D8830AFE600}"/>
    <cellStyle name="Comma 31 2 5" xfId="1400" xr:uid="{402DDFB5-FF07-4DC6-B99D-15D4B84FEBD0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3" xfId="1765" xr:uid="{9C6EB6AF-10BE-4D00-8E99-E07A4C590E78}"/>
    <cellStyle name="Comma 31 3 3" xfId="829" xr:uid="{C7F655C6-9519-42FA-81DE-92AD52A71CC6}"/>
    <cellStyle name="Comma 31 3 3 2" xfId="2081" xr:uid="{8285C6B9-A5AA-49B6-A164-F55416408F11}"/>
    <cellStyle name="Comma 31 3 4" xfId="1470" xr:uid="{4ABF5FC4-858E-4284-87FE-FA304BB2C56D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3" xfId="1623" xr:uid="{2ECC71B3-FACB-47EA-98BF-D504CB5B5158}"/>
    <cellStyle name="Comma 31 5" xfId="687" xr:uid="{D12C25A7-9E80-446C-9C18-FA7582BBD158}"/>
    <cellStyle name="Comma 31 5 2" xfId="1939" xr:uid="{1727C182-4FC0-48AF-8A7C-0AA97B548F29}"/>
    <cellStyle name="Comma 31 6" xfId="1328" xr:uid="{86725EFA-8A70-4B54-93D1-BA27C98E6442}"/>
    <cellStyle name="Comma 32" xfId="67" xr:uid="{284FCDD1-10FF-4FF1-A1FB-640739149608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3" xfId="1838" xr:uid="{7C614D67-7F9C-4232-B0E1-9244E91DC1A7}"/>
    <cellStyle name="Comma 32 2 2 3" xfId="902" xr:uid="{B6A1FEBC-23A2-474F-BC43-D7315953F254}"/>
    <cellStyle name="Comma 32 2 2 3 2" xfId="2154" xr:uid="{384BC1FB-C2C8-41D8-BAE4-B4FE6E0A741F}"/>
    <cellStyle name="Comma 32 2 2 4" xfId="1543" xr:uid="{BDAC6DB1-5EAF-48E5-9916-FFFF99E762E3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3" xfId="1696" xr:uid="{787934EB-3327-47AD-B7C5-A9D2250619A4}"/>
    <cellStyle name="Comma 32 2 4" xfId="760" xr:uid="{437E30FF-935C-44BE-A6FB-68933A8DAF69}"/>
    <cellStyle name="Comma 32 2 4 2" xfId="2012" xr:uid="{B8B19672-CD80-4FAB-BAE7-68A89F20F415}"/>
    <cellStyle name="Comma 32 2 5" xfId="1401" xr:uid="{695E5B17-73BB-4D1C-819F-194F6E3B5D80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3" xfId="1766" xr:uid="{63D7DB4E-7DEA-4390-BB64-759FF1D67552}"/>
    <cellStyle name="Comma 32 3 3" xfId="830" xr:uid="{B86BAD0F-633A-49C8-BA7B-765C46D9B20F}"/>
    <cellStyle name="Comma 32 3 3 2" xfId="2082" xr:uid="{B428A70E-6C38-4D8F-ADDA-CCC0BBD2DD45}"/>
    <cellStyle name="Comma 32 3 4" xfId="1471" xr:uid="{F8E13C06-11F7-4128-9935-5C2D913D2C1C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3" xfId="1624" xr:uid="{F9A5C86F-F57D-4FE7-A568-2ECEB697B2D4}"/>
    <cellStyle name="Comma 32 5" xfId="688" xr:uid="{20D23E64-93A1-494F-8DA2-3B77F1BA2474}"/>
    <cellStyle name="Comma 32 5 2" xfId="1940" xr:uid="{D6458DD0-BE96-4FF8-B8AC-773E557ED75E}"/>
    <cellStyle name="Comma 32 6" xfId="1329" xr:uid="{CB57311D-C71B-4D10-BBAC-C175FC5A550D}"/>
    <cellStyle name="Comma 33" xfId="69" xr:uid="{5C628A5A-9AD8-456D-91D0-6DF50FC519BE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3" xfId="1840" xr:uid="{40D515FD-8C09-422C-84C3-9A2ADEBD0AC1}"/>
    <cellStyle name="Comma 33 2 2 3" xfId="904" xr:uid="{ABB8EE5C-58E2-411B-B4F8-6ECA97625A72}"/>
    <cellStyle name="Comma 33 2 2 3 2" xfId="2156" xr:uid="{24F9227E-D0C9-4542-A630-B08634ABB058}"/>
    <cellStyle name="Comma 33 2 2 4" xfId="1545" xr:uid="{8807CB53-A4D3-4E9D-830A-3CF687621394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3" xfId="1698" xr:uid="{95E86B0F-1C29-46A1-B27C-B6E2ADE817AF}"/>
    <cellStyle name="Comma 33 2 4" xfId="762" xr:uid="{22ACCB4C-6674-486F-AB70-2FA07A2AE72C}"/>
    <cellStyle name="Comma 33 2 4 2" xfId="2014" xr:uid="{4757CF62-F5A1-4172-B506-C3B908DFFCF5}"/>
    <cellStyle name="Comma 33 2 5" xfId="1403" xr:uid="{D1E0B9B2-08FC-43E0-AFDF-C48FFA56D196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3" xfId="1768" xr:uid="{C56A4671-1651-47D6-83C1-531AB547A32D}"/>
    <cellStyle name="Comma 33 3 3" xfId="832" xr:uid="{87D533B8-5E5D-4FB3-A08A-8468B5CC080E}"/>
    <cellStyle name="Comma 33 3 3 2" xfId="2084" xr:uid="{85238AA7-C09B-4E12-8417-871B7FCC274E}"/>
    <cellStyle name="Comma 33 3 4" xfId="1473" xr:uid="{2D576FAB-AC55-4D32-9E95-0B13E1EA1463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3" xfId="1626" xr:uid="{1B28392E-96EE-4964-84CE-C494B272FF99}"/>
    <cellStyle name="Comma 33 5" xfId="690" xr:uid="{D0A2F9B3-46DD-4724-A8A0-CD7A77D57A71}"/>
    <cellStyle name="Comma 33 5 2" xfId="1942" xr:uid="{FC8ED837-AF5A-4BDF-9712-569CC1D62033}"/>
    <cellStyle name="Comma 33 6" xfId="1331" xr:uid="{22C052FC-3437-4C43-9A76-D53DD94C3EF0}"/>
    <cellStyle name="Comma 34" xfId="57" xr:uid="{64C0B890-845A-4B34-9C89-074E450EE9E9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3" xfId="1828" xr:uid="{C93FD8C6-F12E-4B97-9767-A9F33E588CE0}"/>
    <cellStyle name="Comma 34 2 2 3" xfId="892" xr:uid="{526FB192-2B5F-4385-A33C-F77EC314C11D}"/>
    <cellStyle name="Comma 34 2 2 3 2" xfId="2144" xr:uid="{F69F323B-4D21-4CE5-83EB-60996067E826}"/>
    <cellStyle name="Comma 34 2 2 4" xfId="1533" xr:uid="{48AF8DCB-304D-4D8D-8EB2-4792DB9BD2AA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3" xfId="1686" xr:uid="{6EB4F2A7-ECAD-49FA-8DE8-E3351919C0FB}"/>
    <cellStyle name="Comma 34 2 4" xfId="750" xr:uid="{9B92DCCD-F5D3-45FE-BAB1-1F897B625964}"/>
    <cellStyle name="Comma 34 2 4 2" xfId="2002" xr:uid="{3D4F47CA-418D-4D46-BBAF-BEEBC3CE5C17}"/>
    <cellStyle name="Comma 34 2 5" xfId="1391" xr:uid="{67AB765A-CDEC-4EA5-88CF-13F14D27AB2C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3" xfId="1756" xr:uid="{EF1F9948-31CF-4ECC-9BEB-92EBEA1EC83B}"/>
    <cellStyle name="Comma 34 3 3" xfId="820" xr:uid="{8AF9DD2B-652E-45EA-B6DC-04C5E78B3B5A}"/>
    <cellStyle name="Comma 34 3 3 2" xfId="2072" xr:uid="{CBA9DB21-CB92-4D93-B4D9-E31834E88BD5}"/>
    <cellStyle name="Comma 34 3 4" xfId="1461" xr:uid="{3C2F4B98-63A5-4886-8986-E97F8E411F46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3" xfId="1614" xr:uid="{700B3B8B-BA45-4B51-B799-3695D9061011}"/>
    <cellStyle name="Comma 34 5" xfId="678" xr:uid="{8134A6B5-E085-4347-BB39-52F46F5B3717}"/>
    <cellStyle name="Comma 34 5 2" xfId="1930" xr:uid="{D94B1D0C-4837-4DAD-ADC1-2882F95769ED}"/>
    <cellStyle name="Comma 34 6" xfId="1319" xr:uid="{D37FC545-E8E8-4B00-BA37-C3E654E6C7E4}"/>
    <cellStyle name="Comma 35" xfId="32" xr:uid="{2E6465F5-C249-4ADE-A0F5-876ED874D48D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3" xfId="1803" xr:uid="{19AA89D1-C6C9-41E8-9243-F2C74A0C0B17}"/>
    <cellStyle name="Comma 35 2 2 3" xfId="867" xr:uid="{8850C510-1C55-47A5-9CFD-C99B1CAD1EAD}"/>
    <cellStyle name="Comma 35 2 2 3 2" xfId="2119" xr:uid="{BA3D9390-8CC6-439C-862A-E2E33C2FB1C6}"/>
    <cellStyle name="Comma 35 2 2 4" xfId="1508" xr:uid="{33FA75E3-1B40-4EFF-8437-C8A9C1383A10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3" xfId="1661" xr:uid="{24F99208-A2F2-450B-B121-D6B98AC19834}"/>
    <cellStyle name="Comma 35 2 4" xfId="725" xr:uid="{F49D97FB-36C3-43BF-A66D-65870D9B99B6}"/>
    <cellStyle name="Comma 35 2 4 2" xfId="1977" xr:uid="{9A7C019F-9D9C-4F29-848F-83CCCDBDC640}"/>
    <cellStyle name="Comma 35 2 5" xfId="1366" xr:uid="{A6A2687F-3DA4-4B11-A25D-6B3EE9AFC1B8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3" xfId="1731" xr:uid="{1B94D9EB-F851-42B9-B926-5259B4DDFD49}"/>
    <cellStyle name="Comma 35 3 3" xfId="795" xr:uid="{B180E3FF-94DE-4E32-94D3-367C610ACCC5}"/>
    <cellStyle name="Comma 35 3 3 2" xfId="2047" xr:uid="{D994285F-0B34-4918-9AA1-CEB28C2C03A7}"/>
    <cellStyle name="Comma 35 3 4" xfId="1436" xr:uid="{340123FD-3FE9-4F83-A201-25F63D31440A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3" xfId="1589" xr:uid="{576D2750-BDEB-4407-B4E5-55A429BCA61D}"/>
    <cellStyle name="Comma 35 5" xfId="653" xr:uid="{1DD28B80-4BD5-41AF-AF9C-ECE10F69871B}"/>
    <cellStyle name="Comma 35 5 2" xfId="1905" xr:uid="{5819A2CA-7360-4301-A767-17D3DD385A25}"/>
    <cellStyle name="Comma 35 6" xfId="1294" xr:uid="{28D7667E-9D8C-40D8-A517-63967FE463B4}"/>
    <cellStyle name="Comma 36" xfId="70" xr:uid="{D7257EE1-F5A8-4D66-AD01-3DCEFAB50B1C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3" xfId="1841" xr:uid="{84588073-DF6F-4C64-ABC1-BE6944DB541E}"/>
    <cellStyle name="Comma 36 2 2 3" xfId="905" xr:uid="{BC690851-3D33-44B1-9DFB-A5603B39DC39}"/>
    <cellStyle name="Comma 36 2 2 3 2" xfId="2157" xr:uid="{402BCB12-C9D0-4B34-97ED-B115B8910469}"/>
    <cellStyle name="Comma 36 2 2 4" xfId="1546" xr:uid="{04802A88-4958-4751-A66C-EA0E2C3BBAE1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3" xfId="1699" xr:uid="{50F26F50-AA80-4D56-A683-905E531BCC98}"/>
    <cellStyle name="Comma 36 2 4" xfId="763" xr:uid="{8D8F72AC-5287-48E6-B1F5-5FBAA3C3586D}"/>
    <cellStyle name="Comma 36 2 4 2" xfId="2015" xr:uid="{04B4D9CF-2154-4493-B567-15C1795326E4}"/>
    <cellStyle name="Comma 36 2 5" xfId="1404" xr:uid="{818DB3F1-56CC-421E-B00F-64F9F9C5831A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3" xfId="1769" xr:uid="{6BC99B97-A570-4599-B8E4-9B7F3AFEFF47}"/>
    <cellStyle name="Comma 36 3 3" xfId="833" xr:uid="{6A7973D9-210E-4634-982E-2091FC150863}"/>
    <cellStyle name="Comma 36 3 3 2" xfId="2085" xr:uid="{D1EACCF4-873F-42DF-899F-9ADE051435E5}"/>
    <cellStyle name="Comma 36 3 4" xfId="1474" xr:uid="{0F2B4FD4-6DFE-496F-B487-95A8074CEB8F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3" xfId="1627" xr:uid="{774B4967-B647-4986-95DE-93C7CAD3A158}"/>
    <cellStyle name="Comma 36 5" xfId="691" xr:uid="{10EFA5CA-51B7-4FDC-99E0-08343B27ECEE}"/>
    <cellStyle name="Comma 36 5 2" xfId="1943" xr:uid="{67C0DD33-D827-4AB8-94DC-CB42E0BB42A3}"/>
    <cellStyle name="Comma 36 6" xfId="1332" xr:uid="{EED1D8D4-77EC-49D0-9BA6-A8424BD61D06}"/>
    <cellStyle name="Comma 37" xfId="68" xr:uid="{4BFEDA01-3F5A-42A3-88F1-DBCF3BDD88E7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3" xfId="1839" xr:uid="{70B91A12-69BB-46D3-A6FB-328141174E09}"/>
    <cellStyle name="Comma 37 2 2 3" xfId="903" xr:uid="{88B34172-218C-452C-8736-969211BF44EA}"/>
    <cellStyle name="Comma 37 2 2 3 2" xfId="2155" xr:uid="{60A78E6D-0244-47D7-8829-43184772A57A}"/>
    <cellStyle name="Comma 37 2 2 4" xfId="1544" xr:uid="{C10245DB-4E1C-42A3-B9A1-419A9F3B1A88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3" xfId="1697" xr:uid="{DB50BF8B-6B08-40D1-905C-723712F8DA74}"/>
    <cellStyle name="Comma 37 2 4" xfId="761" xr:uid="{7FE1CAB6-1AAF-4C2C-A496-AF41698FD5ED}"/>
    <cellStyle name="Comma 37 2 4 2" xfId="2013" xr:uid="{B255BDA8-8A1A-4249-AA31-27C3166E9D19}"/>
    <cellStyle name="Comma 37 2 5" xfId="1402" xr:uid="{8D9CA884-F853-4A01-9173-98D7D6CAF526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3" xfId="1767" xr:uid="{B0F5C56B-C552-45B7-8112-2A59B3DCFD14}"/>
    <cellStyle name="Comma 37 3 3" xfId="831" xr:uid="{BB364708-96BC-47FC-809F-36B826AF9426}"/>
    <cellStyle name="Comma 37 3 3 2" xfId="2083" xr:uid="{76FE981D-5ED9-456C-B21F-CEBEE4609EDE}"/>
    <cellStyle name="Comma 37 3 4" xfId="1472" xr:uid="{A589B13A-7892-4F37-A584-10B75B88D4D0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3" xfId="1625" xr:uid="{01519218-6B6D-40EC-9639-CF67A01948F0}"/>
    <cellStyle name="Comma 37 5" xfId="689" xr:uid="{A2D58A02-F2C3-4934-80E7-EB37150E9967}"/>
    <cellStyle name="Comma 37 5 2" xfId="1941" xr:uid="{AC6F0F9B-F2D2-479B-9033-FF50FCD38097}"/>
    <cellStyle name="Comma 37 6" xfId="1330" xr:uid="{44EE2703-1F3D-4540-AD2A-4F791AE4DA5A}"/>
    <cellStyle name="Comma 38" xfId="43" xr:uid="{2257C0D6-E320-426C-AF6B-EFD976DD48CD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3" xfId="1814" xr:uid="{6B018C88-72C6-46A9-8CAA-6426D6010681}"/>
    <cellStyle name="Comma 38 2 2 3" xfId="878" xr:uid="{5A5A1D92-4D8F-4054-82AE-BAC1E553036F}"/>
    <cellStyle name="Comma 38 2 2 3 2" xfId="2130" xr:uid="{D35B6B35-C960-4872-A7A6-58001794FC74}"/>
    <cellStyle name="Comma 38 2 2 4" xfId="1519" xr:uid="{5E64CDEE-0B05-4189-8A62-E2ED878F7B6E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3" xfId="1672" xr:uid="{E9CADE6C-2FE6-43C4-8575-FD3AF6CFC5D9}"/>
    <cellStyle name="Comma 38 2 4" xfId="736" xr:uid="{19F5299C-EFBE-436F-9CC7-F4B863AE48A9}"/>
    <cellStyle name="Comma 38 2 4 2" xfId="1988" xr:uid="{E234DED1-95E1-4BD1-96E4-599E8DDF5539}"/>
    <cellStyle name="Comma 38 2 5" xfId="1377" xr:uid="{AED4E68C-260C-45CD-99EA-0D35701F345F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3" xfId="1742" xr:uid="{30D79818-9203-47A9-B984-672AD980DFED}"/>
    <cellStyle name="Comma 38 3 3" xfId="806" xr:uid="{E3FE5208-5AD8-4007-9990-270A518C7B17}"/>
    <cellStyle name="Comma 38 3 3 2" xfId="2058" xr:uid="{BA557AA8-96A0-48A2-B80A-A7588224C491}"/>
    <cellStyle name="Comma 38 3 4" xfId="1447" xr:uid="{8E4B0E33-F9D7-4124-BDBE-E67234B14946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3" xfId="1600" xr:uid="{6E867745-A09D-4405-9174-44328321A5C1}"/>
    <cellStyle name="Comma 38 5" xfId="664" xr:uid="{C15C8489-B426-42F0-98B7-284145178085}"/>
    <cellStyle name="Comma 38 5 2" xfId="1916" xr:uid="{F59C4AE8-A377-4C4F-95DB-825C43618DB7}"/>
    <cellStyle name="Comma 38 6" xfId="1305" xr:uid="{C644DF0A-E598-47E8-A645-C2F9C9B0FFBD}"/>
    <cellStyle name="Comma 39" xfId="71" xr:uid="{4CA9D2C6-7921-4E8E-802F-0DCC10E6F385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3" xfId="1842" xr:uid="{4C8DB0F9-680C-4486-865D-2DB397DB1DED}"/>
    <cellStyle name="Comma 39 2 2 3" xfId="906" xr:uid="{E2561859-E9F5-4ADC-86E2-3A06887A8858}"/>
    <cellStyle name="Comma 39 2 2 3 2" xfId="2158" xr:uid="{A5A701B4-7A26-4191-932C-C8C8353D0A09}"/>
    <cellStyle name="Comma 39 2 2 4" xfId="1547" xr:uid="{069319EB-8F38-4BAD-BC6E-473590CEA546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3" xfId="1700" xr:uid="{45D551A1-5041-47B8-8EB3-727A394C2142}"/>
    <cellStyle name="Comma 39 2 4" xfId="764" xr:uid="{841A94C2-88FA-44C2-970C-9DC4BDEB81E6}"/>
    <cellStyle name="Comma 39 2 4 2" xfId="2016" xr:uid="{51B847AF-5516-4A15-B357-AC1746DFA4E6}"/>
    <cellStyle name="Comma 39 2 5" xfId="1405" xr:uid="{12E6C4D1-9F2E-4384-9B51-68E9EAF32339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3" xfId="1770" xr:uid="{8366EBEA-0EC0-4A6E-B289-C71DD0CD3695}"/>
    <cellStyle name="Comma 39 3 3" xfId="834" xr:uid="{1125645C-8C50-457C-9692-855664DB725E}"/>
    <cellStyle name="Comma 39 3 3 2" xfId="2086" xr:uid="{F46C1E5B-74AC-4EE0-AEB1-761AE1C552BA}"/>
    <cellStyle name="Comma 39 3 4" xfId="1475" xr:uid="{67DE97C5-D8BE-4B85-90B7-B69A607FD606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3" xfId="1628" xr:uid="{D806BB17-1E51-43CD-9388-DA01789A8E5D}"/>
    <cellStyle name="Comma 39 5" xfId="692" xr:uid="{6ECEFE1F-5F79-4A43-9E70-A9B4595D40B6}"/>
    <cellStyle name="Comma 39 5 2" xfId="1944" xr:uid="{FE318C24-2D05-4B7D-845F-A528CF3632D5}"/>
    <cellStyle name="Comma 39 6" xfId="1333" xr:uid="{F5A69E7A-36F7-4252-A1DF-CCC9299E7112}"/>
    <cellStyle name="Comma 4" xfId="23" xr:uid="{633D257A-A42F-4E38-B591-D20E04F9D3BB}"/>
    <cellStyle name="Comma 4 2" xfId="44" xr:uid="{7E94CA32-F87B-4430-80FD-526567A478E5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3" xfId="1815" xr:uid="{CE863FC7-D62B-407E-936D-81B3863FD848}"/>
    <cellStyle name="Comma 4 2 2 2 3" xfId="879" xr:uid="{00AE426A-3476-44DF-BC8B-8F28D02E081B}"/>
    <cellStyle name="Comma 4 2 2 2 3 2" xfId="2131" xr:uid="{FB7C9CBC-3360-4475-A1DA-48C89FB52187}"/>
    <cellStyle name="Comma 4 2 2 2 4" xfId="1520" xr:uid="{A2CA3E74-DF65-45DB-83A6-D5A6F400203C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3" xfId="1673" xr:uid="{B68FA13F-C2B2-4AAA-AD9D-C91C55F79334}"/>
    <cellStyle name="Comma 4 2 2 4" xfId="737" xr:uid="{0DF7C0DD-63DF-47D5-B03E-7500FEB7B246}"/>
    <cellStyle name="Comma 4 2 2 4 2" xfId="1989" xr:uid="{C1E2C96B-D892-4602-9476-B9C70317EEBD}"/>
    <cellStyle name="Comma 4 2 2 5" xfId="1378" xr:uid="{DCCFF53B-2BA4-4A94-891A-F1ACBF2F3AAF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3" xfId="1743" xr:uid="{594D852C-95BC-4E2D-BA97-3E47BDEBEADD}"/>
    <cellStyle name="Comma 4 2 3 3" xfId="807" xr:uid="{72B9E69C-4E96-401E-8A92-2CA878D506EB}"/>
    <cellStyle name="Comma 4 2 3 3 2" xfId="2059" xr:uid="{F385E21A-1360-4862-BDC4-4C8EAB473D73}"/>
    <cellStyle name="Comma 4 2 3 4" xfId="1448" xr:uid="{3C830365-05A9-4CC6-9C9D-4A7B7228E299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3" xfId="1601" xr:uid="{7AC4F287-5F67-4604-8E21-E9050F27413C}"/>
    <cellStyle name="Comma 4 2 5" xfId="665" xr:uid="{0CA87FCF-1E02-4AF8-A0D4-07088B99601D}"/>
    <cellStyle name="Comma 4 2 5 2" xfId="1917" xr:uid="{30DD486D-DEC5-48A7-AF8D-B2BC5EEE7729}"/>
    <cellStyle name="Comma 4 2 6" xfId="1306" xr:uid="{65AF9F2F-F4B5-475D-B554-CB69EC356AA8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3" xfId="1795" xr:uid="{6F4778EB-2DE3-480B-86E1-A1209EA7B95E}"/>
    <cellStyle name="Comma 4 3 2 3" xfId="859" xr:uid="{9775B511-662F-4A35-8A88-C9002DC7ED5A}"/>
    <cellStyle name="Comma 4 3 2 3 2" xfId="2111" xr:uid="{7419E977-F96D-4AED-BED5-A8E8F878678C}"/>
    <cellStyle name="Comma 4 3 2 4" xfId="1500" xr:uid="{1D56E5A8-6FEE-4C61-AAD7-F60D275BB156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3" xfId="1653" xr:uid="{CC4BCC57-788C-4885-BF85-E3324D1756F3}"/>
    <cellStyle name="Comma 4 3 4" xfId="717" xr:uid="{0B35FC80-93F7-44E5-A0E4-A7120D7A6BA0}"/>
    <cellStyle name="Comma 4 3 4 2" xfId="1969" xr:uid="{19D59E21-3BC8-48A1-841B-B815FB5EB5D7}"/>
    <cellStyle name="Comma 4 3 5" xfId="1358" xr:uid="{939C1209-CDE9-4C37-BFB7-EAF62687D68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3" xfId="1723" xr:uid="{7B9A66AC-2FEE-49F9-BA91-4E068E1EEC93}"/>
    <cellStyle name="Comma 4 4 3" xfId="787" xr:uid="{2C05BEE6-7D6C-4DE3-B519-986ADB3E601C}"/>
    <cellStyle name="Comma 4 4 3 2" xfId="2039" xr:uid="{3C236747-7EC1-4C08-8F25-97599FE2BC0F}"/>
    <cellStyle name="Comma 4 4 4" xfId="1428" xr:uid="{8DF1AC38-F165-42C9-BB24-1B393D6D41AD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3" xfId="1581" xr:uid="{D005029F-44B5-4249-B27C-9AAB6B8EC0C6}"/>
    <cellStyle name="Comma 4 6" xfId="645" xr:uid="{3E1EA17A-F335-458D-A14C-0870C837D610}"/>
    <cellStyle name="Comma 4 6 2" xfId="1897" xr:uid="{A7707CAB-B629-44B1-B7F6-A3DDAB15BD89}"/>
    <cellStyle name="Comma 4 7" xfId="1286" xr:uid="{CB7E0246-C150-4A18-A964-CAD832C63399}"/>
    <cellStyle name="Comma 40" xfId="49" xr:uid="{CD055125-697C-4484-904E-C5B6555AC713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3" xfId="1820" xr:uid="{8E29F029-91BE-4A5C-AE36-7718C0B5C3BF}"/>
    <cellStyle name="Comma 40 2 2 3" xfId="884" xr:uid="{A6E409FA-DCAB-490F-BB82-DCF8D2BCCE4C}"/>
    <cellStyle name="Comma 40 2 2 3 2" xfId="2136" xr:uid="{A5505BE3-4939-40D1-A993-F8497D3FABA0}"/>
    <cellStyle name="Comma 40 2 2 4" xfId="1525" xr:uid="{6C4BBF48-726A-403D-A649-80485C2B8BB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3" xfId="1678" xr:uid="{3D3DEFEF-D103-4B3F-8848-FDEE1471A8DF}"/>
    <cellStyle name="Comma 40 2 4" xfId="742" xr:uid="{374A2227-4B3E-4BAE-AD1D-3FC6BFB71B06}"/>
    <cellStyle name="Comma 40 2 4 2" xfId="1994" xr:uid="{4BEBA99F-677B-457C-8172-B20D9E16C336}"/>
    <cellStyle name="Comma 40 2 5" xfId="1383" xr:uid="{A82BF26D-8408-4653-A785-D151C00F063C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3" xfId="1748" xr:uid="{D959261A-9C14-412C-A557-858D2E51FA15}"/>
    <cellStyle name="Comma 40 3 3" xfId="812" xr:uid="{1C009A05-2A11-437B-9C2F-4C71D858A10C}"/>
    <cellStyle name="Comma 40 3 3 2" xfId="2064" xr:uid="{69BBA566-F2FD-4B2D-934F-2318708A6664}"/>
    <cellStyle name="Comma 40 3 4" xfId="1453" xr:uid="{DBAFD081-8780-492F-9182-F3A1233C0F36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3" xfId="1606" xr:uid="{2313B583-C6CA-4031-8528-EAAD373A2356}"/>
    <cellStyle name="Comma 40 5" xfId="670" xr:uid="{503EEF2C-94C7-48A5-A7B1-59D5D69E4EAC}"/>
    <cellStyle name="Comma 40 5 2" xfId="1922" xr:uid="{E8821B24-A3C1-4AFD-88F9-CAF4FA7B861A}"/>
    <cellStyle name="Comma 40 6" xfId="1311" xr:uid="{10E5B92B-1EF6-48B9-96C6-272A2B7CB3B0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3" xfId="1713" xr:uid="{BA425B3B-40E5-4874-90E6-CCF56103BCBC}"/>
    <cellStyle name="Comma 41 3" xfId="777" xr:uid="{0761E619-CC7E-46AD-9489-7A85E1C58CBF}"/>
    <cellStyle name="Comma 41 3 2" xfId="2029" xr:uid="{0C317273-4F88-48F1-8A44-E66BB27975B0}"/>
    <cellStyle name="Comma 41 4" xfId="1418" xr:uid="{E9D51707-FAAC-4951-86EB-D5A95A3296EB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3" xfId="1779" xr:uid="{D27B2816-3F5A-4F48-AE66-88B048329097}"/>
    <cellStyle name="Comma 42 3" xfId="843" xr:uid="{F37DFE79-6511-4893-BE60-AD8250F0420E}"/>
    <cellStyle name="Comma 42 3 2" xfId="2095" xr:uid="{636AEE4F-B545-4A5F-810A-DC07D2C8DB98}"/>
    <cellStyle name="Comma 42 4" xfId="1484" xr:uid="{E5651127-85DE-44A6-808A-22CE142C0653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3" xfId="1857" xr:uid="{4C8A0ADF-F0EA-4373-A4A4-D76379F1100F}"/>
    <cellStyle name="Comma 43 3" xfId="921" xr:uid="{25F9D8F1-A7C9-44AC-BE9C-CC9EF44C096D}"/>
    <cellStyle name="Comma 43 3 2" xfId="2173" xr:uid="{7B5710D6-B5C3-4444-80AB-191C151FEE2B}"/>
    <cellStyle name="Comma 43 4" xfId="1562" xr:uid="{4C423A12-15DD-4C3F-824B-5AD4DAE260E2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3" xfId="1860" xr:uid="{BB3F2C86-5053-4C73-A86F-F5ED0B602465}"/>
    <cellStyle name="Comma 44 3" xfId="924" xr:uid="{B7026290-FEA9-437B-9D26-2D057644CFD5}"/>
    <cellStyle name="Comma 44 3 2" xfId="2176" xr:uid="{3E9A207E-8640-4F77-8609-1B877B4080B8}"/>
    <cellStyle name="Comma 44 4" xfId="1565" xr:uid="{78515F81-876B-4C50-B31A-0FB0A2EB64D9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3" xfId="1856" xr:uid="{72A8B236-694D-4E22-AF00-DBE2AE9FF498}"/>
    <cellStyle name="Comma 45 3" xfId="920" xr:uid="{C4FDF9CE-50C2-4EF2-BAFA-F2F3EB7A7740}"/>
    <cellStyle name="Comma 45 3 2" xfId="2172" xr:uid="{D90DC1DA-56C6-4588-99EB-8256EC960E92}"/>
    <cellStyle name="Comma 45 4" xfId="1561" xr:uid="{C4948241-C6A3-4E2A-9D12-234C785728C3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3" xfId="1855" xr:uid="{00A889E9-3519-478C-9607-AB77E59F7993}"/>
    <cellStyle name="Comma 46 3" xfId="919" xr:uid="{29028700-7028-410C-BCBC-4F3CDECED2AB}"/>
    <cellStyle name="Comma 46 3 2" xfId="2171" xr:uid="{DA25E669-9C06-4185-BEC7-609037C7256E}"/>
    <cellStyle name="Comma 46 4" xfId="1560" xr:uid="{B93F56F1-6447-4500-961B-986BAC2C3098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3" xfId="1859" xr:uid="{DE2D2C9B-8630-4214-BDAF-2CEFDE495FD8}"/>
    <cellStyle name="Comma 47 3" xfId="923" xr:uid="{D17BA229-5B2D-4525-934A-D084DD54651E}"/>
    <cellStyle name="Comma 47 3 2" xfId="2175" xr:uid="{F15BB889-1B8B-429E-A82C-9F66BDB67C57}"/>
    <cellStyle name="Comma 47 4" xfId="1564" xr:uid="{2317B774-F3FF-4BEC-B175-C534671FAF8A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3" xfId="1858" xr:uid="{0117105C-7BC8-4A9B-8055-648A1CE3D426}"/>
    <cellStyle name="Comma 48 3" xfId="922" xr:uid="{E4278CD1-A2E8-4E0D-923D-C367440E7FB0}"/>
    <cellStyle name="Comma 48 3 2" xfId="2174" xr:uid="{37E88E8D-58FF-4865-B84D-57A39A0F7044}"/>
    <cellStyle name="Comma 48 4" xfId="1563" xr:uid="{76DAC4E8-C037-4E4C-9FC2-BA482190BE98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3" xfId="1571" xr:uid="{11307FF9-8F24-43DC-8291-A381B632A8B0}"/>
    <cellStyle name="Comma 5" xfId="26" xr:uid="{AD9202DF-4176-4253-BA9F-E22A010814DC}"/>
    <cellStyle name="Comma 5 2" xfId="105" xr:uid="{79A67A63-9BD2-4BD3-83CE-0DDF9245DD81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3" xfId="1797" xr:uid="{760ACE24-BD90-4C90-98D5-F049714A08D1}"/>
    <cellStyle name="Comma 5 2 2 3" xfId="861" xr:uid="{8D1936E1-B776-4E7B-836B-EAE851A5ABFE}"/>
    <cellStyle name="Comma 5 2 2 3 2" xfId="2113" xr:uid="{261D7821-D294-46BD-8FCE-954172BD821C}"/>
    <cellStyle name="Comma 5 2 2 4" xfId="1502" xr:uid="{EED5177E-F0DB-4F14-8FA0-E41A9F2500ED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3" xfId="1655" xr:uid="{09AFC7D0-0FBE-45A9-8B80-F16143025E73}"/>
    <cellStyle name="Comma 5 2 4" xfId="719" xr:uid="{F75E72EE-5E4F-405E-9EA2-81DE57086111}"/>
    <cellStyle name="Comma 5 2 4 2" xfId="1971" xr:uid="{8BE47C84-4B97-446B-83E6-2BD85CC147C6}"/>
    <cellStyle name="Comma 5 2 5" xfId="1360" xr:uid="{19CE48A7-F00B-40FB-92FD-4A7BC6A19E0C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3" xfId="1725" xr:uid="{1F8D08D9-7900-461D-906D-18AA2B2C1503}"/>
    <cellStyle name="Comma 5 3 3" xfId="789" xr:uid="{AB802B53-7637-4103-86D3-2A05A70500EC}"/>
    <cellStyle name="Comma 5 3 3 2" xfId="2041" xr:uid="{4C9142EE-944C-48E1-93F3-C3E1E5310612}"/>
    <cellStyle name="Comma 5 3 4" xfId="1430" xr:uid="{536044F3-BE3E-4906-B3C6-E0565B0722A0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3" xfId="1583" xr:uid="{17C1093E-9849-44C1-8535-37D9E59105E9}"/>
    <cellStyle name="Comma 5 5" xfId="647" xr:uid="{F6F119E7-DF4F-4DCE-94D0-D63CC8B41A16}"/>
    <cellStyle name="Comma 5 5 2" xfId="1899" xr:uid="{D28EF6AC-780F-4C07-AC57-861835E05D36}"/>
    <cellStyle name="Comma 5 6" xfId="1288" xr:uid="{BE6AAB57-11A0-4C94-8DE0-6F6774148135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3" xfId="1637" xr:uid="{A6A890E6-64F3-43AC-B471-4C0146951C4B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3" xfId="1869" xr:uid="{6A84952E-82E2-467F-85D2-CE13ECB2EC0B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3" xfId="1886" xr:uid="{E4AC0685-BB3D-4E39-920A-D236783ED267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3" xfId="1881" xr:uid="{35EE0DF1-43D6-4382-85ED-CAA88EA4EFE9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3" xfId="1878" xr:uid="{A2842788-1845-4412-8E40-1210D06DF918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3" xfId="1883" xr:uid="{AD427B1F-0A0E-40D3-B379-C5E3824EAEA2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3" xfId="1872" xr:uid="{7E1ED0B0-AB12-4575-8A40-8ACBF2E4F55C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3" xfId="1884" xr:uid="{6FD22934-F882-4500-9FB5-38458F19279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3" xfId="1867" xr:uid="{4E9618EE-6574-4BBA-B097-C0B6E91ABD4D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3" xfId="1882" xr:uid="{58EF967D-B399-4FA8-A1FB-C4E934445CE6}"/>
    <cellStyle name="Comma 6" xfId="28" xr:uid="{FFF74D1C-F09D-4A33-B1DC-7D73CDBBA2D7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3" xfId="1799" xr:uid="{EB163117-5F63-4E4B-904E-C2B8679AAAB3}"/>
    <cellStyle name="Comma 6 2 2 3" xfId="863" xr:uid="{C96ADDFC-0471-4F53-B9F4-3C726B8483D7}"/>
    <cellStyle name="Comma 6 2 2 3 2" xfId="2115" xr:uid="{17BE4D7B-DDBC-4EB6-AB69-0A1808979CD6}"/>
    <cellStyle name="Comma 6 2 2 4" xfId="1504" xr:uid="{0305D2F4-8069-4A7E-8469-B34CDAA8EABE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3" xfId="1657" xr:uid="{EFCACF0B-9BAE-413A-A3F6-87C70933A921}"/>
    <cellStyle name="Comma 6 2 4" xfId="721" xr:uid="{C6AB2EE2-8B9C-455B-BE05-5C9678AF5FC5}"/>
    <cellStyle name="Comma 6 2 4 2" xfId="1973" xr:uid="{5B7133C0-3CE5-4E57-B4DC-981F3B476E71}"/>
    <cellStyle name="Comma 6 2 5" xfId="1362" xr:uid="{46B046FE-D87B-42BE-9E79-722CBA7089DD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3" xfId="1727" xr:uid="{E31AC056-8D06-4C37-9B7A-FE991C7DC54B}"/>
    <cellStyle name="Comma 6 3 3" xfId="791" xr:uid="{D750891E-2C01-4F54-93C1-6C8D32697527}"/>
    <cellStyle name="Comma 6 3 3 2" xfId="2043" xr:uid="{05CC4D8C-EDF1-4057-83E2-6E2FEC98778C}"/>
    <cellStyle name="Comma 6 3 4" xfId="1432" xr:uid="{7B1DEFB0-F695-4DDA-9927-72AB8157E460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3" xfId="1585" xr:uid="{68E3DBB0-A583-42E5-A07E-C48594EA11BE}"/>
    <cellStyle name="Comma 6 5" xfId="649" xr:uid="{4F69EA06-DE3D-4EA9-BFAB-349FFED8887C}"/>
    <cellStyle name="Comma 6 5 2" xfId="1901" xr:uid="{DBC59ABB-17D9-4A1D-B5FF-79DF5EE65FE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1" xfId="1334" xr:uid="{1D2D9D15-1742-46DA-90F6-03732ADCDD77}"/>
    <cellStyle name="Comma 6 6 2 2" xfId="80" xr:uid="{AFC4C5D4-692C-437E-B23B-A9A4529260B2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3" xfId="1846" xr:uid="{EF967023-6F99-4F74-BF5E-9630CDA3855A}"/>
    <cellStyle name="Comma 6 6 2 2 2 2 3" xfId="910" xr:uid="{0A71A405-1A9F-437A-932E-299562D53A7D}"/>
    <cellStyle name="Comma 6 6 2 2 2 2 3 2" xfId="2162" xr:uid="{6423C28F-8BFF-4483-90C8-EDD669CD37C9}"/>
    <cellStyle name="Comma 6 6 2 2 2 2 4" xfId="1551" xr:uid="{BE413D1C-C05B-432D-988A-9E2A788EA3E4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3" xfId="1704" xr:uid="{4E59F6DA-5780-4521-9583-80CA69283912}"/>
    <cellStyle name="Comma 6 6 2 2 2 4" xfId="768" xr:uid="{60E7A825-8A31-48F8-9AD3-B755BB520035}"/>
    <cellStyle name="Comma 6 6 2 2 2 4 2" xfId="2020" xr:uid="{54153DFF-C34B-4835-90EC-E40B06FC28F3}"/>
    <cellStyle name="Comma 6 6 2 2 2 5" xfId="1409" xr:uid="{C004CDC2-6DAE-4FA7-B9AC-F0E1DAD092F3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3" xfId="1774" xr:uid="{CE4371B0-7248-456A-9D79-1EA157ADB31B}"/>
    <cellStyle name="Comma 6 6 2 2 3 3" xfId="838" xr:uid="{FD337FB1-EA3A-4D4F-99A2-72225B50C36B}"/>
    <cellStyle name="Comma 6 6 2 2 3 3 2" xfId="2090" xr:uid="{C1ADC11A-5AC8-4A84-8076-01958F7718E3}"/>
    <cellStyle name="Comma 6 6 2 2 3 4" xfId="1479" xr:uid="{AF5828F3-F40E-4452-8837-654411F35518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3" xfId="1632" xr:uid="{64E29E8E-DEF1-4B2E-AF0C-620735EE71FA}"/>
    <cellStyle name="Comma 6 6 2 2 5" xfId="696" xr:uid="{45DE2233-07C1-45D4-A40D-EB5BC6E26909}"/>
    <cellStyle name="Comma 6 6 2 2 5 2" xfId="1948" xr:uid="{9E6ADDC5-918A-46CA-89EE-A1AC49CE6FCF}"/>
    <cellStyle name="Comma 6 6 2 2 6" xfId="1337" xr:uid="{EE5F3077-CF12-4F7C-B4C7-DAC5885F683A}"/>
    <cellStyle name="Comma 6 6 2 3" xfId="85" xr:uid="{7D3F7E80-0005-4D83-B749-32B2FCA8668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3" xfId="1849" xr:uid="{61E51D95-C6EB-4647-B249-5E5FD61DC7AD}"/>
    <cellStyle name="Comma 6 6 2 3 2 2 3" xfId="913" xr:uid="{810817DD-44A8-481B-86FF-9752BEC636FD}"/>
    <cellStyle name="Comma 6 6 2 3 2 2 3 2" xfId="2165" xr:uid="{09661743-5700-484F-991E-27C64430577F}"/>
    <cellStyle name="Comma 6 6 2 3 2 2 4" xfId="1554" xr:uid="{0C1DF74F-D44B-45A9-BF0B-8E14F4D10938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3" xfId="1707" xr:uid="{CC5532C2-F0AE-4D50-864F-F245610A2BBD}"/>
    <cellStyle name="Comma 6 6 2 3 2 4" xfId="771" xr:uid="{6A5A5097-4DA4-4F8B-A898-F43EACFD3B3C}"/>
    <cellStyle name="Comma 6 6 2 3 2 4 2" xfId="2023" xr:uid="{44F1AE96-E1CA-445D-A94B-1A962D18C7A1}"/>
    <cellStyle name="Comma 6 6 2 3 2 5" xfId="1412" xr:uid="{EAB2CE3D-1967-4F0D-9F8E-D87CF9C67CF7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3" xfId="1777" xr:uid="{905F0A18-5D12-4A3D-B156-46F088FC02FD}"/>
    <cellStyle name="Comma 6 6 2 3 3 3" xfId="841" xr:uid="{593FD486-DA1D-49FD-92B7-7704479666CB}"/>
    <cellStyle name="Comma 6 6 2 3 3 3 2" xfId="2093" xr:uid="{AE69F80E-821D-4777-936F-C173B6FEA631}"/>
    <cellStyle name="Comma 6 6 2 3 3 4" xfId="1482" xr:uid="{AB2ED69E-FCD2-4DAC-BACF-754BB3AC0B4E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3" xfId="1635" xr:uid="{3414F80C-8492-45CD-9BD7-382AAFBA67BD}"/>
    <cellStyle name="Comma 6 6 2 3 5" xfId="699" xr:uid="{E95C3D4A-983B-4A00-B183-C43F57281C55}"/>
    <cellStyle name="Comma 6 6 2 3 5 2" xfId="1951" xr:uid="{437EF44F-2EC0-4338-824D-DE575B8BCFA6}"/>
    <cellStyle name="Comma 6 6 2 3 6" xfId="1340" xr:uid="{00738043-B335-43CB-85E3-76C89717373B}"/>
    <cellStyle name="Comma 6 6 2 4" xfId="90" xr:uid="{2D17D26F-5E0E-4402-8760-D72B1B77DAD5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3" xfId="1853" xr:uid="{3657E26F-75C8-4041-A04A-D61811F14838}"/>
    <cellStyle name="Comma 6 6 2 4 2 2 3" xfId="917" xr:uid="{ADB970CC-7EAA-4418-BAE8-3040892496D0}"/>
    <cellStyle name="Comma 6 6 2 4 2 2 3 2" xfId="2169" xr:uid="{11DF5C25-C494-4655-A491-92EB39CFADBC}"/>
    <cellStyle name="Comma 6 6 2 4 2 2 4" xfId="1558" xr:uid="{36CA1992-D51E-45C0-9DE4-5102EE55E385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3" xfId="1711" xr:uid="{9814BB32-62EF-4CA2-91CC-C6595D07383B}"/>
    <cellStyle name="Comma 6 6 2 4 2 4" xfId="775" xr:uid="{19EBD19B-A252-41F2-9D18-D55336909AB5}"/>
    <cellStyle name="Comma 6 6 2 4 2 4 2" xfId="2027" xr:uid="{9C08A504-B156-45A1-B81D-2F4815AADA05}"/>
    <cellStyle name="Comma 6 6 2 4 2 5" xfId="1416" xr:uid="{3DF8846C-DCE3-452F-AC51-366D693C57D0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3" xfId="1782" xr:uid="{B3A0148F-7CC4-43CC-B1AA-6E9C0654E8C9}"/>
    <cellStyle name="Comma 6 6 2 4 3 3" xfId="846" xr:uid="{12847466-8170-45B9-B4E0-23A432512E62}"/>
    <cellStyle name="Comma 6 6 2 4 3 3 2" xfId="2098" xr:uid="{D0F818C6-2280-4FF7-BC92-D631AC126EAD}"/>
    <cellStyle name="Comma 6 6 2 4 3 4" xfId="1487" xr:uid="{C3D25FF5-244B-4438-AD47-F22B7A6A04A7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3" xfId="1640" xr:uid="{6E9BD55D-7DBB-4EB7-9766-76A9C75ED3E1}"/>
    <cellStyle name="Comma 6 6 2 4 5" xfId="704" xr:uid="{0E063F4E-796B-40E9-949E-75754DA11FD6}"/>
    <cellStyle name="Comma 6 6 2 4 5 2" xfId="1956" xr:uid="{4F0CA281-DCA2-41C4-B9AA-B9BCB365BE7A}"/>
    <cellStyle name="Comma 6 6 2 4 6" xfId="1345" xr:uid="{1805BF23-9E19-4456-9CFB-20FE48CDE7EF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3" xfId="1843" xr:uid="{91B3A894-F6B7-4142-8364-9D4058883B83}"/>
    <cellStyle name="Comma 6 6 2 5 2 3" xfId="907" xr:uid="{672BCE46-40C2-4B93-A25B-2C8B4B91B264}"/>
    <cellStyle name="Comma 6 6 2 5 2 3 2" xfId="2159" xr:uid="{6240C314-71F1-47E2-984D-8D41EF7AFB21}"/>
    <cellStyle name="Comma 6 6 2 5 2 4" xfId="1548" xr:uid="{7090A76F-0B15-40AF-A84B-29107640547A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3" xfId="1701" xr:uid="{4A675067-CDDC-4E1D-A559-B91A6F1A3CD2}"/>
    <cellStyle name="Comma 6 6 2 5 4" xfId="765" xr:uid="{8244EB5F-65D0-4F20-8ADE-972D31397189}"/>
    <cellStyle name="Comma 6 6 2 5 4 2" xfId="2017" xr:uid="{97E4F8D5-9E05-4B4A-8C60-405887A4BBC0}"/>
    <cellStyle name="Comma 6 6 2 5 5" xfId="1406" xr:uid="{72F34597-42A1-4E65-A9E8-6E739E448157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3" xfId="1771" xr:uid="{4A0E5051-B8CF-4241-8B5B-3CCB55B19376}"/>
    <cellStyle name="Comma 6 6 2 6 3" xfId="835" xr:uid="{09EE36AD-D778-46FD-96D7-4420B24E0C1D}"/>
    <cellStyle name="Comma 6 6 2 6 3 2" xfId="2087" xr:uid="{97728AC5-72C1-4693-84BA-6FC9F4EA5613}"/>
    <cellStyle name="Comma 6 6 2 6 4" xfId="1476" xr:uid="{D8959C68-82C3-4C88-B847-B8D7CD0C60A7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3" xfId="1862" xr:uid="{15E2E6E3-0A9C-41BD-875B-4D36A7194F39}"/>
    <cellStyle name="Comma 6 6 2 7 3" xfId="926" xr:uid="{7A139EFB-7D05-45E8-8EE4-E2C11E80B3BD}"/>
    <cellStyle name="Comma 6 6 2 7 3 2" xfId="2178" xr:uid="{F77CEF22-429A-4635-B3C3-36DD0468746A}"/>
    <cellStyle name="Comma 6 6 2 7 4" xfId="1567" xr:uid="{FBD788BF-5F07-43EF-A8DC-434C73948753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3" xfId="1629" xr:uid="{15D71F81-BDCA-4FA3-BB26-DB891BC125D9}"/>
    <cellStyle name="Comma 6 6 2 9" xfId="693" xr:uid="{D3058C74-FF9D-4590-AB76-E348EE552BE1}"/>
    <cellStyle name="Comma 6 6 2 9 2" xfId="1945" xr:uid="{2DE0EFDE-9CF0-487E-BF71-78D247EE0F55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3" xfId="1877" xr:uid="{A940DB46-D625-4F1A-91BE-7F8B68957459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3" xfId="1870" xr:uid="{877D16CF-DC74-4D17-81D2-1134B9C782C4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3" xfId="1876" xr:uid="{FED8CDC8-0160-4F1F-ABE7-77EB045A2FAC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3" xfId="1875" xr:uid="{A037EAF0-E58F-4FC0-81E0-8DE4B7DF5FA2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3" xfId="1873" xr:uid="{EAA79AA6-0D13-45C6-B3EF-4A9E09D3EA5A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3" xfId="1871" xr:uid="{165053AD-DC56-44BB-AAE6-4BD80F184A80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3" xfId="1874" xr:uid="{1CF9F1AC-7C99-40BA-BB0F-9A1A0C971724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3" xfId="1868" xr:uid="{0FA24ACC-D3EF-4ADC-8854-F6C4537B5622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3" xfId="1885" xr:uid="{867B349E-8CF7-4812-A9B1-FF8D3EBBBF56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3" xfId="1866" xr:uid="{006BBEE6-F32E-44BE-BE3C-A5617BDBAD9C}"/>
    <cellStyle name="Comma 7" xfId="36" xr:uid="{BBA746ED-4AC1-42F8-BDA4-BEE4B5C75D32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3" xfId="1807" xr:uid="{4068CB99-DAD6-4934-BBEF-026570BE9D2E}"/>
    <cellStyle name="Comma 7 2 2 3" xfId="871" xr:uid="{079F7782-45A2-439C-99A1-5F188C67E51B}"/>
    <cellStyle name="Comma 7 2 2 3 2" xfId="2123" xr:uid="{F2A750CF-A225-4F64-B232-2EFEED6AB6C3}"/>
    <cellStyle name="Comma 7 2 2 4" xfId="1512" xr:uid="{7047D29F-866F-4EA7-B9FC-8266D3347BBE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3" xfId="1665" xr:uid="{37E84D18-2A7F-4A53-9FD9-97E1FC3B5B16}"/>
    <cellStyle name="Comma 7 2 4" xfId="729" xr:uid="{E7B2DF91-794D-440A-848A-F3297464FB29}"/>
    <cellStyle name="Comma 7 2 4 2" xfId="1981" xr:uid="{5FF4C3E2-266D-43FB-9EDF-65E1ABA3F744}"/>
    <cellStyle name="Comma 7 2 5" xfId="1370" xr:uid="{6EDE1CB7-C31D-4037-BC7D-6C3B713B3E5C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3" xfId="1735" xr:uid="{FA08B43E-722C-4144-BB96-23967784EB8C}"/>
    <cellStyle name="Comma 7 3 3" xfId="799" xr:uid="{637018B1-F8B0-420A-9071-5C872E48BAAB}"/>
    <cellStyle name="Comma 7 3 3 2" xfId="2051" xr:uid="{4D3103E7-3AE4-47A5-B2EF-BE629CFAE6E0}"/>
    <cellStyle name="Comma 7 3 4" xfId="1440" xr:uid="{C28D0787-FB17-4007-AE38-A81BFDC4BCD3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3" xfId="1593" xr:uid="{7921478C-993A-41D4-9B49-D16B2BF5F533}"/>
    <cellStyle name="Comma 7 5" xfId="657" xr:uid="{C1FDA9AD-58C6-416A-91E4-6803969B2EDC}"/>
    <cellStyle name="Comma 7 5 2" xfId="1909" xr:uid="{AD8CBE5D-2664-460F-B6DA-066E016581CA}"/>
    <cellStyle name="Comma 7 6" xfId="1298" xr:uid="{B7330241-6079-424F-97FF-CBD0C07B8CA7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3" xfId="1879" xr:uid="{EA7EF143-9C36-4585-9A0B-571439B2288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3" xfId="1880" xr:uid="{1BFB64A6-9760-4383-9123-A2B50FB91DAD}"/>
    <cellStyle name="Comma 72" xfId="635" xr:uid="{CD5478DC-3BD4-4E49-B5AD-AD09A0AD6DA5}"/>
    <cellStyle name="Comma 72 2" xfId="1887" xr:uid="{8AF303AF-601D-46DE-BAAD-426FCE548205}"/>
    <cellStyle name="Comma 73" xfId="701" xr:uid="{69C624A5-D102-4A03-B0B7-FF8EBB2A5FC3}"/>
    <cellStyle name="Comma 73 2" xfId="1953" xr:uid="{C787CEC9-E2EA-474E-9558-C3B98AEF809D}"/>
    <cellStyle name="Comma 74" xfId="1247" xr:uid="{AA924ABD-5300-44EB-8178-C6F6DBF486ED}"/>
    <cellStyle name="Comma 74 2" xfId="2499" xr:uid="{F08B2984-7563-4AD7-8EFD-D9222CEBF17D}"/>
    <cellStyle name="Comma 75" xfId="1261" xr:uid="{B39259F5-F470-47BD-9641-4CEFA1BE5019}"/>
    <cellStyle name="Comma 75 2" xfId="2513" xr:uid="{552F6E79-26A9-4DFB-9D2A-C040B0EB8814}"/>
    <cellStyle name="Comma 76" xfId="1249" xr:uid="{6A014617-5F1A-430C-A6AE-901D07C80558}"/>
    <cellStyle name="Comma 76 2" xfId="2501" xr:uid="{290C7AE2-B666-42DA-B304-1A65F59B9F0D}"/>
    <cellStyle name="Comma 77" xfId="1260" xr:uid="{0C565893-95F0-40CD-A3A5-161EEB8BF042}"/>
    <cellStyle name="Comma 77 2" xfId="2512" xr:uid="{8F15BC05-4066-41A4-8E94-897FE8079CBB}"/>
    <cellStyle name="Comma 78" xfId="1250" xr:uid="{40FECB4B-A678-4657-B9B6-706374F94452}"/>
    <cellStyle name="Comma 78 2" xfId="2502" xr:uid="{08FDEBC1-307C-4284-B357-8E7D069B91FF}"/>
    <cellStyle name="Comma 79" xfId="1267" xr:uid="{88BBB112-D643-44E3-A1D7-F76AE7FDAA06}"/>
    <cellStyle name="Comma 79 2" xfId="2519" xr:uid="{8D5577D7-9179-4A0E-B431-369B70DC6E8D}"/>
    <cellStyle name="Comma 8" xfId="47" xr:uid="{F6B419F5-CD27-4289-9A75-1F200423A92F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3" xfId="1818" xr:uid="{BB80ADAB-843C-418E-AFBF-C506502746C8}"/>
    <cellStyle name="Comma 8 2 2 3" xfId="882" xr:uid="{C57C3064-D08E-4CA3-91DE-A2FBD318F810}"/>
    <cellStyle name="Comma 8 2 2 3 2" xfId="2134" xr:uid="{8F5D5E5E-DA3E-41EF-A5BF-2E6E949DB475}"/>
    <cellStyle name="Comma 8 2 2 4" xfId="1523" xr:uid="{1B2A42C1-4E83-4951-BB6E-A0F7D5BC40CA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3" xfId="1676" xr:uid="{4EA922B2-801B-4F36-9209-F9715F4CEA1B}"/>
    <cellStyle name="Comma 8 2 4" xfId="740" xr:uid="{6635026A-54CD-4F11-B075-C68F07E98DB6}"/>
    <cellStyle name="Comma 8 2 4 2" xfId="1992" xr:uid="{0304143B-CA1C-4EA8-8087-D0A083C4B846}"/>
    <cellStyle name="Comma 8 2 5" xfId="1381" xr:uid="{E9EA1CDE-2155-4060-A16F-45026A892AC7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3" xfId="1746" xr:uid="{1A0B9320-97C1-421E-B083-DA571EB030FF}"/>
    <cellStyle name="Comma 8 3 3" xfId="810" xr:uid="{AD22725E-51DF-4A74-8BD2-2B0B76A7E0F3}"/>
    <cellStyle name="Comma 8 3 3 2" xfId="2062" xr:uid="{38ACCDEC-C8AE-4F8D-9C95-0A01DEAB0ABD}"/>
    <cellStyle name="Comma 8 3 4" xfId="1451" xr:uid="{07EBE0F7-9399-4A71-B7AD-3BFF448F3175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3" xfId="1604" xr:uid="{3E3789F8-FCE6-42AA-A3A3-F4558A4254BC}"/>
    <cellStyle name="Comma 8 5" xfId="668" xr:uid="{1F88E2B3-CBF5-4EFD-AE95-CE0B87A68AB2}"/>
    <cellStyle name="Comma 8 5 2" xfId="1920" xr:uid="{37F60627-6162-4EAF-A15B-09D57F8D9025}"/>
    <cellStyle name="Comma 8 6" xfId="1309" xr:uid="{D91BBFCB-28F4-4C29-BBA0-9FB6099D5114}"/>
    <cellStyle name="Comma 80" xfId="1253" xr:uid="{EBA045D8-1305-4F0F-A488-032BB3FC2A29}"/>
    <cellStyle name="Comma 80 2" xfId="2505" xr:uid="{44BABDD5-7C0F-4C17-A2D8-F0A0B2DE64AC}"/>
    <cellStyle name="Comma 81" xfId="1265" xr:uid="{DEE2C5C9-0DF8-4333-AE6D-5CB7E165E7AC}"/>
    <cellStyle name="Comma 81 2" xfId="2517" xr:uid="{8F192F22-6807-4164-8C21-1B6BABD93849}"/>
    <cellStyle name="Comma 82" xfId="1252" xr:uid="{27D3AF50-9A99-42B5-9AB7-73761860A420}"/>
    <cellStyle name="Comma 82 2" xfId="2504" xr:uid="{75508C81-D78A-4F21-BBCA-9896CF8214B7}"/>
    <cellStyle name="Comma 83" xfId="1263" xr:uid="{00428DA6-F4E5-48F6-A9CE-47410A8349C5}"/>
    <cellStyle name="Comma 83 2" xfId="2515" xr:uid="{232BE0C5-691E-49E2-B605-8D66B5C2BFEF}"/>
    <cellStyle name="Comma 84" xfId="1258" xr:uid="{7AFCB5B3-E61E-4A24-96C3-95C905196191}"/>
    <cellStyle name="Comma 84 2" xfId="2510" xr:uid="{537905ED-2DDF-41ED-BD0E-2E7A0B876279}"/>
    <cellStyle name="Comma 85" xfId="1251" xr:uid="{4C50474C-CFFB-4F78-A480-8B5F8BCFADF5}"/>
    <cellStyle name="Comma 85 2" xfId="2503" xr:uid="{0DC9805E-5484-4EA7-A7BF-F4EA0D06B785}"/>
    <cellStyle name="Comma 86" xfId="1264" xr:uid="{A39CBA60-0942-4515-B459-C137EE274539}"/>
    <cellStyle name="Comma 86 2" xfId="2516" xr:uid="{3F8A9540-AEE1-4E21-9B28-596509CAF5BF}"/>
    <cellStyle name="Comma 87" xfId="1257" xr:uid="{DB41D411-7B00-4939-8B80-099336A1964C}"/>
    <cellStyle name="Comma 87 2" xfId="2509" xr:uid="{63EEE4EE-95C2-4713-B217-B333CCF49126}"/>
    <cellStyle name="Comma 88" xfId="1262" xr:uid="{122E441F-ADC1-414B-BF8E-9460E78F041B}"/>
    <cellStyle name="Comma 88 2" xfId="2514" xr:uid="{AF3E1BA9-15DD-491D-A7BD-444911C04D30}"/>
    <cellStyle name="Comma 89" xfId="1254" xr:uid="{DC3D72DA-7FCD-46B4-9DF0-BACD3D938090}"/>
    <cellStyle name="Comma 89 2" xfId="2506" xr:uid="{0BAE2652-7ABB-4418-8860-B4963983BD9F}"/>
    <cellStyle name="Comma 9" xfId="50" xr:uid="{0B2ABB2F-F64B-427E-8550-34B5DAD35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3" xfId="1821" xr:uid="{9AC3ADF5-0AF0-4DA8-83AC-84832C349B2C}"/>
    <cellStyle name="Comma 9 2 2 3" xfId="885" xr:uid="{E66E8991-9B03-4B6E-91DD-C8D4A7D520C6}"/>
    <cellStyle name="Comma 9 2 2 3 2" xfId="2137" xr:uid="{DE2F0EB8-3A09-4049-9F5E-76C5E76DB310}"/>
    <cellStyle name="Comma 9 2 2 4" xfId="1526" xr:uid="{1030BE12-1464-4843-ADA3-B4E1A4F2883A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3" xfId="1679" xr:uid="{8A386BFC-28C3-406E-8DE5-55CFF597C17F}"/>
    <cellStyle name="Comma 9 2 4" xfId="743" xr:uid="{1347073D-44A6-450C-9E0F-51FF7979CF00}"/>
    <cellStyle name="Comma 9 2 4 2" xfId="1995" xr:uid="{963CF977-D188-4CBA-A767-196C32CE900D}"/>
    <cellStyle name="Comma 9 2 5" xfId="1384" xr:uid="{65E54891-C1EF-479A-A775-2F3C9D27487C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3" xfId="1749" xr:uid="{3312580C-63B6-4541-9F8D-3596B2E482C1}"/>
    <cellStyle name="Comma 9 3 3" xfId="813" xr:uid="{7D50C432-176C-48A5-B8A2-E731AD93E999}"/>
    <cellStyle name="Comma 9 3 3 2" xfId="2065" xr:uid="{B5210136-1089-4DDA-8CF6-D94F901DDCA5}"/>
    <cellStyle name="Comma 9 3 4" xfId="1454" xr:uid="{432CF16E-4FA0-4882-9A87-639460D25CF3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3" xfId="1607" xr:uid="{1EDFF87B-33A7-45C5-8F9A-FDD3E6DE2665}"/>
    <cellStyle name="Comma 9 5" xfId="671" xr:uid="{40355D72-F476-472E-872C-FA52E332EF41}"/>
    <cellStyle name="Comma 9 5 2" xfId="1923" xr:uid="{6E1EEA3D-04E4-41BF-85A8-D21586A50648}"/>
    <cellStyle name="Comma 9 6" xfId="1312" xr:uid="{9AE8B212-519F-4F38-BD53-DE36FE1F276A}"/>
    <cellStyle name="Comma 90" xfId="1269" xr:uid="{E72CC278-7B9B-4BB8-90FF-192746BCCA5B}"/>
    <cellStyle name="Comma 90 2" xfId="2521" xr:uid="{EBDB6764-0AF4-4BBF-9481-7C4885F396F7}"/>
    <cellStyle name="Comma 91" xfId="1255" xr:uid="{9DD218B4-A922-4DDA-8384-5EB7A778EB55}"/>
    <cellStyle name="Comma 91 2" xfId="2507" xr:uid="{4502D46D-CD93-4B29-BE35-C837CB0D416C}"/>
    <cellStyle name="Comma 92" xfId="1246" xr:uid="{E7BFD92E-BFB7-4AE4-A3DE-CE6D801B9852}"/>
    <cellStyle name="Comma 92 2" xfId="2498" xr:uid="{E2DE847C-BD9C-4BF0-AF8B-788D112ABDC2}"/>
    <cellStyle name="Comma 93" xfId="1268" xr:uid="{290EBFBF-963F-437E-81A5-B90B8CE3999D}"/>
    <cellStyle name="Comma 93 2" xfId="2520" xr:uid="{572CF8CE-B7E4-4DE2-806C-43FA2622B760}"/>
    <cellStyle name="Comma 94" xfId="1259" xr:uid="{C55C097B-27FF-4831-AC09-AAB253971CAC}"/>
    <cellStyle name="Comma 94 2" xfId="2511" xr:uid="{FF4FB377-657F-4584-A640-BB0BF0C92189}"/>
    <cellStyle name="Comma 95" xfId="1266" xr:uid="{A73E9FE9-3AE0-4FD7-A2B1-D9BAE7AD0F35}"/>
    <cellStyle name="Comma 95 2" xfId="2518" xr:uid="{9CE82ADA-FB97-4B9B-8E7C-888B5C1BA034}"/>
    <cellStyle name="Comma 96" xfId="1248" xr:uid="{A2663160-F037-430F-87EA-DFB8962F3515}"/>
    <cellStyle name="Comma 96 2" xfId="2500" xr:uid="{FB475426-541A-4BCE-9637-A375B0CF1E43}"/>
    <cellStyle name="Comma 97" xfId="1256" xr:uid="{82A3F771-CC48-422F-AD86-5FF34E38C37F}"/>
    <cellStyle name="Comma 97 2" xfId="2508" xr:uid="{B6588C3F-1A5A-475C-9084-3C6107DCE3FB}"/>
    <cellStyle name="Comma 98" xfId="1276" xr:uid="{45271F3C-9524-4810-9A19-5908A010B323}"/>
    <cellStyle name="Comma 99" xfId="1342" xr:uid="{B9E754D6-3012-4196-8027-C46CFAD271B2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2" xfId="45" xr:uid="{83115EC7-FE13-407A-A651-9E8027784D56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3" xfId="1816" xr:uid="{2DA0D81B-8199-4B8A-860F-5475C553950D}"/>
    <cellStyle name="Koma [0] 2 2 2 2 2 3" xfId="880" xr:uid="{07C1E50A-88B7-44FB-AC19-76A27AD542E5}"/>
    <cellStyle name="Koma [0] 2 2 2 2 2 3 2" xfId="2132" xr:uid="{34348AA1-508B-4792-A10F-CB9EC5D829E3}"/>
    <cellStyle name="Koma [0] 2 2 2 2 2 4" xfId="1521" xr:uid="{4A8588C3-B422-426B-8D31-49D6B7E4ED2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3" xfId="1674" xr:uid="{F2018115-7981-42AA-AFD1-D7F79259A8F9}"/>
    <cellStyle name="Koma [0] 2 2 2 2 4" xfId="738" xr:uid="{4C5E2113-F866-40D7-8C5C-08C7B56BD1D9}"/>
    <cellStyle name="Koma [0] 2 2 2 2 4 2" xfId="1990" xr:uid="{843F7198-4266-423B-AE9E-65C7ED6D13B2}"/>
    <cellStyle name="Koma [0] 2 2 2 2 5" xfId="1379" xr:uid="{DDA59683-A1B9-4E8D-BA9F-2C8FD6D29676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3" xfId="1744" xr:uid="{AFD07AFD-5C60-4101-A1BB-B9E49CD499F2}"/>
    <cellStyle name="Koma [0] 2 2 2 3 3" xfId="808" xr:uid="{EC6FA78B-9361-4BD3-AA49-7230EA530641}"/>
    <cellStyle name="Koma [0] 2 2 2 3 3 2" xfId="2060" xr:uid="{782C1C4E-4630-4BC6-B215-0FBA4EA99CE6}"/>
    <cellStyle name="Koma [0] 2 2 2 3 4" xfId="1449" xr:uid="{0A94D303-DDAD-4309-9883-3ECC9C2F8AB6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3" xfId="1602" xr:uid="{79E2061A-D633-4A2D-846F-8462584E081E}"/>
    <cellStyle name="Koma [0] 2 2 2 5" xfId="666" xr:uid="{D51BC4EF-7EC8-4120-A5A7-F098B725E119}"/>
    <cellStyle name="Koma [0] 2 2 2 5 2" xfId="1918" xr:uid="{0B1F4C2A-0817-4E0C-BEB9-E479BF780ED3}"/>
    <cellStyle name="Koma [0] 2 2 2 6" xfId="1307" xr:uid="{7E4E8B4D-B285-4FC1-AC76-084924584169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3" xfId="1796" xr:uid="{A6890753-ECE2-4DAF-B928-F49DE2C55857}"/>
    <cellStyle name="Koma [0] 2 2 3 2 3" xfId="860" xr:uid="{2CB3AA4B-4A1B-4224-AC2C-0A1F650FCDBF}"/>
    <cellStyle name="Koma [0] 2 2 3 2 3 2" xfId="2112" xr:uid="{F33E7776-9EC9-497D-AE2B-E8FBD8EA8C7E}"/>
    <cellStyle name="Koma [0] 2 2 3 2 4" xfId="1501" xr:uid="{EB005502-CF7F-4666-A6E2-F5B84D1A0BA8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3" xfId="1654" xr:uid="{BC211F84-7EB6-4575-B41F-A3AFE8A7642A}"/>
    <cellStyle name="Koma [0] 2 2 3 4" xfId="718" xr:uid="{CB0EB25F-09B4-432E-A228-CE18F8927529}"/>
    <cellStyle name="Koma [0] 2 2 3 4 2" xfId="1970" xr:uid="{CEC83F65-667D-462F-8125-033B89CDA72E}"/>
    <cellStyle name="Koma [0] 2 2 3 5" xfId="1359" xr:uid="{352FCE9E-11B0-44EB-8A2A-F912C5A990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3" xfId="1724" xr:uid="{B903C50F-2D28-4DC4-8243-53F59D9D62D0}"/>
    <cellStyle name="Koma [0] 2 2 4 3" xfId="788" xr:uid="{35D8093F-40BC-4251-8BB2-434F6DD6361F}"/>
    <cellStyle name="Koma [0] 2 2 4 3 2" xfId="2040" xr:uid="{1D6B1A24-5C94-4128-AC1B-CD12FB502D9B}"/>
    <cellStyle name="Koma [0] 2 2 4 4" xfId="1429" xr:uid="{F41168DD-E89D-4E96-A936-E916B03C1305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3" xfId="1582" xr:uid="{E114236F-6D9D-46C8-B68A-5D23487E3DCA}"/>
    <cellStyle name="Koma [0] 2 2 6" xfId="646" xr:uid="{E16B5085-BC2F-4B43-909C-EF0C89AD6F1E}"/>
    <cellStyle name="Koma [0] 2 2 6 2" xfId="1898" xr:uid="{21A665FC-487C-44A6-96D1-32D9C96F5D6D}"/>
    <cellStyle name="Koma [0] 2 2 7" xfId="1287" xr:uid="{63CFD41B-E24F-480F-BE23-8F66172F4A1E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3" xfId="1785" xr:uid="{26509E64-739D-4BB2-803A-CD8B830ECF10}"/>
    <cellStyle name="Koma [0] 3 2 3" xfId="849" xr:uid="{77C93F59-C0C3-46A6-A965-C30200B7EFD0}"/>
    <cellStyle name="Koma [0] 3 2 3 2" xfId="2101" xr:uid="{C04D191C-7636-4D0E-B0BD-EFC421F4FB47}"/>
    <cellStyle name="Koma [0] 3 2 4" xfId="1490" xr:uid="{D3A964AB-7CCD-4B1F-B2E3-E1912CE7459D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3" xfId="1643" xr:uid="{FDE3E6C7-D9D6-47D5-9EF8-BFA44D83EFE2}"/>
    <cellStyle name="Koma [0] 3 4" xfId="707" xr:uid="{F030D25D-A281-47E9-BB5E-70294136616C}"/>
    <cellStyle name="Koma [0] 3 4 2" xfId="1959" xr:uid="{597C884F-4406-4059-80E5-ED83FFAB659F}"/>
    <cellStyle name="Koma [0] 3 5" xfId="1348" xr:uid="{ECD0549D-AA72-44F3-B649-91E29BD15148}"/>
    <cellStyle name="Koma 2" xfId="5" xr:uid="{18F76E38-5E99-403C-A587-8F4C77CDF59E}"/>
    <cellStyle name="Koma 2 2" xfId="21" xr:uid="{21AB7A5F-3BFF-439E-8AB8-2F7D9287792F}"/>
    <cellStyle name="Koma 2 2 2" xfId="42" xr:uid="{696BD70C-D4A1-471A-8CA9-0C592524AC3D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3" xfId="1813" xr:uid="{ED8D19D3-619A-4AB5-88AE-32D7702DE829}"/>
    <cellStyle name="Koma 2 2 2 2 2 3" xfId="877" xr:uid="{7E522D72-6C4C-49AB-9CBA-F0C93EC73A21}"/>
    <cellStyle name="Koma 2 2 2 2 2 3 2" xfId="2129" xr:uid="{25A9AC32-76CC-4034-92B6-DCB7F4BEE4BE}"/>
    <cellStyle name="Koma 2 2 2 2 2 4" xfId="1518" xr:uid="{70703005-715F-4695-80C4-6DCF18C6B21E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3" xfId="1671" xr:uid="{E0208D48-167A-4317-944F-F1F99B5B7700}"/>
    <cellStyle name="Koma 2 2 2 2 4" xfId="735" xr:uid="{1D60450A-2C33-4B6C-AC36-3A5F45B12A3C}"/>
    <cellStyle name="Koma 2 2 2 2 4 2" xfId="1987" xr:uid="{1B4C6948-3A18-4FDC-8175-3865F9A08697}"/>
    <cellStyle name="Koma 2 2 2 2 5" xfId="1376" xr:uid="{282EEEF7-B88F-4F41-9037-4FFF0E6D2A53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3" xfId="1741" xr:uid="{D089760C-03F5-4D74-AA19-0AD2685CE76E}"/>
    <cellStyle name="Koma 2 2 2 3 3" xfId="805" xr:uid="{0D72F223-C8F1-455A-9371-608DB8EBDC4C}"/>
    <cellStyle name="Koma 2 2 2 3 3 2" xfId="2057" xr:uid="{0CFAA4F8-59CC-44D8-A408-D007C4E9A99D}"/>
    <cellStyle name="Koma 2 2 2 3 4" xfId="1446" xr:uid="{83DB6B62-62CA-4D40-BBB8-4AA6FE995F39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3" xfId="1599" xr:uid="{F1F56292-4A10-43D2-9DAA-0018BE5BF63C}"/>
    <cellStyle name="Koma 2 2 2 5" xfId="663" xr:uid="{D59A4409-286E-421D-9EF2-3358C83051E5}"/>
    <cellStyle name="Koma 2 2 2 5 2" xfId="1915" xr:uid="{BF71A1E4-83CD-421F-9771-C92BBBB9FFB4}"/>
    <cellStyle name="Koma 2 2 2 6" xfId="1304" xr:uid="{DA3B9A72-289C-4ED7-9424-FC73FB948805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3" xfId="1794" xr:uid="{D49C0C58-F169-43C0-B105-B0D1A712680E}"/>
    <cellStyle name="Koma 2 2 3 2 3" xfId="858" xr:uid="{06CDB24E-0F97-4D4D-9F13-162DF5DA83EB}"/>
    <cellStyle name="Koma 2 2 3 2 3 2" xfId="2110" xr:uid="{A43CC7B7-818A-4A90-9B10-3EF023DFFC2A}"/>
    <cellStyle name="Koma 2 2 3 2 4" xfId="1499" xr:uid="{6DD650FE-F105-460B-97DC-449FB4BC7519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3" xfId="1652" xr:uid="{573D1B49-7D03-4550-8721-47686D87EE97}"/>
    <cellStyle name="Koma 2 2 3 4" xfId="716" xr:uid="{1470FD89-14E0-4079-ABB1-BF4746E423B6}"/>
    <cellStyle name="Koma 2 2 3 4 2" xfId="1968" xr:uid="{28830DDC-3EF5-4351-95B9-F5F7D129ADDF}"/>
    <cellStyle name="Koma 2 2 3 5" xfId="1357" xr:uid="{EF376130-448D-4F10-AD21-065AF1163703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3" xfId="1722" xr:uid="{59270410-D502-44B4-8FEC-B0B5D66E74B8}"/>
    <cellStyle name="Koma 2 2 4 3" xfId="786" xr:uid="{0E63277E-403D-4892-A058-952FB3F62103}"/>
    <cellStyle name="Koma 2 2 4 3 2" xfId="2038" xr:uid="{4CCBD5CC-A047-4EF4-A2D7-034BCDF592D7}"/>
    <cellStyle name="Koma 2 2 4 4" xfId="1427" xr:uid="{E80EE014-DBAD-48BB-A6AA-9F5785540BAF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3" xfId="1580" xr:uid="{3A6F627F-03DA-4CC5-8BF3-14A553D32768}"/>
    <cellStyle name="Koma 2 2 6" xfId="644" xr:uid="{AA2DA5F7-3EB2-4348-84F7-C1825E257308}"/>
    <cellStyle name="Koma 2 2 6 2" xfId="1896" xr:uid="{003E9DA2-586A-448B-9AC2-781AB5F94CB4}"/>
    <cellStyle name="Koma 2 2 7" xfId="1285" xr:uid="{83B25405-28CA-452A-939E-C90857BA3C22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3" xfId="1784" xr:uid="{779E8CB1-0B3E-41CD-A6A0-C0229E6CC113}"/>
    <cellStyle name="Koma 3 2 3" xfId="848" xr:uid="{96273E7C-12B2-4343-A204-A74DB6C23182}"/>
    <cellStyle name="Koma 3 2 3 2" xfId="2100" xr:uid="{2604F0F2-AC7D-4E2A-B0B2-DD0ECCCC8FEE}"/>
    <cellStyle name="Koma 3 2 4" xfId="1489" xr:uid="{28BF1D2E-ED33-4E76-A639-A763A056891C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3" xfId="1642" xr:uid="{264D00CC-6B80-45A0-8783-2A55F3E554E4}"/>
    <cellStyle name="Koma 3 4" xfId="706" xr:uid="{E69B58B8-3673-4E36-ABB7-C709D474FA14}"/>
    <cellStyle name="Koma 3 4 2" xfId="1958" xr:uid="{396B239A-FDE0-4ABA-A292-AA728B6C969E}"/>
    <cellStyle name="Koma 3 5" xfId="1347" xr:uid="{72C3DF32-364B-4E00-9088-04E5C863914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3" xfId="1787" xr:uid="{FC07F45F-34DB-41EE-8502-D80D18CA32EB}"/>
    <cellStyle name="Koma 4 2 3" xfId="851" xr:uid="{53B0A673-E3A1-4D89-939B-EA9591E7E7C6}"/>
    <cellStyle name="Koma 4 2 3 2" xfId="2103" xr:uid="{EDC66EEF-9516-4489-A2DC-818B3B78FDF2}"/>
    <cellStyle name="Koma 4 2 4" xfId="1492" xr:uid="{A55EBB69-0547-473B-811E-270E0EBB336A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3" xfId="1645" xr:uid="{5CC75F5D-C2EF-47BC-A7FB-2B22558A7D89}"/>
    <cellStyle name="Koma 4 4" xfId="709" xr:uid="{87C125CA-D54E-471D-ADFE-37DF9E3FAB47}"/>
    <cellStyle name="Koma 4 4 2" xfId="1961" xr:uid="{6DEC26AE-F515-4277-ABAD-E05A4D9D6F13}"/>
    <cellStyle name="Koma 4 5" xfId="1350" xr:uid="{D94A3FA6-C4C1-4C56-9E5D-FAA3249F1F5B}"/>
    <cellStyle name="Normal" xfId="0" builtinId="0"/>
    <cellStyle name="Normal 2" xfId="6" xr:uid="{A6D52D10-6F0D-4177-BF70-8FFCE34C9EC3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3" xfId="22" xr:uid="{A7EC4393-1FCE-4D9E-B1A6-1C6424BDDB34}"/>
    <cellStyle name="Normal 2 4" xfId="74" xr:uid="{573FC1FA-6F55-4B1E-AD8E-3DBF368C1575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6.%20PT%20INL%20Monthly%20Storage%20Tangki%20PT.%20INL%20%20Juni%202025.xlsx" TargetMode="External"/><Relationship Id="rId1" Type="http://schemas.openxmlformats.org/officeDocument/2006/relationships/externalLinkPath" Target="file:///C:\Users\User\Downloads\06.%20PT%20INL%20Monthly%20Storage%20Tangki%20PT.%20INL%20%20Jun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6.%20PT%20INL%20Monthly%20Storage%20Tangki%20PT.%20INL%20%20Juni%202025%20(4).xlsx" TargetMode="External"/><Relationship Id="rId1" Type="http://schemas.openxmlformats.org/officeDocument/2006/relationships/externalLinkPath" Target="file:///C:\Users\User\Downloads\06.%20PT%20INL%20Monthly%20Storage%20Tangki%20PT.%20INL%20%20Juni%202025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roduction%20Report%202025\New%20folder\06.%20DAILY%20REPORT%20PRODUCTION%20JUNI%202025%20(5).xlsx" TargetMode="External"/><Relationship Id="rId1" Type="http://schemas.openxmlformats.org/officeDocument/2006/relationships/externalLinkPath" Target="file:///E:\Production%20Report%202025\New%20folder\06.%20DAILY%20REPORT%20PRODUCTION%20JUNI%202025%20(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%20(6).xlsx" TargetMode="External"/><Relationship Id="rId1" Type="http://schemas.openxmlformats.org/officeDocument/2006/relationships/externalLinkPath" Target="file:///C:\Users\User\Downloads\02.%20PT%20INL%20Monthly%20Storage%20Tangki%20PT.%20INL%20%20Februari%202025%20(6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poran%20produksi\laporan%20produksi%202025\02.%20DAILY%20REPORT%20PRODUCTION%20FEBRUARI%202025...xlsx" TargetMode="External"/><Relationship Id="rId1" Type="http://schemas.openxmlformats.org/officeDocument/2006/relationships/externalLinkPath" Target="file:///C:\Users\User\Downloads\02.%20DAILY%20REPORT%20PRODUCTION%20FEBRUARI%202025..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poran%20produksi\laporan%20produksi%202025\02.%20DAILY%20REPORT%20PRODUCTION%20MARET%202025...%20-%20.xlsx" TargetMode="External"/><Relationship Id="rId1" Type="http://schemas.openxmlformats.org/officeDocument/2006/relationships/externalLinkPath" Target="file:///C:\Users\User\Downloads\02.%20DAILY%20REPORT%20PRODUCTION%20MARET%202025...%20-%20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 (stock opname)"/>
      <sheetName val="02"/>
      <sheetName val="03"/>
      <sheetName val="04"/>
      <sheetName val="05"/>
      <sheetName val="06"/>
      <sheetName val="07"/>
      <sheetName val="08"/>
      <sheetName val="09"/>
      <sheetName val="MTD"/>
    </sheetNames>
    <sheetDataSet>
      <sheetData sheetId="0">
        <row r="15">
          <cell r="Q15">
            <v>0</v>
          </cell>
          <cell r="R15">
            <v>0</v>
          </cell>
        </row>
      </sheetData>
      <sheetData sheetId="1">
        <row r="15">
          <cell r="Q15">
            <v>393366</v>
          </cell>
          <cell r="R15">
            <v>0</v>
          </cell>
        </row>
      </sheetData>
      <sheetData sheetId="2">
        <row r="15">
          <cell r="Q15">
            <v>1185533</v>
          </cell>
        </row>
      </sheetData>
      <sheetData sheetId="3">
        <row r="15">
          <cell r="R15">
            <v>0</v>
          </cell>
        </row>
      </sheetData>
      <sheetData sheetId="4">
        <row r="15">
          <cell r="R15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 (stock opname)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3 (Rev)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TD"/>
    </sheetNames>
    <sheetDataSet>
      <sheetData sheetId="0"/>
      <sheetData sheetId="1"/>
      <sheetData sheetId="2"/>
      <sheetData sheetId="3">
        <row r="15">
          <cell r="Q15">
            <v>0</v>
          </cell>
        </row>
      </sheetData>
      <sheetData sheetId="4">
        <row r="15">
          <cell r="Q15">
            <v>445557</v>
          </cell>
        </row>
      </sheetData>
      <sheetData sheetId="5">
        <row r="15">
          <cell r="Q15">
            <v>0</v>
          </cell>
        </row>
      </sheetData>
      <sheetData sheetId="6">
        <row r="15">
          <cell r="Q15">
            <v>0</v>
          </cell>
        </row>
      </sheetData>
      <sheetData sheetId="7">
        <row r="15">
          <cell r="Q15">
            <v>0</v>
          </cell>
        </row>
      </sheetData>
      <sheetData sheetId="8">
        <row r="15">
          <cell r="Q15">
            <v>0</v>
          </cell>
        </row>
      </sheetData>
      <sheetData sheetId="9">
        <row r="15">
          <cell r="Q15">
            <v>0</v>
          </cell>
        </row>
      </sheetData>
      <sheetData sheetId="10">
        <row r="15">
          <cell r="Q15">
            <v>224431</v>
          </cell>
        </row>
      </sheetData>
      <sheetData sheetId="11">
        <row r="15">
          <cell r="Q15">
            <v>0</v>
          </cell>
        </row>
      </sheetData>
      <sheetData sheetId="12"/>
      <sheetData sheetId="13">
        <row r="15">
          <cell r="Q15">
            <v>0</v>
          </cell>
        </row>
      </sheetData>
      <sheetData sheetId="14">
        <row r="15">
          <cell r="Q15">
            <v>208963</v>
          </cell>
        </row>
      </sheetData>
      <sheetData sheetId="15">
        <row r="15">
          <cell r="Q15">
            <v>0</v>
          </cell>
        </row>
      </sheetData>
      <sheetData sheetId="16">
        <row r="15">
          <cell r="Q15">
            <v>0</v>
          </cell>
        </row>
      </sheetData>
      <sheetData sheetId="17">
        <row r="15">
          <cell r="Q15">
            <v>516088</v>
          </cell>
        </row>
      </sheetData>
      <sheetData sheetId="18">
        <row r="15">
          <cell r="Q15">
            <v>0</v>
          </cell>
        </row>
      </sheetData>
      <sheetData sheetId="19">
        <row r="15">
          <cell r="Q15">
            <v>0</v>
          </cell>
        </row>
      </sheetData>
      <sheetData sheetId="20">
        <row r="15">
          <cell r="Q15">
            <v>218854</v>
          </cell>
        </row>
      </sheetData>
      <sheetData sheetId="21">
        <row r="15">
          <cell r="Q15">
            <v>671086</v>
          </cell>
        </row>
      </sheetData>
      <sheetData sheetId="22">
        <row r="15">
          <cell r="Q15">
            <v>0</v>
          </cell>
        </row>
      </sheetData>
      <sheetData sheetId="23">
        <row r="15">
          <cell r="Q15">
            <v>132192</v>
          </cell>
        </row>
      </sheetData>
      <sheetData sheetId="24">
        <row r="15">
          <cell r="Q15">
            <v>210307</v>
          </cell>
        </row>
      </sheetData>
      <sheetData sheetId="25">
        <row r="15">
          <cell r="Q15">
            <v>277054</v>
          </cell>
        </row>
      </sheetData>
      <sheetData sheetId="26">
        <row r="15">
          <cell r="Q15">
            <v>161951</v>
          </cell>
        </row>
      </sheetData>
      <sheetData sheetId="27">
        <row r="15">
          <cell r="Q15">
            <v>0</v>
          </cell>
        </row>
      </sheetData>
      <sheetData sheetId="28">
        <row r="15">
          <cell r="Q15">
            <v>501448</v>
          </cell>
        </row>
      </sheetData>
      <sheetData sheetId="29">
        <row r="15">
          <cell r="Q15">
            <v>0</v>
          </cell>
        </row>
      </sheetData>
      <sheetData sheetId="30">
        <row r="15">
          <cell r="Q15">
            <v>1020823</v>
          </cell>
        </row>
      </sheetData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">
          <cell r="L13">
            <v>311880</v>
          </cell>
        </row>
      </sheetData>
      <sheetData sheetId="9">
        <row r="13">
          <cell r="T13"/>
          <cell r="V13"/>
        </row>
        <row r="14">
          <cell r="T14">
            <v>34865</v>
          </cell>
          <cell r="V14">
            <v>52290</v>
          </cell>
        </row>
        <row r="15">
          <cell r="T15">
            <v>195375</v>
          </cell>
          <cell r="V15">
            <v>53075</v>
          </cell>
        </row>
        <row r="17">
          <cell r="T17">
            <v>207866</v>
          </cell>
          <cell r="V17">
            <v>75063</v>
          </cell>
        </row>
        <row r="18">
          <cell r="T18">
            <v>175767</v>
          </cell>
          <cell r="V18">
            <v>97032</v>
          </cell>
        </row>
        <row r="19">
          <cell r="T19">
            <v>200007</v>
          </cell>
          <cell r="V19">
            <v>115080</v>
          </cell>
        </row>
        <row r="20">
          <cell r="T20">
            <v>158440</v>
          </cell>
          <cell r="V20">
            <v>130221</v>
          </cell>
        </row>
        <row r="21">
          <cell r="T21">
            <v>59863</v>
          </cell>
          <cell r="V21">
            <v>148827</v>
          </cell>
        </row>
        <row r="22">
          <cell r="T22">
            <v>34480</v>
          </cell>
          <cell r="V22">
            <v>165316</v>
          </cell>
        </row>
        <row r="23">
          <cell r="T23">
            <v>34859</v>
          </cell>
          <cell r="V23">
            <v>78396</v>
          </cell>
        </row>
        <row r="24">
          <cell r="V24">
            <v>272307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Rev"/>
      <sheetName val="16"/>
      <sheetName val="16 Rev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M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8">
          <cell r="R18">
            <v>0</v>
          </cell>
        </row>
      </sheetData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UARI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>
        <row r="6">
          <cell r="AK6">
            <v>13</v>
          </cell>
        </row>
        <row r="9">
          <cell r="AK9">
            <v>16619582</v>
          </cell>
        </row>
        <row r="13">
          <cell r="AK13">
            <v>3.5869230769230778</v>
          </cell>
        </row>
        <row r="14">
          <cell r="AK14">
            <v>0.36807692307692308</v>
          </cell>
        </row>
        <row r="19">
          <cell r="AK19">
            <v>15720849</v>
          </cell>
        </row>
        <row r="20">
          <cell r="AK20">
            <v>769266</v>
          </cell>
        </row>
        <row r="22">
          <cell r="AK22">
            <v>14</v>
          </cell>
        </row>
        <row r="24">
          <cell r="AK24">
            <v>14060204</v>
          </cell>
        </row>
        <row r="28">
          <cell r="AK28">
            <v>13935326</v>
          </cell>
        </row>
        <row r="32">
          <cell r="AK32">
            <v>170017</v>
          </cell>
        </row>
        <row r="33">
          <cell r="AK33">
            <v>41000</v>
          </cell>
        </row>
        <row r="45">
          <cell r="AK45">
            <v>10107561</v>
          </cell>
        </row>
        <row r="46">
          <cell r="AK46">
            <v>3478215</v>
          </cell>
        </row>
        <row r="55">
          <cell r="AK55">
            <v>85453</v>
          </cell>
        </row>
        <row r="56">
          <cell r="AK56">
            <v>53080</v>
          </cell>
        </row>
        <row r="59">
          <cell r="AK59">
            <v>94.592324885186642</v>
          </cell>
        </row>
        <row r="60">
          <cell r="AK60">
            <v>4.6286723697383003</v>
          </cell>
        </row>
        <row r="61">
          <cell r="AK61">
            <v>80.570285806356836</v>
          </cell>
        </row>
        <row r="62">
          <cell r="AK62">
            <v>19.429714193643164</v>
          </cell>
        </row>
        <row r="67">
          <cell r="AK67">
            <v>74.398113144217888</v>
          </cell>
        </row>
        <row r="68">
          <cell r="AK68">
            <v>25.601886855782109</v>
          </cell>
        </row>
        <row r="71">
          <cell r="AK71">
            <v>61.7376980485937</v>
          </cell>
        </row>
        <row r="72">
          <cell r="AK72">
            <v>38.34899901020858</v>
          </cell>
        </row>
        <row r="74">
          <cell r="AK74">
            <v>134694</v>
          </cell>
        </row>
        <row r="75">
          <cell r="AK75">
            <v>0.8104535962456817</v>
          </cell>
        </row>
        <row r="82">
          <cell r="AK82">
            <v>16720.539999999997</v>
          </cell>
        </row>
        <row r="84">
          <cell r="AK84">
            <v>-0.77900274507505674</v>
          </cell>
        </row>
        <row r="86">
          <cell r="AK86">
            <v>19.381666666666668</v>
          </cell>
        </row>
        <row r="87">
          <cell r="AK87">
            <v>136702.14939230768</v>
          </cell>
        </row>
        <row r="238">
          <cell r="AK238">
            <v>13929.277599999999</v>
          </cell>
        </row>
        <row r="240">
          <cell r="AK240">
            <v>12121.8968</v>
          </cell>
        </row>
        <row r="242">
          <cell r="AK242">
            <v>100623.41</v>
          </cell>
        </row>
        <row r="245">
          <cell r="AK245">
            <v>13929.277600000001</v>
          </cell>
        </row>
        <row r="247">
          <cell r="AK247">
            <v>990381.245</v>
          </cell>
        </row>
        <row r="249">
          <cell r="AK249">
            <v>836.87</v>
          </cell>
        </row>
        <row r="251">
          <cell r="AK251">
            <v>173581.89199999999</v>
          </cell>
        </row>
        <row r="253">
          <cell r="AK253">
            <v>815962.48300000012</v>
          </cell>
        </row>
        <row r="255">
          <cell r="AK255">
            <v>990381.245</v>
          </cell>
        </row>
        <row r="257">
          <cell r="AK257">
            <v>12166</v>
          </cell>
        </row>
        <row r="259">
          <cell r="AK259">
            <v>1430</v>
          </cell>
        </row>
        <row r="261">
          <cell r="AK261">
            <v>895</v>
          </cell>
        </row>
        <row r="263">
          <cell r="AK263">
            <v>4089</v>
          </cell>
        </row>
        <row r="264">
          <cell r="AK264">
            <v>5752</v>
          </cell>
        </row>
        <row r="265">
          <cell r="AK265">
            <v>1967</v>
          </cell>
        </row>
        <row r="269">
          <cell r="AK269">
            <v>496.29999999999995</v>
          </cell>
        </row>
        <row r="272">
          <cell r="AK272">
            <v>158148.79999999999</v>
          </cell>
        </row>
        <row r="274">
          <cell r="AK274">
            <v>129287.00000000001</v>
          </cell>
        </row>
        <row r="277">
          <cell r="AK277">
            <v>108720</v>
          </cell>
        </row>
        <row r="279">
          <cell r="AK279">
            <v>76079.8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>
        <row r="9">
          <cell r="AL9">
            <v>11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</sheetData>
      <sheetData sheetId="4" refreshError="1"/>
      <sheetData sheetId="5" refreshError="1">
        <row r="9">
          <cell r="AL9">
            <v>5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ET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>
        <row r="9">
          <cell r="AK9">
            <v>3507088</v>
          </cell>
        </row>
        <row r="19">
          <cell r="AK19">
            <v>2972524</v>
          </cell>
        </row>
        <row r="20">
          <cell r="AK20">
            <v>140341</v>
          </cell>
        </row>
        <row r="24">
          <cell r="AK24">
            <v>4329104</v>
          </cell>
        </row>
        <row r="31">
          <cell r="AK31">
            <v>3843596</v>
          </cell>
        </row>
        <row r="32">
          <cell r="AK32">
            <v>3182683</v>
          </cell>
        </row>
        <row r="33">
          <cell r="AK33">
            <v>660913</v>
          </cell>
        </row>
        <row r="59">
          <cell r="AK59">
            <v>84.757610872609973</v>
          </cell>
        </row>
        <row r="60">
          <cell r="AK60">
            <v>4.0016389665728376</v>
          </cell>
        </row>
        <row r="61">
          <cell r="AK61">
            <v>82.80482652183008</v>
          </cell>
        </row>
        <row r="62">
          <cell r="AK62">
            <v>17.195173478169924</v>
          </cell>
        </row>
        <row r="74">
          <cell r="AK74">
            <v>29720</v>
          </cell>
        </row>
        <row r="75">
          <cell r="AK75">
            <v>0.84742669702043394</v>
          </cell>
        </row>
        <row r="82">
          <cell r="AK82">
            <v>1701.44</v>
          </cell>
        </row>
        <row r="83">
          <cell r="AK83">
            <v>0.48514322993891229</v>
          </cell>
        </row>
        <row r="84">
          <cell r="AK84">
            <v>-11.24075016081718</v>
          </cell>
        </row>
        <row r="86">
          <cell r="AK86">
            <v>13.4725</v>
          </cell>
        </row>
        <row r="87">
          <cell r="AK87">
            <v>31054.675666666666</v>
          </cell>
        </row>
        <row r="238">
          <cell r="AK238">
            <v>3253.0589999999997</v>
          </cell>
        </row>
        <row r="240">
          <cell r="AK240">
            <v>2420.2727999999997</v>
          </cell>
        </row>
        <row r="242">
          <cell r="AK242">
            <v>1579.7199999999998</v>
          </cell>
        </row>
        <row r="247">
          <cell r="AK247">
            <v>537.64499999999998</v>
          </cell>
        </row>
        <row r="249">
          <cell r="AK249">
            <v>200.51</v>
          </cell>
        </row>
        <row r="251">
          <cell r="AK251">
            <v>127.407</v>
          </cell>
        </row>
        <row r="253">
          <cell r="AK253">
            <v>209.72800000000001</v>
          </cell>
        </row>
        <row r="255">
          <cell r="AK255">
            <v>537.64499999999998</v>
          </cell>
        </row>
        <row r="257">
          <cell r="AK257">
            <v>3462</v>
          </cell>
        </row>
        <row r="259">
          <cell r="AK259">
            <v>308</v>
          </cell>
        </row>
        <row r="261">
          <cell r="AK261">
            <v>218</v>
          </cell>
        </row>
        <row r="263">
          <cell r="AK263">
            <v>1072</v>
          </cell>
        </row>
        <row r="264">
          <cell r="AK264">
            <v>1864</v>
          </cell>
        </row>
        <row r="265">
          <cell r="AK265">
            <v>434</v>
          </cell>
        </row>
        <row r="269">
          <cell r="AK269">
            <v>114.8</v>
          </cell>
        </row>
        <row r="272">
          <cell r="AK272">
            <v>23943.4</v>
          </cell>
        </row>
        <row r="274">
          <cell r="AK274">
            <v>28307.8</v>
          </cell>
        </row>
        <row r="277">
          <cell r="AK277">
            <v>2889.6</v>
          </cell>
        </row>
        <row r="279">
          <cell r="AK279">
            <v>18452.600000000002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TZ310"/>
  <sheetViews>
    <sheetView tabSelected="1" view="pageBreakPreview" zoomScale="80" zoomScaleNormal="90" zoomScaleSheetLayoutView="80" workbookViewId="0">
      <pane xSplit="6" ySplit="3" topLeftCell="AH244" activePane="bottomRight" state="frozen"/>
      <selection pane="topRight" activeCell="G1" sqref="G1"/>
      <selection pane="bottomLeft" activeCell="A4" sqref="A4"/>
      <selection pane="bottomRight" activeCell="AH276" sqref="AH276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2.42578125" style="1" customWidth="1"/>
    <col min="18" max="19" width="13.5703125" style="1" customWidth="1"/>
    <col min="20" max="25" width="14.5703125" style="1" customWidth="1"/>
    <col min="26" max="29" width="13.5703125" style="1" customWidth="1"/>
    <col min="30" max="31" width="14.5703125" style="1" customWidth="1"/>
    <col min="32" max="36" width="13.5703125" style="1" customWidth="1"/>
    <col min="37" max="37" width="3.5703125" style="1" customWidth="1"/>
    <col min="38" max="38" width="23.5703125" style="1" bestFit="1" customWidth="1"/>
    <col min="39" max="39" width="8.42578125" style="1" customWidth="1"/>
    <col min="40" max="40" width="19.28515625" style="1" hidden="1" customWidth="1"/>
    <col min="41" max="41" width="20.7109375" style="1" hidden="1" customWidth="1"/>
    <col min="42" max="42" width="15.42578125" style="1" hidden="1" customWidth="1"/>
    <col min="43" max="43" width="21.7109375" style="1" hidden="1" customWidth="1"/>
    <col min="44" max="44" width="20.28515625" style="1" hidden="1" customWidth="1"/>
    <col min="45" max="45" width="18.28515625" style="1" hidden="1" customWidth="1"/>
    <col min="46" max="46" width="12.5703125" style="1" customWidth="1"/>
    <col min="47" max="47" width="14.42578125" style="1" customWidth="1"/>
    <col min="48" max="48" width="13.5703125" style="1" customWidth="1"/>
    <col min="49" max="59" width="9" style="1"/>
    <col min="60" max="60" width="9.5703125" style="141" customWidth="1"/>
    <col min="61" max="61" width="12.42578125" style="1" customWidth="1"/>
    <col min="62" max="15025" width="9" style="1"/>
    <col min="15026" max="16384" width="9" style="46"/>
  </cols>
  <sheetData>
    <row r="1" spans="3:60" ht="45" customHeight="1" thickBot="1" x14ac:dyDescent="0.3">
      <c r="C1" s="2178" t="s">
        <v>908</v>
      </c>
      <c r="D1" s="2178"/>
      <c r="E1" s="2178"/>
      <c r="F1" s="2178"/>
      <c r="G1" s="2178"/>
      <c r="H1" s="2178"/>
      <c r="I1" s="2178"/>
      <c r="J1" s="2178"/>
      <c r="K1" s="2178"/>
      <c r="L1" s="2178"/>
      <c r="M1" s="2178"/>
      <c r="N1" s="2178"/>
      <c r="O1" s="2178"/>
      <c r="P1" s="2178"/>
      <c r="Q1" s="2178"/>
      <c r="R1" s="2178"/>
      <c r="S1" s="2178"/>
      <c r="T1" s="2178"/>
      <c r="U1" s="2178"/>
      <c r="V1" s="2178"/>
      <c r="W1" s="2178"/>
      <c r="X1" s="2178"/>
      <c r="Y1" s="2178"/>
      <c r="Z1" s="2178"/>
      <c r="AA1" s="2178"/>
      <c r="AB1" s="2178"/>
      <c r="AC1" s="2178"/>
      <c r="AD1" s="2178"/>
      <c r="AE1" s="2178"/>
      <c r="AF1" s="2178"/>
      <c r="AG1" s="2178"/>
      <c r="AH1" s="2178"/>
      <c r="AI1" s="2178"/>
      <c r="AJ1" s="2178"/>
      <c r="AK1" s="2178"/>
      <c r="AL1" s="2178"/>
    </row>
    <row r="2" spans="3:60" ht="30" customHeight="1" x14ac:dyDescent="0.25">
      <c r="C2" s="2182" t="s">
        <v>99</v>
      </c>
      <c r="D2" s="2184" t="s">
        <v>100</v>
      </c>
      <c r="E2" s="2186" t="s">
        <v>101</v>
      </c>
      <c r="F2" s="2188" t="s">
        <v>102</v>
      </c>
      <c r="G2" s="2179" t="s">
        <v>1067</v>
      </c>
      <c r="H2" s="2180"/>
      <c r="I2" s="2180"/>
      <c r="J2" s="2180"/>
      <c r="K2" s="2180"/>
      <c r="L2" s="2180"/>
      <c r="M2" s="2180"/>
      <c r="N2" s="2180"/>
      <c r="O2" s="2180"/>
      <c r="P2" s="2180"/>
      <c r="Q2" s="2180"/>
      <c r="R2" s="2180"/>
      <c r="S2" s="2180"/>
      <c r="T2" s="2180"/>
      <c r="U2" s="2180"/>
      <c r="V2" s="2180"/>
      <c r="W2" s="2180"/>
      <c r="X2" s="2180"/>
      <c r="Y2" s="2180"/>
      <c r="Z2" s="2180"/>
      <c r="AA2" s="2180"/>
      <c r="AB2" s="2180"/>
      <c r="AC2" s="2180"/>
      <c r="AD2" s="2180"/>
      <c r="AE2" s="2180"/>
      <c r="AF2" s="2180"/>
      <c r="AG2" s="2180"/>
      <c r="AH2" s="2180"/>
      <c r="AI2" s="2180"/>
      <c r="AJ2" s="2181"/>
      <c r="AL2" s="2190" t="s">
        <v>296</v>
      </c>
    </row>
    <row r="3" spans="3:60" x14ac:dyDescent="0.25">
      <c r="C3" s="2183"/>
      <c r="D3" s="2185"/>
      <c r="E3" s="2187"/>
      <c r="F3" s="2189"/>
      <c r="G3" s="364">
        <v>1</v>
      </c>
      <c r="H3" s="364">
        <v>2</v>
      </c>
      <c r="I3" s="364">
        <v>3</v>
      </c>
      <c r="J3" s="364">
        <v>4</v>
      </c>
      <c r="K3" s="364">
        <v>5</v>
      </c>
      <c r="L3" s="364">
        <v>6</v>
      </c>
      <c r="M3" s="364">
        <v>7</v>
      </c>
      <c r="N3" s="364">
        <v>8</v>
      </c>
      <c r="O3" s="364">
        <v>9</v>
      </c>
      <c r="P3" s="364">
        <v>10</v>
      </c>
      <c r="Q3" s="364">
        <v>11</v>
      </c>
      <c r="R3" s="364">
        <v>12</v>
      </c>
      <c r="S3" s="364">
        <v>13</v>
      </c>
      <c r="T3" s="364">
        <v>14</v>
      </c>
      <c r="U3" s="364">
        <v>15</v>
      </c>
      <c r="V3" s="364">
        <v>16</v>
      </c>
      <c r="W3" s="364">
        <v>17</v>
      </c>
      <c r="X3" s="364">
        <v>18</v>
      </c>
      <c r="Y3" s="364">
        <v>19</v>
      </c>
      <c r="Z3" s="364">
        <v>20</v>
      </c>
      <c r="AA3" s="364">
        <v>21</v>
      </c>
      <c r="AB3" s="364">
        <v>22</v>
      </c>
      <c r="AC3" s="364">
        <v>23</v>
      </c>
      <c r="AD3" s="364">
        <v>24</v>
      </c>
      <c r="AE3" s="364">
        <v>25</v>
      </c>
      <c r="AF3" s="364">
        <v>26</v>
      </c>
      <c r="AG3" s="364">
        <v>27</v>
      </c>
      <c r="AH3" s="364">
        <v>28</v>
      </c>
      <c r="AI3" s="364">
        <v>29</v>
      </c>
      <c r="AJ3" s="364">
        <v>30</v>
      </c>
      <c r="AL3" s="2191"/>
    </row>
    <row r="4" spans="3:60" x14ac:dyDescent="0.25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2007"/>
      <c r="AK4" s="3"/>
      <c r="AL4" s="2016" t="s">
        <v>127</v>
      </c>
      <c r="AN4" s="2150" t="s">
        <v>1133</v>
      </c>
      <c r="AO4" s="2151"/>
      <c r="AP4" s="2151"/>
      <c r="AQ4" s="2151"/>
      <c r="AR4" s="2151"/>
      <c r="AS4" s="2151"/>
    </row>
    <row r="5" spans="3:60" x14ac:dyDescent="0.25">
      <c r="C5" s="8"/>
      <c r="D5" s="9" t="s">
        <v>16</v>
      </c>
      <c r="E5" s="250"/>
      <c r="F5" s="10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3"/>
      <c r="AL5" s="52" t="s">
        <v>16</v>
      </c>
      <c r="AN5" s="2151" t="s">
        <v>1134</v>
      </c>
      <c r="AO5" s="2152">
        <f>AL9</f>
        <v>17813187</v>
      </c>
      <c r="AP5" s="2151"/>
      <c r="AQ5" s="2151" t="s">
        <v>1135</v>
      </c>
      <c r="AR5" s="2151"/>
      <c r="AS5" s="2151"/>
    </row>
    <row r="6" spans="3:60" x14ac:dyDescent="0.25">
      <c r="C6" s="8"/>
      <c r="D6" s="11" t="s">
        <v>84</v>
      </c>
      <c r="E6" s="251"/>
      <c r="F6" s="12" t="s">
        <v>83</v>
      </c>
      <c r="G6" s="33"/>
      <c r="H6" s="33"/>
      <c r="I6" s="33"/>
      <c r="J6" s="33"/>
      <c r="K6" s="33"/>
      <c r="L6" s="33"/>
      <c r="M6" s="1818"/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1963">
        <v>1</v>
      </c>
      <c r="T6" s="33">
        <v>1</v>
      </c>
      <c r="U6" s="33">
        <v>1</v>
      </c>
      <c r="V6" s="33">
        <v>1</v>
      </c>
      <c r="W6" s="33">
        <v>1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"/>
      <c r="AL6" s="54">
        <f>SUM(G6:AJ6)</f>
        <v>10</v>
      </c>
      <c r="AN6" s="2151" t="s">
        <v>1136</v>
      </c>
      <c r="AO6" s="2152">
        <f>AL20+AL19+AL18</f>
        <v>16884686</v>
      </c>
      <c r="AP6" s="2151"/>
      <c r="AQ6" s="2153" t="s">
        <v>1137</v>
      </c>
      <c r="AR6" s="2152">
        <v>80236</v>
      </c>
      <c r="AS6" s="2151"/>
    </row>
    <row r="7" spans="3:60" x14ac:dyDescent="0.25">
      <c r="C7" s="8"/>
      <c r="D7" s="71" t="s">
        <v>125</v>
      </c>
      <c r="E7" s="251"/>
      <c r="F7" s="72" t="s">
        <v>14</v>
      </c>
      <c r="G7" s="270">
        <f>'[1]01 (stock opname)'!$Q$15</f>
        <v>0</v>
      </c>
      <c r="H7" s="270">
        <f>'[1]02'!$Q$15</f>
        <v>393366</v>
      </c>
      <c r="I7" s="270">
        <f>'[1]03'!$Q$15</f>
        <v>1185533</v>
      </c>
      <c r="J7" s="270">
        <f>'[2]04'!$Q$15</f>
        <v>0</v>
      </c>
      <c r="K7" s="270">
        <f>'[2]05'!$Q$15</f>
        <v>445557</v>
      </c>
      <c r="L7" s="270">
        <f>'[2]06'!$Q$15</f>
        <v>0</v>
      </c>
      <c r="M7" s="270">
        <f>'[2]07'!$Q$15</f>
        <v>0</v>
      </c>
      <c r="N7" s="270">
        <f>'[2]08'!$Q$15</f>
        <v>0</v>
      </c>
      <c r="O7" s="270">
        <f>'[2]09'!$Q$15</f>
        <v>0</v>
      </c>
      <c r="P7" s="270">
        <f>'[2]10'!$Q$15</f>
        <v>0</v>
      </c>
      <c r="Q7" s="270">
        <f>'[2]11'!$Q$15</f>
        <v>224431</v>
      </c>
      <c r="R7" s="270">
        <f>'[2]12'!$Q$15</f>
        <v>0</v>
      </c>
      <c r="S7" s="1967">
        <f>'[2]13 (Rev)'!$Q$15</f>
        <v>0</v>
      </c>
      <c r="T7" s="270">
        <f>'[2]14'!$Q$15</f>
        <v>208963</v>
      </c>
      <c r="U7" s="270">
        <f>'[2]15'!$Q$15</f>
        <v>0</v>
      </c>
      <c r="V7" s="270">
        <f>'[2]16'!$Q$15</f>
        <v>0</v>
      </c>
      <c r="W7" s="270">
        <f>'[2]17'!$Q$15</f>
        <v>516088</v>
      </c>
      <c r="X7" s="270">
        <f>'[2]18'!$Q$15</f>
        <v>0</v>
      </c>
      <c r="Y7" s="270">
        <f>'[2]19'!$Q$15</f>
        <v>0</v>
      </c>
      <c r="Z7" s="270">
        <f>'[2]20'!$Q$15</f>
        <v>218854</v>
      </c>
      <c r="AA7" s="270">
        <f>'[2]21'!$Q$15</f>
        <v>671086</v>
      </c>
      <c r="AB7" s="270">
        <f>'[2]22'!$Q$15</f>
        <v>0</v>
      </c>
      <c r="AC7" s="270">
        <f>'[2]23'!$Q$15</f>
        <v>132192</v>
      </c>
      <c r="AD7" s="270">
        <f>'[2]24'!$Q$15</f>
        <v>210307</v>
      </c>
      <c r="AE7" s="270">
        <f>'[2]25'!$Q$15</f>
        <v>277054</v>
      </c>
      <c r="AF7" s="270">
        <f>'[2]26'!$Q$15</f>
        <v>161951</v>
      </c>
      <c r="AG7" s="270">
        <f>'[2]27'!$Q$15</f>
        <v>0</v>
      </c>
      <c r="AH7" s="270">
        <f>'[2]28'!$Q$15</f>
        <v>501448</v>
      </c>
      <c r="AI7" s="270">
        <f>'[2]29'!$Q$15</f>
        <v>0</v>
      </c>
      <c r="AJ7" s="270">
        <f>'[2]30'!$Q$15</f>
        <v>1020823</v>
      </c>
      <c r="AK7" s="3"/>
      <c r="AL7" s="57">
        <f>SUM(G7:AJ7)</f>
        <v>6167653</v>
      </c>
      <c r="AN7" s="2154" t="s">
        <v>1138</v>
      </c>
      <c r="AO7" s="2155">
        <f>AL21</f>
        <v>866309</v>
      </c>
      <c r="AP7" s="2154"/>
      <c r="AQ7" s="2156" t="s">
        <v>1139</v>
      </c>
      <c r="AR7" s="2152">
        <v>70298</v>
      </c>
      <c r="AS7" s="2151"/>
    </row>
    <row r="8" spans="3:60" x14ac:dyDescent="0.25">
      <c r="C8" s="8"/>
      <c r="D8" s="11" t="s">
        <v>1062</v>
      </c>
      <c r="E8" s="251"/>
      <c r="F8" s="13" t="s">
        <v>25</v>
      </c>
      <c r="G8" s="1756">
        <f t="shared" ref="G8:V8" si="0">G9/2500000</f>
        <v>0</v>
      </c>
      <c r="H8" s="1756">
        <f t="shared" si="0"/>
        <v>0</v>
      </c>
      <c r="I8" s="1756">
        <f t="shared" si="0"/>
        <v>0</v>
      </c>
      <c r="J8" s="1756">
        <f t="shared" si="0"/>
        <v>0</v>
      </c>
      <c r="K8" s="1756">
        <f t="shared" si="0"/>
        <v>0</v>
      </c>
      <c r="L8" s="1756">
        <f t="shared" si="0"/>
        <v>0</v>
      </c>
      <c r="M8" s="1756">
        <v>0</v>
      </c>
      <c r="N8" s="1756">
        <f t="shared" si="0"/>
        <v>0.29554320000000001</v>
      </c>
      <c r="O8" s="1756">
        <f t="shared" si="0"/>
        <v>0.8925324</v>
      </c>
      <c r="P8" s="1756">
        <f t="shared" si="0"/>
        <v>0.87463999999999997</v>
      </c>
      <c r="Q8" s="1756">
        <f t="shared" si="0"/>
        <v>1.0053403999999999</v>
      </c>
      <c r="R8" s="1756">
        <f t="shared" si="0"/>
        <v>0.91986800000000002</v>
      </c>
      <c r="S8" s="1756">
        <f t="shared" si="0"/>
        <v>0.79517320000000002</v>
      </c>
      <c r="T8" s="1756">
        <f t="shared" si="0"/>
        <v>0.64044880000000004</v>
      </c>
      <c r="U8" s="1756">
        <f t="shared" si="0"/>
        <v>0.80407960000000001</v>
      </c>
      <c r="V8" s="1756">
        <f t="shared" si="0"/>
        <v>0.76896560000000003</v>
      </c>
      <c r="W8" s="1756">
        <f>W9/2500000</f>
        <v>0.12868360000000001</v>
      </c>
      <c r="X8" s="1756">
        <v>0</v>
      </c>
      <c r="Y8" s="1756">
        <f t="shared" ref="Y8:AJ8" si="1">Y9/2500000</f>
        <v>0</v>
      </c>
      <c r="Z8" s="1756">
        <f t="shared" si="1"/>
        <v>0</v>
      </c>
      <c r="AA8" s="1756">
        <f t="shared" si="1"/>
        <v>0</v>
      </c>
      <c r="AB8" s="1756">
        <f t="shared" si="1"/>
        <v>0</v>
      </c>
      <c r="AC8" s="1756">
        <f t="shared" si="1"/>
        <v>0</v>
      </c>
      <c r="AD8" s="1756">
        <f t="shared" si="1"/>
        <v>0</v>
      </c>
      <c r="AE8" s="1756">
        <f t="shared" si="1"/>
        <v>0</v>
      </c>
      <c r="AF8" s="1756">
        <f t="shared" si="1"/>
        <v>0</v>
      </c>
      <c r="AG8" s="1756">
        <f t="shared" si="1"/>
        <v>0</v>
      </c>
      <c r="AH8" s="1756">
        <f t="shared" si="1"/>
        <v>0</v>
      </c>
      <c r="AI8" s="1756">
        <f t="shared" si="1"/>
        <v>0</v>
      </c>
      <c r="AJ8" s="1756">
        <f t="shared" si="1"/>
        <v>0</v>
      </c>
      <c r="AK8" s="3"/>
      <c r="AL8" s="1792">
        <f>AL9/2500000/AL6</f>
        <v>0.71252747999999999</v>
      </c>
      <c r="AN8" s="2151" t="s">
        <v>1140</v>
      </c>
      <c r="AO8" s="2157">
        <f>AO6/AO5*100</f>
        <v>94.78756384244997</v>
      </c>
      <c r="AP8" s="2151"/>
      <c r="AQ8" s="2158" t="s">
        <v>1141</v>
      </c>
      <c r="AR8" s="2152">
        <f>AR6+AR7</f>
        <v>150534</v>
      </c>
      <c r="AS8" s="2151"/>
    </row>
    <row r="9" spans="3:60" s="16" customFormat="1" ht="76.5" x14ac:dyDescent="0.25">
      <c r="C9" s="711"/>
      <c r="D9" s="71" t="s">
        <v>96</v>
      </c>
      <c r="E9" s="1810">
        <v>58900000</v>
      </c>
      <c r="F9" s="72" t="s">
        <v>14</v>
      </c>
      <c r="G9" s="270">
        <f>'[1]01 (stock opname)'!$R$15</f>
        <v>0</v>
      </c>
      <c r="H9" s="270">
        <f>'[1]02'!$R$15</f>
        <v>0</v>
      </c>
      <c r="I9" s="270">
        <v>0</v>
      </c>
      <c r="J9" s="270">
        <f>[1]MTD!$R$15</f>
        <v>0</v>
      </c>
      <c r="K9" s="270">
        <f>'[1]04'!$R$15</f>
        <v>0</v>
      </c>
      <c r="L9" s="270">
        <f>'[1]05'!$R$15</f>
        <v>0</v>
      </c>
      <c r="M9" s="270">
        <v>0</v>
      </c>
      <c r="N9" s="270">
        <v>738858</v>
      </c>
      <c r="O9" s="270">
        <v>2231331</v>
      </c>
      <c r="P9" s="270">
        <v>2186600</v>
      </c>
      <c r="Q9" s="270">
        <v>2513351</v>
      </c>
      <c r="R9" s="270">
        <v>2299670</v>
      </c>
      <c r="S9" s="1967">
        <v>1987933</v>
      </c>
      <c r="T9" s="1967">
        <v>1601122</v>
      </c>
      <c r="U9" s="1967">
        <v>2010199</v>
      </c>
      <c r="V9" s="1967">
        <v>1922414</v>
      </c>
      <c r="W9" s="1967">
        <v>321709</v>
      </c>
      <c r="X9" s="2159" t="s">
        <v>1142</v>
      </c>
      <c r="Y9" s="1967"/>
      <c r="Z9" s="1967"/>
      <c r="AA9" s="1967"/>
      <c r="AB9" s="1967"/>
      <c r="AC9" s="1967"/>
      <c r="AD9" s="1967"/>
      <c r="AE9" s="1967"/>
      <c r="AF9" s="1967"/>
      <c r="AG9" s="1967"/>
      <c r="AH9" s="1967"/>
      <c r="AI9" s="1967"/>
      <c r="AJ9" s="1967"/>
      <c r="AL9" s="508">
        <f>SUM(G9:AJ9)</f>
        <v>17813187</v>
      </c>
      <c r="AN9" s="2160" t="s">
        <v>1143</v>
      </c>
      <c r="AO9" s="2161">
        <f>AO7/AO5*100</f>
        <v>4.8633015529450176</v>
      </c>
      <c r="AP9" s="2162"/>
      <c r="AQ9" s="2160" t="s">
        <v>1144</v>
      </c>
      <c r="AR9" s="2160">
        <v>307166</v>
      </c>
      <c r="AS9" s="2160"/>
      <c r="BH9" s="148"/>
    </row>
    <row r="10" spans="3:60" s="1" customFormat="1" x14ac:dyDescent="0.25">
      <c r="C10" s="8"/>
      <c r="D10" s="944" t="s">
        <v>377</v>
      </c>
      <c r="E10" s="945"/>
      <c r="F10" s="61"/>
      <c r="G10" s="946"/>
      <c r="H10" s="946"/>
      <c r="I10" s="946"/>
      <c r="J10" s="946"/>
      <c r="K10" s="946"/>
      <c r="L10" s="946"/>
      <c r="M10" s="946"/>
      <c r="N10" s="946"/>
      <c r="O10" s="946"/>
      <c r="P10" s="946"/>
      <c r="Q10" s="946"/>
      <c r="R10" s="946"/>
      <c r="S10" s="1987"/>
      <c r="T10" s="946"/>
      <c r="U10" s="946"/>
      <c r="V10" s="946"/>
      <c r="W10" s="946"/>
      <c r="X10" s="946"/>
      <c r="Y10" s="946"/>
      <c r="Z10" s="946"/>
      <c r="AA10" s="946"/>
      <c r="AB10" s="946"/>
      <c r="AC10" s="946"/>
      <c r="AD10" s="946"/>
      <c r="AE10" s="946"/>
      <c r="AF10" s="946"/>
      <c r="AG10" s="946"/>
      <c r="AH10" s="946"/>
      <c r="AI10" s="946"/>
      <c r="AJ10" s="946"/>
      <c r="AK10" s="62"/>
      <c r="AL10" s="519">
        <f>AL9/AL6</f>
        <v>1781318.7</v>
      </c>
      <c r="AM10" s="474"/>
      <c r="AN10" s="2151" t="s">
        <v>1145</v>
      </c>
      <c r="AO10" s="2157">
        <f>(AO5-AO6-AO7)/AO5*100</f>
        <v>0.34913460460500417</v>
      </c>
      <c r="AP10" s="2151"/>
      <c r="AQ10" s="2151" t="s">
        <v>1146</v>
      </c>
      <c r="AR10" s="2152">
        <f>AR8+AR9</f>
        <v>457700</v>
      </c>
      <c r="AS10" s="2151"/>
      <c r="BH10" s="142"/>
    </row>
    <row r="11" spans="3:60" s="1" customFormat="1" x14ac:dyDescent="0.25">
      <c r="C11" s="8"/>
      <c r="D11" s="21" t="s">
        <v>97</v>
      </c>
      <c r="E11" s="234"/>
      <c r="F11" s="13" t="s">
        <v>14</v>
      </c>
      <c r="G11" s="33">
        <f>G9-G12</f>
        <v>0</v>
      </c>
      <c r="H11" s="33">
        <f>H9-H12</f>
        <v>0</v>
      </c>
      <c r="I11" s="33">
        <f t="shared" ref="I11:AJ11" si="2">I9-I12</f>
        <v>0</v>
      </c>
      <c r="J11" s="33">
        <f t="shared" si="2"/>
        <v>0</v>
      </c>
      <c r="K11" s="33"/>
      <c r="L11" s="33">
        <f t="shared" si="2"/>
        <v>0</v>
      </c>
      <c r="M11" s="33">
        <f t="shared" si="2"/>
        <v>0</v>
      </c>
      <c r="N11" s="33">
        <f t="shared" si="2"/>
        <v>738858</v>
      </c>
      <c r="O11" s="33">
        <f>O9-O12</f>
        <v>2231331</v>
      </c>
      <c r="P11" s="33">
        <f t="shared" si="2"/>
        <v>2186600</v>
      </c>
      <c r="Q11" s="33">
        <f t="shared" si="2"/>
        <v>2513351</v>
      </c>
      <c r="R11" s="33">
        <f>R9-R12</f>
        <v>2299670</v>
      </c>
      <c r="S11" s="33">
        <f t="shared" ref="S11:U11" si="3">S9-S12</f>
        <v>1987933</v>
      </c>
      <c r="T11" s="33">
        <f t="shared" si="3"/>
        <v>1601122</v>
      </c>
      <c r="U11" s="33">
        <f t="shared" si="3"/>
        <v>2010199</v>
      </c>
      <c r="V11" s="33">
        <f t="shared" si="2"/>
        <v>1922414</v>
      </c>
      <c r="W11" s="33">
        <f>W9-W12</f>
        <v>321709</v>
      </c>
      <c r="X11" s="33"/>
      <c r="Y11" s="33">
        <f>Y9-Y12</f>
        <v>0</v>
      </c>
      <c r="Z11" s="33">
        <f t="shared" ref="Z11" si="4">Z9-Z12</f>
        <v>0</v>
      </c>
      <c r="AA11" s="33">
        <f t="shared" si="2"/>
        <v>0</v>
      </c>
      <c r="AB11" s="33">
        <f t="shared" si="2"/>
        <v>0</v>
      </c>
      <c r="AC11" s="33">
        <v>0</v>
      </c>
      <c r="AD11" s="33">
        <f t="shared" si="2"/>
        <v>0</v>
      </c>
      <c r="AE11" s="33">
        <f t="shared" si="2"/>
        <v>0</v>
      </c>
      <c r="AF11" s="33">
        <f t="shared" si="2"/>
        <v>0</v>
      </c>
      <c r="AG11" s="33">
        <f t="shared" si="2"/>
        <v>0</v>
      </c>
      <c r="AH11" s="33">
        <f t="shared" si="2"/>
        <v>0</v>
      </c>
      <c r="AI11" s="33"/>
      <c r="AJ11" s="33">
        <f t="shared" si="2"/>
        <v>0</v>
      </c>
      <c r="AL11" s="54">
        <f>SUM(G11:AJ11)</f>
        <v>17813187</v>
      </c>
      <c r="AN11" s="2151"/>
      <c r="AO11" s="2152"/>
      <c r="AP11" s="2151"/>
      <c r="AQ11" s="2151"/>
      <c r="AR11" s="2152"/>
      <c r="AS11" s="2152"/>
      <c r="BH11" s="142"/>
    </row>
    <row r="12" spans="3:60" s="1" customFormat="1" x14ac:dyDescent="0.25">
      <c r="C12" s="8"/>
      <c r="D12" s="21" t="s">
        <v>98</v>
      </c>
      <c r="E12" s="234"/>
      <c r="F12" s="13" t="s">
        <v>14</v>
      </c>
      <c r="G12" s="33">
        <f>G40+G49+G54</f>
        <v>0</v>
      </c>
      <c r="H12" s="33">
        <f>H40+H49+H54</f>
        <v>0</v>
      </c>
      <c r="I12" s="33">
        <f t="shared" ref="I12:AJ12" si="5">I40+I49+I54</f>
        <v>0</v>
      </c>
      <c r="J12" s="33">
        <f t="shared" si="5"/>
        <v>0</v>
      </c>
      <c r="K12" s="33">
        <v>0</v>
      </c>
      <c r="L12" s="33">
        <f t="shared" si="5"/>
        <v>0</v>
      </c>
      <c r="M12" s="33">
        <f t="shared" si="5"/>
        <v>0</v>
      </c>
      <c r="N12" s="33">
        <f t="shared" si="5"/>
        <v>0</v>
      </c>
      <c r="O12" s="33">
        <f t="shared" si="5"/>
        <v>0</v>
      </c>
      <c r="P12" s="33">
        <f t="shared" si="5"/>
        <v>0</v>
      </c>
      <c r="Q12" s="33"/>
      <c r="R12" s="33">
        <f t="shared" si="5"/>
        <v>0</v>
      </c>
      <c r="S12" s="1963">
        <v>0</v>
      </c>
      <c r="T12" s="33">
        <f t="shared" si="5"/>
        <v>0</v>
      </c>
      <c r="U12" s="33">
        <f t="shared" si="5"/>
        <v>0</v>
      </c>
      <c r="V12" s="33">
        <f t="shared" si="5"/>
        <v>0</v>
      </c>
      <c r="W12" s="33">
        <f t="shared" si="5"/>
        <v>0</v>
      </c>
      <c r="X12" s="33">
        <v>0</v>
      </c>
      <c r="Y12" s="33">
        <f t="shared" ref="Y12:Z12" si="6">Y40+Y49+Y54</f>
        <v>0</v>
      </c>
      <c r="Z12" s="33">
        <f t="shared" si="6"/>
        <v>0</v>
      </c>
      <c r="AA12" s="33">
        <f t="shared" si="5"/>
        <v>0</v>
      </c>
      <c r="AB12" s="33">
        <f t="shared" si="5"/>
        <v>0</v>
      </c>
      <c r="AC12" s="33">
        <v>0</v>
      </c>
      <c r="AD12" s="33">
        <f t="shared" si="5"/>
        <v>0</v>
      </c>
      <c r="AE12" s="33">
        <f t="shared" si="5"/>
        <v>0</v>
      </c>
      <c r="AF12" s="33">
        <f t="shared" si="5"/>
        <v>0</v>
      </c>
      <c r="AG12" s="33">
        <f t="shared" si="5"/>
        <v>0</v>
      </c>
      <c r="AH12" s="33">
        <f t="shared" si="5"/>
        <v>0</v>
      </c>
      <c r="AI12" s="33"/>
      <c r="AJ12" s="33">
        <f t="shared" si="5"/>
        <v>0</v>
      </c>
      <c r="AL12" s="54">
        <f>SUM(G12:AJ12)</f>
        <v>0</v>
      </c>
      <c r="AN12" s="2150" t="s">
        <v>1147</v>
      </c>
      <c r="AO12" s="2152"/>
      <c r="AP12" s="2151"/>
      <c r="AQ12" s="2151"/>
      <c r="AR12" s="2152"/>
      <c r="AS12" s="2151"/>
      <c r="BH12" s="142"/>
    </row>
    <row r="13" spans="3:60" s="1" customFormat="1" x14ac:dyDescent="0.25">
      <c r="C13" s="8"/>
      <c r="D13" s="14" t="s">
        <v>82</v>
      </c>
      <c r="E13" s="252">
        <v>5</v>
      </c>
      <c r="F13" s="13" t="s">
        <v>25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3.95</v>
      </c>
      <c r="O13" s="29">
        <v>3.98</v>
      </c>
      <c r="P13" s="29">
        <v>4.4249999999999998</v>
      </c>
      <c r="Q13" s="29">
        <f>(4.66+4.69)/2</f>
        <v>4.6750000000000007</v>
      </c>
      <c r="R13" s="2024">
        <v>4.4050000000000002</v>
      </c>
      <c r="S13" s="2042">
        <v>4.9833333333333334</v>
      </c>
      <c r="T13" s="2042">
        <v>4.8333333333333339</v>
      </c>
      <c r="U13" s="2042">
        <v>4.4800000000000004</v>
      </c>
      <c r="V13" s="29">
        <f>(4.59+5.36)/2</f>
        <v>4.9749999999999996</v>
      </c>
      <c r="W13" s="2083">
        <v>4.9950000000000001</v>
      </c>
      <c r="X13" s="29"/>
      <c r="Y13" s="29"/>
      <c r="Z13" s="29"/>
      <c r="AA13" s="29"/>
      <c r="AB13" s="29"/>
      <c r="AC13" s="29"/>
      <c r="AD13" s="34"/>
      <c r="AE13" s="33">
        <v>0</v>
      </c>
      <c r="AF13" s="33">
        <v>0</v>
      </c>
      <c r="AG13" s="33"/>
      <c r="AH13" s="33"/>
      <c r="AI13" s="33"/>
      <c r="AJ13" s="33"/>
      <c r="AL13" s="58">
        <f>SUM(G13:AJ13)/AL6</f>
        <v>4.5701666666666672</v>
      </c>
      <c r="AN13" s="2151" t="s">
        <v>1148</v>
      </c>
      <c r="AO13" s="2152">
        <f>AO14+AO15</f>
        <v>17792607</v>
      </c>
      <c r="AP13" s="2151"/>
      <c r="AQ13" s="2151"/>
      <c r="AR13" s="2151"/>
      <c r="AS13" s="2151"/>
      <c r="BH13" s="141"/>
    </row>
    <row r="14" spans="3:60" s="1" customFormat="1" x14ac:dyDescent="0.25">
      <c r="C14" s="8"/>
      <c r="D14" s="14" t="s">
        <v>81</v>
      </c>
      <c r="E14" s="252">
        <v>0.5</v>
      </c>
      <c r="F14" s="13" t="s">
        <v>25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0.49</v>
      </c>
      <c r="O14" s="29">
        <v>0.47</v>
      </c>
      <c r="P14" s="29">
        <v>0.43</v>
      </c>
      <c r="Q14" s="29">
        <f>(0.44+0.45)/2</f>
        <v>0.44500000000000001</v>
      </c>
      <c r="R14" s="2024">
        <v>0.47</v>
      </c>
      <c r="S14" s="2042">
        <v>0.42</v>
      </c>
      <c r="T14" s="2042">
        <v>0.4466666666666666</v>
      </c>
      <c r="U14" s="2042">
        <v>0.44</v>
      </c>
      <c r="V14" s="29">
        <f>(0.46+0.45)/2</f>
        <v>0.45500000000000002</v>
      </c>
      <c r="W14" s="2083">
        <v>0.5</v>
      </c>
      <c r="X14" s="29"/>
      <c r="Y14" s="29"/>
      <c r="Z14" s="29"/>
      <c r="AA14" s="29"/>
      <c r="AB14" s="29"/>
      <c r="AC14" s="29"/>
      <c r="AD14" s="34"/>
      <c r="AE14" s="33">
        <v>0</v>
      </c>
      <c r="AF14" s="33">
        <v>0</v>
      </c>
      <c r="AG14" s="33"/>
      <c r="AH14" s="33"/>
      <c r="AI14" s="33"/>
      <c r="AJ14" s="33"/>
      <c r="AL14" s="58">
        <f>SUM(G14:AJ14)/AL6</f>
        <v>0.45666666666666667</v>
      </c>
      <c r="AN14" s="2151" t="s">
        <v>1149</v>
      </c>
      <c r="AO14" s="2152">
        <f>AL33</f>
        <v>14325558</v>
      </c>
      <c r="AP14" s="2151"/>
      <c r="AQ14" s="2151"/>
      <c r="AR14" s="2151"/>
      <c r="AS14" s="2151"/>
      <c r="BH14" s="142"/>
    </row>
    <row r="15" spans="3:60" s="1" customFormat="1" x14ac:dyDescent="0.25">
      <c r="C15" s="8"/>
      <c r="D15" s="14" t="s">
        <v>80</v>
      </c>
      <c r="E15" s="253" t="s">
        <v>79</v>
      </c>
      <c r="F15" s="13" t="s">
        <v>25</v>
      </c>
      <c r="G15" s="29"/>
      <c r="H15" s="29"/>
      <c r="I15" s="29"/>
      <c r="J15" s="1640"/>
      <c r="K15" s="29"/>
      <c r="L15" s="29"/>
      <c r="M15" s="29"/>
      <c r="N15" s="29"/>
      <c r="O15" s="29"/>
      <c r="P15" s="29"/>
      <c r="Q15" s="29"/>
      <c r="R15" s="2024"/>
      <c r="S15" s="2043"/>
      <c r="T15" s="2042"/>
      <c r="U15" s="2042"/>
      <c r="V15" s="29"/>
      <c r="W15" s="2083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J15" s="33"/>
      <c r="AL15" s="58">
        <f>SUM(G15:AJ15)/AL6</f>
        <v>0</v>
      </c>
      <c r="AN15" s="2151" t="s">
        <v>1150</v>
      </c>
      <c r="AO15" s="2152">
        <f>AL34</f>
        <v>3467049</v>
      </c>
      <c r="AP15" s="2151"/>
      <c r="AQ15" s="2151"/>
      <c r="AR15" s="2152"/>
      <c r="AS15" s="2151"/>
      <c r="BH15" s="142"/>
    </row>
    <row r="16" spans="3:60" s="1" customFormat="1" x14ac:dyDescent="0.25">
      <c r="C16" s="8"/>
      <c r="D16" s="64" t="s">
        <v>907</v>
      </c>
      <c r="E16" s="1641"/>
      <c r="F16" s="56"/>
      <c r="G16" s="1642"/>
      <c r="H16" s="1642"/>
      <c r="I16" s="1643"/>
      <c r="J16" s="1644"/>
      <c r="K16" s="1642"/>
      <c r="L16" s="1642"/>
      <c r="M16" s="1643"/>
      <c r="N16" s="1643">
        <v>107</v>
      </c>
      <c r="O16" s="1643">
        <v>107</v>
      </c>
      <c r="P16" s="1960" t="s">
        <v>1068</v>
      </c>
      <c r="Q16" s="1960" t="s">
        <v>1070</v>
      </c>
      <c r="R16" s="2025" t="s">
        <v>1071</v>
      </c>
      <c r="S16" s="2044" t="s">
        <v>1072</v>
      </c>
      <c r="T16" s="2044" t="s">
        <v>1073</v>
      </c>
      <c r="U16" s="2044">
        <v>103</v>
      </c>
      <c r="V16" s="2044" t="s">
        <v>1074</v>
      </c>
      <c r="W16" s="2084" t="s">
        <v>1074</v>
      </c>
      <c r="X16" s="1643"/>
      <c r="Y16" s="1643"/>
      <c r="Z16" s="1643"/>
      <c r="AA16" s="1643"/>
      <c r="AB16" s="1643"/>
      <c r="AC16" s="1960"/>
      <c r="AD16" s="1962"/>
      <c r="AE16" s="270"/>
      <c r="AF16" s="270"/>
      <c r="AG16" s="270"/>
      <c r="AH16" s="270"/>
      <c r="AI16" s="270"/>
      <c r="AJ16" s="270"/>
      <c r="AL16" s="58"/>
      <c r="AN16" s="2151" t="s">
        <v>1151</v>
      </c>
      <c r="AO16" s="2157">
        <f>AO14/(AO14+AO15)*100</f>
        <v>80.514103413850478</v>
      </c>
      <c r="AP16" s="2151"/>
      <c r="AQ16" s="2151"/>
      <c r="AR16" s="2152"/>
      <c r="AS16" s="2151"/>
      <c r="BH16" s="142"/>
    </row>
    <row r="17" spans="3:60 15029:15073" s="1" customFormat="1" x14ac:dyDescent="0.25">
      <c r="C17" s="8"/>
      <c r="D17" s="59" t="s">
        <v>78</v>
      </c>
      <c r="E17" s="254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62"/>
      <c r="AL17" s="63" t="s">
        <v>78</v>
      </c>
      <c r="AN17" s="2151" t="s">
        <v>1152</v>
      </c>
      <c r="AO17" s="2154">
        <f>AO15/(AO14+AO15)*100</f>
        <v>19.485896586149519</v>
      </c>
      <c r="AP17" s="2151"/>
      <c r="AQ17" s="2151"/>
      <c r="AR17" s="2152"/>
      <c r="AS17" s="2151"/>
      <c r="BH17" s="142"/>
    </row>
    <row r="18" spans="3:60 15029:15073" s="1" customFormat="1" x14ac:dyDescent="0.25">
      <c r="C18" s="8"/>
      <c r="D18" s="827" t="s">
        <v>358</v>
      </c>
      <c r="E18" s="254"/>
      <c r="F18" s="65" t="s">
        <v>14</v>
      </c>
      <c r="G18" s="33"/>
      <c r="H18" s="33"/>
      <c r="I18" s="33"/>
      <c r="J18" s="33"/>
      <c r="K18" s="33"/>
      <c r="L18" s="33"/>
      <c r="M18" s="33"/>
      <c r="N18" s="2021">
        <f>'[3]OIP Refinery '!L13</f>
        <v>311880</v>
      </c>
      <c r="O18" s="2021">
        <v>4410</v>
      </c>
      <c r="P18" s="2021">
        <v>0</v>
      </c>
      <c r="Q18" s="2021">
        <v>6558</v>
      </c>
      <c r="R18" s="2163">
        <v>9650</v>
      </c>
      <c r="S18" s="2021">
        <v>0</v>
      </c>
      <c r="T18" s="2021">
        <v>9873</v>
      </c>
      <c r="U18" s="2021"/>
      <c r="V18" s="2021">
        <v>15966</v>
      </c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62"/>
      <c r="AL18" s="2022">
        <f>SUM(N18:X18)</f>
        <v>358337</v>
      </c>
      <c r="AN18" s="2164"/>
      <c r="AO18" s="2165"/>
      <c r="AP18" s="2165"/>
      <c r="AQ18" s="2165"/>
      <c r="AR18" s="2165"/>
      <c r="AS18" s="2164"/>
      <c r="BH18" s="142"/>
    </row>
    <row r="19" spans="3:60 15029:15073" s="1" customFormat="1" x14ac:dyDescent="0.25">
      <c r="C19" s="8"/>
      <c r="D19" s="827" t="s">
        <v>1075</v>
      </c>
      <c r="E19" s="254"/>
      <c r="F19" s="65" t="s">
        <v>14</v>
      </c>
      <c r="G19" s="33"/>
      <c r="H19" s="33"/>
      <c r="I19" s="33"/>
      <c r="J19" s="33"/>
      <c r="K19" s="33"/>
      <c r="L19" s="33"/>
      <c r="M19" s="33"/>
      <c r="N19" s="2021">
        <v>30000</v>
      </c>
      <c r="O19" s="2021">
        <v>90000</v>
      </c>
      <c r="P19" s="2021">
        <v>20000</v>
      </c>
      <c r="Q19" s="2021">
        <v>60000</v>
      </c>
      <c r="R19" s="2021">
        <v>0</v>
      </c>
      <c r="S19" s="2021">
        <v>70000</v>
      </c>
      <c r="T19" s="2021">
        <v>8000</v>
      </c>
      <c r="U19" s="2021">
        <v>15000</v>
      </c>
      <c r="V19" s="2021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62"/>
      <c r="AL19" s="2022">
        <f>SUM(N19:X19)</f>
        <v>293000</v>
      </c>
      <c r="AN19" s="2105" t="s">
        <v>1153</v>
      </c>
      <c r="AO19" s="2164"/>
      <c r="AP19" s="2164"/>
      <c r="AQ19" s="2164" t="s">
        <v>1154</v>
      </c>
      <c r="AR19" s="2164"/>
      <c r="AS19" s="2164"/>
      <c r="BH19" s="142"/>
    </row>
    <row r="20" spans="3:60 15029:15073" s="1" customFormat="1" x14ac:dyDescent="0.25">
      <c r="C20" s="15"/>
      <c r="D20" s="64" t="s">
        <v>193</v>
      </c>
      <c r="E20" s="234">
        <v>55661000</v>
      </c>
      <c r="F20" s="65" t="s">
        <v>14</v>
      </c>
      <c r="G20" s="270"/>
      <c r="H20" s="270"/>
      <c r="I20" s="270"/>
      <c r="J20" s="270"/>
      <c r="K20" s="270"/>
      <c r="L20" s="270"/>
      <c r="M20" s="270"/>
      <c r="N20" s="270">
        <f>407840</f>
        <v>407840</v>
      </c>
      <c r="O20" s="270">
        <f>2031338</f>
        <v>2031338</v>
      </c>
      <c r="P20" s="270">
        <v>2046616</v>
      </c>
      <c r="Q20" s="270">
        <v>2312694</v>
      </c>
      <c r="R20" s="270">
        <v>2167692</v>
      </c>
      <c r="S20" s="1967">
        <v>1801948</v>
      </c>
      <c r="T20" s="270">
        <v>1485187</v>
      </c>
      <c r="U20" s="270">
        <v>1883642</v>
      </c>
      <c r="V20" s="270">
        <v>1786212</v>
      </c>
      <c r="W20" s="270">
        <v>301271</v>
      </c>
      <c r="X20" s="272">
        <v>8909</v>
      </c>
      <c r="Y20" s="270"/>
      <c r="Z20" s="270"/>
      <c r="AA20" s="1996"/>
      <c r="AB20" s="270"/>
      <c r="AC20" s="270"/>
      <c r="AD20" s="270"/>
      <c r="AE20" s="270"/>
      <c r="AF20" s="270"/>
      <c r="AG20" s="270"/>
      <c r="AH20" s="270"/>
      <c r="AI20" s="270"/>
      <c r="AJ20" s="270"/>
      <c r="AL20" s="57">
        <f>SUM(G20:AJ20)</f>
        <v>16233349</v>
      </c>
      <c r="AN20" s="2164" t="s">
        <v>1155</v>
      </c>
      <c r="AO20" s="2165">
        <v>17813187</v>
      </c>
      <c r="AP20" s="2164"/>
      <c r="AQ20" s="2164" t="s">
        <v>1156</v>
      </c>
      <c r="AR20" s="2165">
        <v>195993</v>
      </c>
      <c r="AS20" s="2165">
        <f>AR20-AR6</f>
        <v>115757</v>
      </c>
      <c r="BH20" s="141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</row>
    <row r="21" spans="3:60 15029:15073" s="1" customFormat="1" x14ac:dyDescent="0.25">
      <c r="C21" s="15"/>
      <c r="D21" s="64" t="s">
        <v>64</v>
      </c>
      <c r="E21" s="234">
        <v>2827000</v>
      </c>
      <c r="F21" s="65" t="s">
        <v>14</v>
      </c>
      <c r="G21" s="270"/>
      <c r="H21" s="270"/>
      <c r="I21" s="270"/>
      <c r="J21" s="270"/>
      <c r="K21" s="270"/>
      <c r="L21" s="270"/>
      <c r="M21" s="270"/>
      <c r="N21" s="270">
        <v>13234</v>
      </c>
      <c r="O21" s="270">
        <v>90330</v>
      </c>
      <c r="P21" s="270">
        <v>110892</v>
      </c>
      <c r="Q21" s="270">
        <v>119505</v>
      </c>
      <c r="R21" s="270">
        <v>104139</v>
      </c>
      <c r="S21" s="1967">
        <v>97005</v>
      </c>
      <c r="T21" s="270">
        <v>84749</v>
      </c>
      <c r="U21" s="270">
        <v>96539</v>
      </c>
      <c r="V21" s="270">
        <v>106075</v>
      </c>
      <c r="W21" s="270">
        <v>32094</v>
      </c>
      <c r="X21" s="270">
        <v>11747</v>
      </c>
      <c r="Y21" s="270"/>
      <c r="Z21" s="270"/>
      <c r="AA21" s="1996"/>
      <c r="AB21" s="270"/>
      <c r="AC21" s="270"/>
      <c r="AD21" s="270"/>
      <c r="AE21" s="270"/>
      <c r="AF21" s="270"/>
      <c r="AG21" s="270"/>
      <c r="AH21" s="270"/>
      <c r="AI21" s="270"/>
      <c r="AJ21" s="270"/>
      <c r="AL21" s="57">
        <f>SUM(G21:AJ21)</f>
        <v>866309</v>
      </c>
      <c r="AN21" s="2164" t="s">
        <v>1157</v>
      </c>
      <c r="AO21" s="2165">
        <v>17065034</v>
      </c>
      <c r="AP21" s="2164"/>
      <c r="AQ21" s="2164" t="s">
        <v>1139</v>
      </c>
      <c r="AR21" s="2165">
        <v>390524</v>
      </c>
      <c r="AS21" s="2165">
        <f>AR21-AR7</f>
        <v>320226</v>
      </c>
      <c r="AU21" s="2104">
        <f>AS21/AS20*100</f>
        <v>276.63640211823042</v>
      </c>
      <c r="BH21" s="141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</row>
    <row r="22" spans="3:60 15029:15073" s="1" customFormat="1" x14ac:dyDescent="0.25">
      <c r="C22" s="15"/>
      <c r="D22" s="715" t="s">
        <v>351</v>
      </c>
      <c r="E22" s="740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6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L22" s="54"/>
      <c r="AN22" s="2164" t="s">
        <v>1138</v>
      </c>
      <c r="AO22" s="2165">
        <v>748153</v>
      </c>
      <c r="AP22" s="2164"/>
      <c r="AQ22" s="2164" t="s">
        <v>1158</v>
      </c>
      <c r="AR22" s="2165">
        <f>AR20+AR21</f>
        <v>586517</v>
      </c>
      <c r="AS22" s="2165"/>
      <c r="AU22" s="2104">
        <f>AS22/AS20*100</f>
        <v>0</v>
      </c>
      <c r="BH22" s="141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</row>
    <row r="23" spans="3:60 15029:15073" x14ac:dyDescent="0.25">
      <c r="C23" s="8"/>
      <c r="D23" s="11" t="s">
        <v>84</v>
      </c>
      <c r="E23" s="251"/>
      <c r="F23" s="12" t="s">
        <v>83</v>
      </c>
      <c r="G23" s="33"/>
      <c r="H23" s="33"/>
      <c r="I23" s="33"/>
      <c r="J23" s="33"/>
      <c r="K23" s="33"/>
      <c r="L23" s="33"/>
      <c r="M23" s="33"/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1963">
        <v>1</v>
      </c>
      <c r="T23" s="33">
        <v>1</v>
      </c>
      <c r="U23" s="33">
        <v>1</v>
      </c>
      <c r="V23" s="33">
        <v>1</v>
      </c>
      <c r="W23" s="33">
        <v>1</v>
      </c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"/>
      <c r="AL23" s="54">
        <f>SUM(G23:AJ23)</f>
        <v>10</v>
      </c>
      <c r="AN23" s="2166"/>
      <c r="AO23" s="2165"/>
      <c r="AP23" s="2164"/>
      <c r="AQ23" s="2105" t="s">
        <v>1159</v>
      </c>
      <c r="AR23" s="2105">
        <v>435983</v>
      </c>
      <c r="AS23" s="2105" t="s">
        <v>1160</v>
      </c>
    </row>
    <row r="24" spans="3:60 15029:15073" x14ac:dyDescent="0.25">
      <c r="C24" s="8"/>
      <c r="D24" s="944" t="s">
        <v>973</v>
      </c>
      <c r="E24" s="251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 t="s">
        <v>216</v>
      </c>
      <c r="M24" s="33">
        <v>0</v>
      </c>
      <c r="N24" s="33">
        <v>0</v>
      </c>
      <c r="O24" s="33">
        <v>0</v>
      </c>
      <c r="P24" s="33">
        <v>0</v>
      </c>
      <c r="Q24" s="33"/>
      <c r="R24" s="33">
        <v>0</v>
      </c>
      <c r="S24" s="196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/>
      <c r="AJ24" s="33">
        <v>0</v>
      </c>
      <c r="AK24" s="3"/>
      <c r="AL24" s="54">
        <f>AL29/AL23</f>
        <v>1779260.7</v>
      </c>
      <c r="AN24" s="2164" t="s">
        <v>1140</v>
      </c>
      <c r="AO24" s="2167">
        <f>AO21/AO20*100</f>
        <v>95.800004794201058</v>
      </c>
      <c r="AP24" s="2164"/>
      <c r="AQ24" s="2105" t="s">
        <v>1161</v>
      </c>
      <c r="AR24" s="2106">
        <f>AR22-AR23</f>
        <v>150534</v>
      </c>
      <c r="AS24" s="2106"/>
    </row>
    <row r="25" spans="3:60 15029:15073" s="1" customFormat="1" x14ac:dyDescent="0.25">
      <c r="C25" s="15"/>
      <c r="D25" s="64" t="s">
        <v>945</v>
      </c>
      <c r="E25" s="234"/>
      <c r="F25" s="65" t="s">
        <v>14</v>
      </c>
      <c r="G25" s="270"/>
      <c r="H25" s="270"/>
      <c r="I25" s="270"/>
      <c r="J25" s="270"/>
      <c r="K25" s="270"/>
      <c r="L25" s="270"/>
      <c r="M25" s="270"/>
      <c r="N25" s="270">
        <v>586396</v>
      </c>
      <c r="O25" s="270">
        <v>1842499</v>
      </c>
      <c r="P25" s="270">
        <f>1537236+1219751</f>
        <v>2756987</v>
      </c>
      <c r="Q25" s="270">
        <f>1183492+1051025</f>
        <v>2234517</v>
      </c>
      <c r="R25" s="270">
        <f>1166617+996624</f>
        <v>2163241</v>
      </c>
      <c r="S25" s="1967">
        <f>907358+972093</f>
        <v>1879451</v>
      </c>
      <c r="T25" s="270">
        <f>944532+806441</f>
        <v>1750973</v>
      </c>
      <c r="U25" s="270">
        <f>750862+786319</f>
        <v>1537181</v>
      </c>
      <c r="V25" s="270">
        <f>1151822+657738</f>
        <v>1809560</v>
      </c>
      <c r="W25" s="270">
        <v>662642</v>
      </c>
      <c r="X25" s="270"/>
      <c r="Y25" s="270"/>
      <c r="Z25" s="270"/>
      <c r="AA25" s="270"/>
      <c r="AB25" s="270"/>
      <c r="AC25" s="270"/>
      <c r="AD25" s="270"/>
      <c r="AE25" s="270"/>
      <c r="AF25" s="270">
        <f>'[4]26'!$R$18</f>
        <v>0</v>
      </c>
      <c r="AG25" s="270"/>
      <c r="AH25" s="270"/>
      <c r="AI25" s="270"/>
      <c r="AJ25" s="270"/>
      <c r="AL25" s="57">
        <f>SUM(G25:AJ25)</f>
        <v>17223447</v>
      </c>
      <c r="AN25" s="2168" t="s">
        <v>1143</v>
      </c>
      <c r="AO25" s="2167">
        <f>AO22/AO20*100</f>
        <v>4.19999520579894</v>
      </c>
      <c r="AP25" s="2164"/>
      <c r="AQ25" s="2105" t="s">
        <v>1162</v>
      </c>
      <c r="AR25" s="2106">
        <f>AR23+AR24</f>
        <v>586517</v>
      </c>
      <c r="AS25" s="2106"/>
      <c r="BH25" s="141"/>
      <c r="VFA25" s="46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</row>
    <row r="26" spans="3:60 15029:15073" s="1" customFormat="1" x14ac:dyDescent="0.25">
      <c r="C26" s="15"/>
      <c r="D26" s="64" t="s">
        <v>946</v>
      </c>
      <c r="E26" s="1731">
        <v>559</v>
      </c>
      <c r="F26" s="65" t="s">
        <v>948</v>
      </c>
      <c r="G26" s="270"/>
      <c r="H26" s="270"/>
      <c r="I26" s="270"/>
      <c r="J26" s="270"/>
      <c r="K26" s="270"/>
      <c r="L26" s="270"/>
      <c r="M26" s="270">
        <f>'[3]Oip Fract .'!T13</f>
        <v>0</v>
      </c>
      <c r="N26" s="270">
        <f>'[3]Oip Fract .'!T14</f>
        <v>34865</v>
      </c>
      <c r="O26" s="270">
        <f>'[3]Oip Fract .'!T15</f>
        <v>195375</v>
      </c>
      <c r="P26" s="270">
        <v>296343</v>
      </c>
      <c r="Q26" s="270">
        <f>'[3]Oip Fract .'!T17</f>
        <v>207866</v>
      </c>
      <c r="R26" s="270">
        <f>'[3]Oip Fract .'!T18</f>
        <v>175767</v>
      </c>
      <c r="S26" s="1967">
        <f>'[3]Oip Fract .'!T19</f>
        <v>200007</v>
      </c>
      <c r="T26" s="270">
        <f>'[3]Oip Fract .'!T20</f>
        <v>158440</v>
      </c>
      <c r="U26" s="270">
        <f>'[3]Oip Fract .'!T21</f>
        <v>59863</v>
      </c>
      <c r="V26" s="270">
        <f>'[3]Oip Fract .'!T22</f>
        <v>34480</v>
      </c>
      <c r="W26" s="270">
        <f>'[3]Oip Fract .'!T23</f>
        <v>34859</v>
      </c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L26" s="57"/>
      <c r="AN26" s="2164" t="s">
        <v>1163</v>
      </c>
      <c r="AO26" s="2165">
        <f>AO20-AO21-AO22</f>
        <v>0</v>
      </c>
      <c r="AP26" s="2169"/>
      <c r="AQ26" s="2164"/>
      <c r="AR26" s="2165"/>
      <c r="AS26" s="2165"/>
      <c r="BH26" s="141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</row>
    <row r="27" spans="3:60 15029:15073" s="1" customFormat="1" x14ac:dyDescent="0.25">
      <c r="C27" s="15"/>
      <c r="D27" s="64" t="s">
        <v>947</v>
      </c>
      <c r="E27" s="1732">
        <v>559</v>
      </c>
      <c r="F27" s="65" t="s">
        <v>948</v>
      </c>
      <c r="G27" s="270"/>
      <c r="H27" s="270"/>
      <c r="I27" s="270"/>
      <c r="J27" s="270"/>
      <c r="K27" s="270"/>
      <c r="L27" s="270"/>
      <c r="M27" s="270">
        <f>'[3]Oip Fract .'!V13</f>
        <v>0</v>
      </c>
      <c r="N27" s="270">
        <f>'[3]Oip Fract .'!V14</f>
        <v>52290</v>
      </c>
      <c r="O27" s="270">
        <f>'[3]Oip Fract .'!V15</f>
        <v>53075</v>
      </c>
      <c r="P27" s="270">
        <v>53075</v>
      </c>
      <c r="Q27" s="270">
        <f>'[3]Oip Fract .'!V17</f>
        <v>75063</v>
      </c>
      <c r="R27" s="270">
        <f>'[3]Oip Fract .'!V18</f>
        <v>97032</v>
      </c>
      <c r="S27" s="1967">
        <f>'[3]Oip Fract .'!V19</f>
        <v>115080</v>
      </c>
      <c r="T27" s="270">
        <f>'[3]Oip Fract .'!V20</f>
        <v>130221</v>
      </c>
      <c r="U27" s="270">
        <f>'[3]Oip Fract .'!V21</f>
        <v>148827</v>
      </c>
      <c r="V27" s="270">
        <f>'[3]Oip Fract .'!V22</f>
        <v>165316</v>
      </c>
      <c r="W27" s="270">
        <f>'[3]Oip Fract .'!V23</f>
        <v>78396</v>
      </c>
      <c r="X27" s="272">
        <f>'[3]Oip Fract .'!V24</f>
        <v>272307</v>
      </c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L27" s="57"/>
      <c r="AN27" s="2170"/>
      <c r="AO27" s="2165"/>
      <c r="AP27" s="2164"/>
      <c r="AQ27" s="2164"/>
      <c r="AR27" s="2164"/>
      <c r="AS27" s="2164"/>
      <c r="BH27" s="141"/>
      <c r="VFA27" s="46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</row>
    <row r="28" spans="3:60 15029:15073" s="1" customFormat="1" ht="15" customHeight="1" x14ac:dyDescent="0.25">
      <c r="C28" s="15"/>
      <c r="D28" s="11" t="s">
        <v>113</v>
      </c>
      <c r="E28" s="945"/>
      <c r="F28" s="69"/>
      <c r="G28" s="1756">
        <f t="shared" ref="G28:R28" si="7">G29/2500000</f>
        <v>0</v>
      </c>
      <c r="H28" s="1756">
        <f t="shared" si="7"/>
        <v>0</v>
      </c>
      <c r="I28" s="1756">
        <f t="shared" si="7"/>
        <v>0</v>
      </c>
      <c r="J28" s="1756">
        <f t="shared" si="7"/>
        <v>0</v>
      </c>
      <c r="K28" s="1756">
        <f t="shared" si="7"/>
        <v>0</v>
      </c>
      <c r="L28" s="1756">
        <f t="shared" si="7"/>
        <v>0</v>
      </c>
      <c r="M28" s="1756">
        <f t="shared" si="7"/>
        <v>0</v>
      </c>
      <c r="N28" s="1756">
        <f t="shared" si="7"/>
        <v>7.6211200000000007E-2</v>
      </c>
      <c r="O28" s="1756">
        <f t="shared" si="7"/>
        <v>0.72708320000000004</v>
      </c>
      <c r="P28" s="1756">
        <f>P29/2500000</f>
        <v>0.96231520000000004</v>
      </c>
      <c r="Q28" s="1756">
        <f t="shared" si="7"/>
        <v>0.95737360000000005</v>
      </c>
      <c r="R28" s="1756">
        <f t="shared" si="7"/>
        <v>0.96201800000000004</v>
      </c>
      <c r="S28" s="1756">
        <f>S29/2500000</f>
        <v>0.73037920000000001</v>
      </c>
      <c r="T28" s="1756">
        <f>T29/2500000</f>
        <v>0.89440560000000002</v>
      </c>
      <c r="U28" s="1756">
        <f t="shared" ref="U28:AJ28" si="8">U29/2500000</f>
        <v>0.464138</v>
      </c>
      <c r="V28" s="1756">
        <f t="shared" si="8"/>
        <v>0.75610999999999995</v>
      </c>
      <c r="W28" s="1756">
        <f t="shared" si="8"/>
        <v>0.57725400000000004</v>
      </c>
      <c r="X28" s="1756">
        <v>0</v>
      </c>
      <c r="Y28" s="1756">
        <f>Y29/2500000</f>
        <v>0</v>
      </c>
      <c r="Z28" s="1756">
        <f t="shared" ref="Z28" si="9">Z29/2500000</f>
        <v>0</v>
      </c>
      <c r="AA28" s="1756">
        <f t="shared" si="8"/>
        <v>0</v>
      </c>
      <c r="AB28" s="1756">
        <f>AB29/2500000</f>
        <v>0</v>
      </c>
      <c r="AC28" s="1756">
        <v>0.52886</v>
      </c>
      <c r="AD28" s="1756">
        <f t="shared" si="8"/>
        <v>0</v>
      </c>
      <c r="AE28" s="1756">
        <f t="shared" si="8"/>
        <v>0</v>
      </c>
      <c r="AF28" s="1756">
        <f t="shared" si="8"/>
        <v>0</v>
      </c>
      <c r="AG28" s="1756">
        <f t="shared" si="8"/>
        <v>0</v>
      </c>
      <c r="AH28" s="1756">
        <f t="shared" si="8"/>
        <v>0</v>
      </c>
      <c r="AI28" s="1756">
        <f t="shared" si="8"/>
        <v>0</v>
      </c>
      <c r="AJ28" s="1756">
        <f t="shared" si="8"/>
        <v>0</v>
      </c>
      <c r="AK28" s="62"/>
      <c r="AL28" s="1792">
        <f>AL29/2500000/10</f>
        <v>0.71170427999999997</v>
      </c>
      <c r="AN28" s="2106" t="s">
        <v>1164</v>
      </c>
      <c r="AO28" s="2165"/>
      <c r="AP28" s="2164"/>
      <c r="AQ28" s="2164"/>
      <c r="AR28" s="2164"/>
      <c r="AS28" s="2169"/>
      <c r="BH28" s="141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</row>
    <row r="29" spans="3:60 15029:15073" s="1" customFormat="1" x14ac:dyDescent="0.25">
      <c r="C29" s="15"/>
      <c r="D29" s="14" t="s">
        <v>353</v>
      </c>
      <c r="E29" s="739">
        <v>35501000</v>
      </c>
      <c r="F29" s="13" t="s">
        <v>14</v>
      </c>
      <c r="G29" s="33">
        <f>SUM(G32,G36,G41,G45,G55)</f>
        <v>0</v>
      </c>
      <c r="H29" s="33">
        <f>SUM(H32,H36,H41,H45,H55)</f>
        <v>0</v>
      </c>
      <c r="I29" s="33">
        <f>SUM(I32,I36,I41,I45,I55)</f>
        <v>0</v>
      </c>
      <c r="J29" s="33">
        <f>SUM(J32,J36,J41,J45,J55)</f>
        <v>0</v>
      </c>
      <c r="K29" s="33"/>
      <c r="L29" s="33">
        <f t="shared" ref="L29:AJ29" si="10">SUM(L32,L36,L41,L45,L55)</f>
        <v>0</v>
      </c>
      <c r="M29" s="33">
        <f t="shared" si="10"/>
        <v>0</v>
      </c>
      <c r="N29" s="33">
        <f>SUM(N32,N36,N41,N45,N55)</f>
        <v>190528</v>
      </c>
      <c r="O29" s="33">
        <f t="shared" si="10"/>
        <v>1817708</v>
      </c>
      <c r="P29" s="33">
        <f t="shared" si="10"/>
        <v>2405788</v>
      </c>
      <c r="Q29" s="33">
        <f t="shared" si="10"/>
        <v>2393434</v>
      </c>
      <c r="R29" s="33">
        <f t="shared" si="10"/>
        <v>2405045</v>
      </c>
      <c r="S29" s="33">
        <f>SUM(S32,S36,S41,S45,S55)</f>
        <v>1825948</v>
      </c>
      <c r="T29" s="33">
        <f>SUM(T32,T36,T41,T45,T55)</f>
        <v>2236014</v>
      </c>
      <c r="U29" s="33">
        <f>SUM(U32,U36,U41,U45,U55)</f>
        <v>1160345</v>
      </c>
      <c r="V29" s="33">
        <f>SUM(V32,V36,V41,V45,V55)</f>
        <v>1890275</v>
      </c>
      <c r="W29" s="33">
        <f t="shared" si="10"/>
        <v>1443135</v>
      </c>
      <c r="X29" s="33">
        <f>SUM(X32,X36,X41,X45,X55)</f>
        <v>24387</v>
      </c>
      <c r="Y29" s="33">
        <f>SUM(Y32,Y36,Y41,Y45,Y55)</f>
        <v>0</v>
      </c>
      <c r="Z29" s="33">
        <f>SUM(Z32,Z36,Z41,Z45,Z55)</f>
        <v>0</v>
      </c>
      <c r="AA29" s="33">
        <f>SUM(AA32,AA36,AA41,AA45,AA55)</f>
        <v>0</v>
      </c>
      <c r="AB29" s="33">
        <f>SUM(AB32,AB36,AB41,AB45,AB55)</f>
        <v>0</v>
      </c>
      <c r="AC29" s="33">
        <f>AC46+AC47+AC56+AC57</f>
        <v>0</v>
      </c>
      <c r="AD29" s="33">
        <f>SUM(AD32,AD36,AD41,AD45,AD55)</f>
        <v>0</v>
      </c>
      <c r="AE29" s="33">
        <f>SUM(AE32,AE36,AE41,AE45,AE55)</f>
        <v>0</v>
      </c>
      <c r="AF29" s="33">
        <f t="shared" si="10"/>
        <v>0</v>
      </c>
      <c r="AG29" s="33">
        <f t="shared" si="10"/>
        <v>0</v>
      </c>
      <c r="AH29" s="33">
        <f t="shared" si="10"/>
        <v>0</v>
      </c>
      <c r="AI29" s="33"/>
      <c r="AJ29" s="33">
        <f t="shared" si="10"/>
        <v>0</v>
      </c>
      <c r="AL29" s="54">
        <f>SUM(G29:AJ29)</f>
        <v>17792607</v>
      </c>
      <c r="AM29" s="742"/>
      <c r="AN29" s="2168" t="s">
        <v>1165</v>
      </c>
      <c r="AO29" s="2165">
        <f>AO31+AO32</f>
        <v>17792608</v>
      </c>
      <c r="AP29" s="2164"/>
      <c r="AQ29" s="2164"/>
      <c r="AR29" s="2164"/>
      <c r="AS29" s="2165"/>
      <c r="BH29" s="142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</row>
    <row r="30" spans="3:60 15029:15073" s="1" customFormat="1" ht="15" hidden="1" customHeight="1" x14ac:dyDescent="0.25">
      <c r="C30" s="15"/>
      <c r="D30" s="14" t="s">
        <v>352</v>
      </c>
      <c r="E30" s="741"/>
      <c r="F30" s="13" t="s">
        <v>14</v>
      </c>
      <c r="G30" s="33">
        <f>G25-G29</f>
        <v>0</v>
      </c>
      <c r="H30" s="33"/>
      <c r="I30" s="33">
        <f t="shared" ref="I30:AJ30" si="11">I25-I29</f>
        <v>0</v>
      </c>
      <c r="J30" s="33" t="e">
        <f>SUM(J33,J37,J42,J46,#REF!)</f>
        <v>#REF!</v>
      </c>
      <c r="K30" s="33">
        <v>68473</v>
      </c>
      <c r="L30" s="33">
        <f t="shared" si="11"/>
        <v>0</v>
      </c>
      <c r="M30" s="33">
        <f t="shared" si="11"/>
        <v>0</v>
      </c>
      <c r="N30" s="33">
        <f t="shared" si="11"/>
        <v>395868</v>
      </c>
      <c r="O30" s="33">
        <f>O25-O29</f>
        <v>24791</v>
      </c>
      <c r="P30" s="33">
        <f t="shared" si="11"/>
        <v>351199</v>
      </c>
      <c r="Q30" s="33">
        <f t="shared" si="11"/>
        <v>-158917</v>
      </c>
      <c r="R30" s="33">
        <f t="shared" si="11"/>
        <v>-241804</v>
      </c>
      <c r="S30" s="1963">
        <v>122463</v>
      </c>
      <c r="T30" s="33">
        <f t="shared" si="11"/>
        <v>-485041</v>
      </c>
      <c r="U30" s="33">
        <f t="shared" si="11"/>
        <v>376836</v>
      </c>
      <c r="V30" s="33">
        <f t="shared" si="11"/>
        <v>-80715</v>
      </c>
      <c r="W30" s="33">
        <f t="shared" si="11"/>
        <v>-780493</v>
      </c>
      <c r="X30" s="33">
        <v>-255281</v>
      </c>
      <c r="Y30" s="33">
        <f t="shared" ref="Y30:Z30" si="12">Y25-Y29</f>
        <v>0</v>
      </c>
      <c r="Z30" s="33">
        <f t="shared" si="12"/>
        <v>0</v>
      </c>
      <c r="AA30" s="33">
        <f t="shared" si="11"/>
        <v>0</v>
      </c>
      <c r="AB30" s="33">
        <f t="shared" si="11"/>
        <v>0</v>
      </c>
      <c r="AC30" s="33">
        <v>390824</v>
      </c>
      <c r="AD30" s="33">
        <f t="shared" si="11"/>
        <v>0</v>
      </c>
      <c r="AE30" s="33">
        <f t="shared" si="11"/>
        <v>0</v>
      </c>
      <c r="AF30" s="33">
        <f t="shared" si="11"/>
        <v>0</v>
      </c>
      <c r="AG30" s="33">
        <f t="shared" si="11"/>
        <v>0</v>
      </c>
      <c r="AH30" s="33">
        <f t="shared" si="11"/>
        <v>0</v>
      </c>
      <c r="AI30" s="33"/>
      <c r="AJ30" s="33">
        <f t="shared" si="11"/>
        <v>0</v>
      </c>
      <c r="AL30" s="54" t="e">
        <f>SUM(G30:AJ30)</f>
        <v>#REF!</v>
      </c>
      <c r="AN30" s="2164"/>
      <c r="AO30" s="2164"/>
      <c r="AP30" s="2164"/>
      <c r="AQ30" s="2164"/>
      <c r="AR30" s="2164"/>
      <c r="AS30" s="2164"/>
      <c r="BH30" s="142"/>
      <c r="VFA30" s="46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</row>
    <row r="31" spans="3:60 15029:15073" x14ac:dyDescent="0.25">
      <c r="C31" s="15"/>
      <c r="D31" s="230" t="s">
        <v>76</v>
      </c>
      <c r="E31" s="231"/>
      <c r="F31" s="232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66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L31" s="66" t="s">
        <v>63</v>
      </c>
      <c r="AN31" s="2168" t="s">
        <v>1149</v>
      </c>
      <c r="AO31" s="2165">
        <v>14624233</v>
      </c>
      <c r="AP31" s="2164"/>
      <c r="AQ31" s="2164"/>
      <c r="AR31" s="2164"/>
      <c r="AS31" s="2169"/>
    </row>
    <row r="32" spans="3:60 15029:15073" s="1" customFormat="1" x14ac:dyDescent="0.25">
      <c r="C32" s="15"/>
      <c r="D32" s="14" t="s">
        <v>75</v>
      </c>
      <c r="E32" s="255"/>
      <c r="F32" s="20" t="s">
        <v>14</v>
      </c>
      <c r="G32" s="33">
        <f>G33+G34</f>
        <v>0</v>
      </c>
      <c r="H32" s="33">
        <f>H33+H34</f>
        <v>0</v>
      </c>
      <c r="I32" s="33">
        <f t="shared" ref="I32:AJ32" si="13">I33+I34</f>
        <v>0</v>
      </c>
      <c r="J32" s="33">
        <f t="shared" si="13"/>
        <v>0</v>
      </c>
      <c r="K32" s="33">
        <v>0</v>
      </c>
      <c r="L32" s="33">
        <f t="shared" si="13"/>
        <v>0</v>
      </c>
      <c r="M32" s="33">
        <f t="shared" si="13"/>
        <v>0</v>
      </c>
      <c r="N32" s="33">
        <f t="shared" si="13"/>
        <v>190528</v>
      </c>
      <c r="O32" s="33">
        <f t="shared" si="13"/>
        <v>1817708</v>
      </c>
      <c r="P32" s="33">
        <f t="shared" si="13"/>
        <v>2405788</v>
      </c>
      <c r="Q32" s="33">
        <f t="shared" si="13"/>
        <v>2393434</v>
      </c>
      <c r="R32" s="33">
        <f t="shared" si="13"/>
        <v>2405045</v>
      </c>
      <c r="S32" s="33">
        <f t="shared" si="13"/>
        <v>1825948</v>
      </c>
      <c r="T32" s="33">
        <f t="shared" si="13"/>
        <v>2236014</v>
      </c>
      <c r="U32" s="33">
        <f t="shared" si="13"/>
        <v>1160345</v>
      </c>
      <c r="V32" s="33">
        <f t="shared" si="13"/>
        <v>1890275</v>
      </c>
      <c r="W32" s="33">
        <f t="shared" si="13"/>
        <v>1443135</v>
      </c>
      <c r="X32" s="33">
        <f t="shared" si="13"/>
        <v>24387</v>
      </c>
      <c r="Y32" s="33">
        <f>Y33+Y34</f>
        <v>0</v>
      </c>
      <c r="Z32" s="33">
        <f>Z33+Z34</f>
        <v>0</v>
      </c>
      <c r="AA32" s="33">
        <f t="shared" si="13"/>
        <v>0</v>
      </c>
      <c r="AB32" s="33">
        <f t="shared" si="13"/>
        <v>0</v>
      </c>
      <c r="AC32" s="33">
        <v>0</v>
      </c>
      <c r="AD32" s="33">
        <f t="shared" si="13"/>
        <v>0</v>
      </c>
      <c r="AE32" s="33">
        <f>AE33+AE34</f>
        <v>0</v>
      </c>
      <c r="AF32" s="33">
        <f t="shared" si="13"/>
        <v>0</v>
      </c>
      <c r="AG32" s="33">
        <f t="shared" si="13"/>
        <v>0</v>
      </c>
      <c r="AH32" s="33">
        <f t="shared" si="13"/>
        <v>0</v>
      </c>
      <c r="AI32" s="33"/>
      <c r="AJ32" s="33">
        <f t="shared" si="13"/>
        <v>0</v>
      </c>
      <c r="AL32" s="54">
        <f>SUM(G32:AJ32)</f>
        <v>17792607</v>
      </c>
      <c r="AN32" s="2165" t="s">
        <v>1150</v>
      </c>
      <c r="AO32" s="2165">
        <v>3168375</v>
      </c>
      <c r="AP32" s="2164"/>
      <c r="AQ32" s="2164"/>
      <c r="AR32" s="2164"/>
      <c r="AS32" s="2165"/>
      <c r="BH32" s="142"/>
    </row>
    <row r="33" spans="1:15025" x14ac:dyDescent="0.25">
      <c r="C33" s="15"/>
      <c r="D33" s="64" t="s">
        <v>74</v>
      </c>
      <c r="E33" s="255">
        <v>25000000</v>
      </c>
      <c r="F33" s="65" t="s">
        <v>14</v>
      </c>
      <c r="G33" s="270">
        <v>0</v>
      </c>
      <c r="H33" s="270">
        <v>0</v>
      </c>
      <c r="I33" s="270">
        <v>0</v>
      </c>
      <c r="J33" s="270">
        <v>0</v>
      </c>
      <c r="K33" s="270">
        <v>0</v>
      </c>
      <c r="L33" s="270">
        <v>0</v>
      </c>
      <c r="M33" s="270">
        <v>0</v>
      </c>
      <c r="N33" s="270">
        <v>190528</v>
      </c>
      <c r="O33" s="270">
        <v>1477571</v>
      </c>
      <c r="P33" s="270">
        <v>1922667</v>
      </c>
      <c r="Q33" s="270">
        <v>1924360</v>
      </c>
      <c r="R33" s="270">
        <f>1376983+564099</f>
        <v>1941082</v>
      </c>
      <c r="S33" s="1967">
        <v>1474626</v>
      </c>
      <c r="T33" s="270">
        <f>1676048+133231</f>
        <v>1809279</v>
      </c>
      <c r="U33" s="270">
        <f>511790+424142</f>
        <v>935932</v>
      </c>
      <c r="V33" s="270">
        <f>591257+913865</f>
        <v>1505122</v>
      </c>
      <c r="W33" s="270">
        <v>1134304</v>
      </c>
      <c r="X33" s="272">
        <v>10087</v>
      </c>
      <c r="Y33" s="270"/>
      <c r="Z33" s="270">
        <v>0</v>
      </c>
      <c r="AA33" s="270">
        <v>0</v>
      </c>
      <c r="AB33" s="270">
        <v>0</v>
      </c>
      <c r="AC33" s="270">
        <v>0</v>
      </c>
      <c r="AD33" s="270">
        <v>0</v>
      </c>
      <c r="AE33" s="270"/>
      <c r="AF33" s="270">
        <v>0</v>
      </c>
      <c r="AG33" s="270">
        <v>0</v>
      </c>
      <c r="AH33" s="270">
        <v>0</v>
      </c>
      <c r="AI33" s="270"/>
      <c r="AJ33" s="270">
        <v>0</v>
      </c>
      <c r="AL33" s="57">
        <f>SUM(G33:AJ33)</f>
        <v>14325558</v>
      </c>
      <c r="AN33" s="2165" t="s">
        <v>1166</v>
      </c>
      <c r="AO33" s="2165">
        <f>AO31/(AO31+AO32)*100</f>
        <v>82.192745436756653</v>
      </c>
      <c r="AP33" s="2164"/>
      <c r="AQ33" s="2164"/>
      <c r="AR33" s="2164"/>
      <c r="AS33" s="2165"/>
    </row>
    <row r="34" spans="1:15025" x14ac:dyDescent="0.25">
      <c r="C34" s="15"/>
      <c r="D34" s="64" t="s">
        <v>73</v>
      </c>
      <c r="E34" s="255">
        <v>639000</v>
      </c>
      <c r="F34" s="65" t="s">
        <v>14</v>
      </c>
      <c r="G34" s="271">
        <v>0</v>
      </c>
      <c r="H34" s="271">
        <v>0</v>
      </c>
      <c r="I34" s="271">
        <v>0</v>
      </c>
      <c r="J34" s="271">
        <v>0</v>
      </c>
      <c r="K34" s="271">
        <v>0</v>
      </c>
      <c r="L34" s="271">
        <v>0</v>
      </c>
      <c r="M34" s="271">
        <v>0</v>
      </c>
      <c r="N34" s="271">
        <v>0</v>
      </c>
      <c r="O34" s="271">
        <v>340137</v>
      </c>
      <c r="P34" s="270">
        <v>483121</v>
      </c>
      <c r="Q34" s="271">
        <v>469074</v>
      </c>
      <c r="R34" s="271">
        <v>463963</v>
      </c>
      <c r="S34" s="1968">
        <f>242278+109044</f>
        <v>351322</v>
      </c>
      <c r="T34" s="271">
        <v>426735</v>
      </c>
      <c r="U34" s="271">
        <v>224413</v>
      </c>
      <c r="V34" s="271">
        <v>385153</v>
      </c>
      <c r="W34" s="271">
        <v>308831</v>
      </c>
      <c r="X34" s="2107">
        <v>14300</v>
      </c>
      <c r="Y34" s="271"/>
      <c r="Z34" s="271">
        <v>0</v>
      </c>
      <c r="AA34" s="271">
        <v>0</v>
      </c>
      <c r="AB34" s="271">
        <v>0</v>
      </c>
      <c r="AC34" s="271">
        <v>0</v>
      </c>
      <c r="AD34" s="271">
        <v>0</v>
      </c>
      <c r="AE34" s="271"/>
      <c r="AF34" s="271">
        <v>0</v>
      </c>
      <c r="AG34" s="271">
        <v>0</v>
      </c>
      <c r="AH34" s="271"/>
      <c r="AI34" s="271"/>
      <c r="AJ34" s="271">
        <v>0</v>
      </c>
      <c r="AL34" s="57">
        <f>SUM(G34:AJ34)</f>
        <v>3467049</v>
      </c>
      <c r="AN34" s="2165" t="s">
        <v>1167</v>
      </c>
      <c r="AO34" s="2171">
        <f>AO32/(AO31+AO32)*100</f>
        <v>17.807254563243344</v>
      </c>
      <c r="AP34" s="2164"/>
      <c r="AQ34" s="2164"/>
      <c r="AR34" s="2164"/>
      <c r="AS34" s="2165"/>
    </row>
    <row r="35" spans="1:15025" s="70" customFormat="1" ht="15" hidden="1" customHeight="1" x14ac:dyDescent="0.25">
      <c r="A35" s="62"/>
      <c r="B35" s="62"/>
      <c r="C35" s="68"/>
      <c r="D35" s="230" t="s">
        <v>104</v>
      </c>
      <c r="E35" s="305"/>
      <c r="F35" s="9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1969"/>
      <c r="T35" s="272"/>
      <c r="U35" s="272"/>
      <c r="V35" s="272"/>
      <c r="W35" s="272"/>
      <c r="X35" s="272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272"/>
      <c r="AK35" s="62"/>
      <c r="AL35" s="66" t="s">
        <v>106</v>
      </c>
      <c r="AM35" s="62"/>
      <c r="AN35" s="2164"/>
      <c r="AO35" s="2164"/>
      <c r="AP35" s="2164"/>
      <c r="AQ35" s="2164"/>
      <c r="AR35" s="2164"/>
      <c r="AS35" s="2164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143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</row>
    <row r="36" spans="1:15025" ht="15" hidden="1" customHeight="1" x14ac:dyDescent="0.25">
      <c r="C36" s="15"/>
      <c r="D36" s="14" t="s">
        <v>75</v>
      </c>
      <c r="E36" s="255"/>
      <c r="F36" s="20" t="s">
        <v>14</v>
      </c>
      <c r="G36" s="33">
        <f>G37+G38</f>
        <v>0</v>
      </c>
      <c r="H36" s="33">
        <f>H37+H38</f>
        <v>0</v>
      </c>
      <c r="I36" s="33">
        <f t="shared" ref="I36:AJ36" si="14">I37+I38</f>
        <v>0</v>
      </c>
      <c r="J36" s="33">
        <f t="shared" si="14"/>
        <v>0</v>
      </c>
      <c r="K36" s="33">
        <v>0</v>
      </c>
      <c r="L36" s="33">
        <f t="shared" si="14"/>
        <v>0</v>
      </c>
      <c r="M36" s="33">
        <f t="shared" si="14"/>
        <v>0</v>
      </c>
      <c r="N36" s="33">
        <f t="shared" si="14"/>
        <v>0</v>
      </c>
      <c r="O36" s="33">
        <f t="shared" si="14"/>
        <v>0</v>
      </c>
      <c r="P36" s="33">
        <f t="shared" si="14"/>
        <v>0</v>
      </c>
      <c r="Q36" s="33">
        <f t="shared" si="14"/>
        <v>0</v>
      </c>
      <c r="R36" s="33">
        <f t="shared" si="14"/>
        <v>0</v>
      </c>
      <c r="S36" s="1963">
        <v>0</v>
      </c>
      <c r="T36" s="33">
        <f t="shared" si="14"/>
        <v>0</v>
      </c>
      <c r="U36" s="33">
        <f t="shared" si="14"/>
        <v>0</v>
      </c>
      <c r="V36" s="33">
        <f t="shared" si="14"/>
        <v>0</v>
      </c>
      <c r="W36" s="33">
        <f t="shared" si="14"/>
        <v>0</v>
      </c>
      <c r="X36" s="33">
        <v>0</v>
      </c>
      <c r="Y36" s="33"/>
      <c r="Z36" s="33"/>
      <c r="AA36" s="33">
        <f t="shared" si="14"/>
        <v>0</v>
      </c>
      <c r="AB36" s="33">
        <f t="shared" si="14"/>
        <v>0</v>
      </c>
      <c r="AC36" s="33">
        <v>0</v>
      </c>
      <c r="AD36" s="33">
        <f t="shared" si="14"/>
        <v>0</v>
      </c>
      <c r="AE36" s="33">
        <f t="shared" si="14"/>
        <v>0</v>
      </c>
      <c r="AF36" s="33">
        <f t="shared" si="14"/>
        <v>0</v>
      </c>
      <c r="AG36" s="33">
        <f t="shared" si="14"/>
        <v>0</v>
      </c>
      <c r="AH36" s="33">
        <f t="shared" si="14"/>
        <v>0</v>
      </c>
      <c r="AI36" s="33"/>
      <c r="AJ36" s="33">
        <f t="shared" si="14"/>
        <v>0</v>
      </c>
      <c r="AL36" s="54">
        <f>SUM(G36:AJ36)</f>
        <v>0</v>
      </c>
      <c r="AN36" s="2164"/>
      <c r="AO36" s="2164"/>
      <c r="AP36" s="2164"/>
      <c r="AQ36" s="2164"/>
      <c r="AR36" s="2164"/>
      <c r="AS36" s="2164"/>
    </row>
    <row r="37" spans="1:15025" ht="15" hidden="1" customHeight="1" x14ac:dyDescent="0.25">
      <c r="C37" s="15"/>
      <c r="D37" s="64" t="s">
        <v>105</v>
      </c>
      <c r="E37" s="255"/>
      <c r="F37" s="65" t="s">
        <v>14</v>
      </c>
      <c r="G37" s="270">
        <v>0</v>
      </c>
      <c r="H37" s="270">
        <v>0</v>
      </c>
      <c r="I37" s="270">
        <v>0</v>
      </c>
      <c r="J37" s="270">
        <v>0</v>
      </c>
      <c r="K37" s="270">
        <v>0</v>
      </c>
      <c r="L37" s="270">
        <v>0</v>
      </c>
      <c r="M37" s="270">
        <v>0</v>
      </c>
      <c r="N37" s="270">
        <v>0</v>
      </c>
      <c r="O37" s="270">
        <v>0</v>
      </c>
      <c r="P37" s="270">
        <v>0</v>
      </c>
      <c r="Q37" s="270">
        <v>0</v>
      </c>
      <c r="R37" s="270">
        <v>0</v>
      </c>
      <c r="S37" s="1967">
        <v>0</v>
      </c>
      <c r="T37" s="270">
        <v>0</v>
      </c>
      <c r="U37" s="270">
        <v>0</v>
      </c>
      <c r="V37" s="270">
        <v>0</v>
      </c>
      <c r="W37" s="270">
        <v>0</v>
      </c>
      <c r="X37" s="270">
        <v>0</v>
      </c>
      <c r="Y37" s="270"/>
      <c r="Z37" s="270"/>
      <c r="AA37" s="270">
        <v>0</v>
      </c>
      <c r="AB37" s="270">
        <v>0</v>
      </c>
      <c r="AC37" s="270">
        <v>0</v>
      </c>
      <c r="AD37" s="270">
        <v>0</v>
      </c>
      <c r="AE37" s="270">
        <v>0</v>
      </c>
      <c r="AF37" s="270">
        <v>0</v>
      </c>
      <c r="AG37" s="270">
        <v>0</v>
      </c>
      <c r="AH37" s="270"/>
      <c r="AI37" s="270"/>
      <c r="AJ37" s="270"/>
      <c r="AL37" s="57">
        <f>SUM(G37:AJ37)</f>
        <v>0</v>
      </c>
      <c r="AN37" s="2164"/>
      <c r="AO37" s="2164"/>
      <c r="AP37" s="2164"/>
      <c r="AQ37" s="2164"/>
      <c r="AR37" s="2164"/>
      <c r="AS37" s="2164"/>
    </row>
    <row r="38" spans="1:15025" ht="15" hidden="1" customHeight="1" x14ac:dyDescent="0.25">
      <c r="C38" s="15"/>
      <c r="D38" s="64" t="s">
        <v>73</v>
      </c>
      <c r="E38" s="255"/>
      <c r="F38" s="65" t="s">
        <v>14</v>
      </c>
      <c r="G38" s="270">
        <v>0</v>
      </c>
      <c r="H38" s="270">
        <v>0</v>
      </c>
      <c r="I38" s="270">
        <v>0</v>
      </c>
      <c r="J38" s="270">
        <v>0</v>
      </c>
      <c r="K38" s="270">
        <v>0</v>
      </c>
      <c r="L38" s="270">
        <v>0</v>
      </c>
      <c r="M38" s="270">
        <v>0</v>
      </c>
      <c r="N38" s="270">
        <v>0</v>
      </c>
      <c r="O38" s="270">
        <v>0</v>
      </c>
      <c r="P38" s="270">
        <v>0</v>
      </c>
      <c r="Q38" s="270">
        <v>0</v>
      </c>
      <c r="R38" s="270">
        <v>0</v>
      </c>
      <c r="S38" s="1967">
        <v>0</v>
      </c>
      <c r="T38" s="270">
        <v>0</v>
      </c>
      <c r="U38" s="270">
        <v>0</v>
      </c>
      <c r="V38" s="270">
        <v>0</v>
      </c>
      <c r="W38" s="270">
        <v>0</v>
      </c>
      <c r="X38" s="270">
        <v>0</v>
      </c>
      <c r="Y38" s="270"/>
      <c r="Z38" s="270"/>
      <c r="AA38" s="270">
        <v>0</v>
      </c>
      <c r="AB38" s="270">
        <v>0</v>
      </c>
      <c r="AC38" s="270">
        <v>0</v>
      </c>
      <c r="AD38" s="270">
        <v>0</v>
      </c>
      <c r="AE38" s="270">
        <v>0</v>
      </c>
      <c r="AF38" s="270">
        <v>0</v>
      </c>
      <c r="AG38" s="270">
        <v>0</v>
      </c>
      <c r="AH38" s="270"/>
      <c r="AI38" s="270"/>
      <c r="AJ38" s="270"/>
      <c r="AL38" s="57">
        <f>SUM(G38:AJ38)</f>
        <v>0</v>
      </c>
      <c r="AN38" s="2164"/>
      <c r="AO38" s="2164"/>
      <c r="AP38" s="2164"/>
      <c r="AQ38" s="2164"/>
      <c r="AR38" s="2164"/>
      <c r="AS38" s="2164"/>
    </row>
    <row r="39" spans="1:15025" ht="15" hidden="1" customHeight="1" x14ac:dyDescent="0.25">
      <c r="C39" s="15"/>
      <c r="D39" s="230" t="s">
        <v>107</v>
      </c>
      <c r="E39" s="233"/>
      <c r="F39" s="232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66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L39" s="66" t="s">
        <v>108</v>
      </c>
      <c r="AN39" s="2164"/>
      <c r="AO39" s="2164"/>
      <c r="AP39" s="2164"/>
      <c r="AQ39" s="2164"/>
      <c r="AR39" s="2164"/>
      <c r="AS39" s="2164"/>
    </row>
    <row r="40" spans="1:15025" s="73" customFormat="1" ht="15" hidden="1" customHeight="1" x14ac:dyDescent="0.2">
      <c r="A40" s="16"/>
      <c r="B40" s="16"/>
      <c r="C40" s="17"/>
      <c r="D40" s="11" t="s">
        <v>71</v>
      </c>
      <c r="E40" s="256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6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16"/>
      <c r="AL40" s="54">
        <f>SUM(G40:AJ40)</f>
        <v>0</v>
      </c>
      <c r="AM40" s="16"/>
      <c r="AN40" s="2172"/>
      <c r="AO40" s="2172"/>
      <c r="AP40" s="2172"/>
      <c r="AQ40" s="2172"/>
      <c r="AR40" s="2172"/>
      <c r="AS40" s="2172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44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</row>
    <row r="41" spans="1:15025" s="1" customFormat="1" ht="15" hidden="1" customHeight="1" x14ac:dyDescent="0.25">
      <c r="C41" s="15"/>
      <c r="D41" s="14" t="s">
        <v>70</v>
      </c>
      <c r="E41" s="255"/>
      <c r="F41" s="20" t="s">
        <v>14</v>
      </c>
      <c r="G41" s="33">
        <f>G42+G43</f>
        <v>0</v>
      </c>
      <c r="H41" s="33">
        <f>H42+H43</f>
        <v>0</v>
      </c>
      <c r="I41" s="33">
        <f t="shared" ref="I41:AJ41" si="15">I42+I43</f>
        <v>0</v>
      </c>
      <c r="J41" s="33">
        <f t="shared" si="15"/>
        <v>0</v>
      </c>
      <c r="K41" s="33">
        <v>0</v>
      </c>
      <c r="L41" s="33">
        <f t="shared" si="15"/>
        <v>0</v>
      </c>
      <c r="M41" s="33">
        <f t="shared" si="15"/>
        <v>0</v>
      </c>
      <c r="N41" s="33">
        <f t="shared" si="15"/>
        <v>0</v>
      </c>
      <c r="O41" s="33">
        <f t="shared" si="15"/>
        <v>0</v>
      </c>
      <c r="P41" s="33">
        <f t="shared" si="15"/>
        <v>0</v>
      </c>
      <c r="Q41" s="33">
        <f t="shared" si="15"/>
        <v>0</v>
      </c>
      <c r="R41" s="33">
        <f t="shared" si="15"/>
        <v>0</v>
      </c>
      <c r="S41" s="1963">
        <v>0</v>
      </c>
      <c r="T41" s="33">
        <f t="shared" si="15"/>
        <v>0</v>
      </c>
      <c r="U41" s="33">
        <f t="shared" si="15"/>
        <v>0</v>
      </c>
      <c r="V41" s="33">
        <f t="shared" si="15"/>
        <v>0</v>
      </c>
      <c r="W41" s="33">
        <f t="shared" si="15"/>
        <v>0</v>
      </c>
      <c r="X41" s="33">
        <v>0</v>
      </c>
      <c r="Y41" s="33"/>
      <c r="Z41" s="33"/>
      <c r="AA41" s="33">
        <f t="shared" si="15"/>
        <v>0</v>
      </c>
      <c r="AB41" s="33">
        <f t="shared" si="15"/>
        <v>0</v>
      </c>
      <c r="AC41" s="33">
        <v>0</v>
      </c>
      <c r="AD41" s="33">
        <f t="shared" si="15"/>
        <v>0</v>
      </c>
      <c r="AE41" s="33">
        <f t="shared" si="15"/>
        <v>0</v>
      </c>
      <c r="AF41" s="33">
        <f t="shared" si="15"/>
        <v>0</v>
      </c>
      <c r="AG41" s="33">
        <f t="shared" si="15"/>
        <v>0</v>
      </c>
      <c r="AH41" s="33">
        <f t="shared" si="15"/>
        <v>0</v>
      </c>
      <c r="AI41" s="33"/>
      <c r="AJ41" s="33">
        <f t="shared" si="15"/>
        <v>0</v>
      </c>
      <c r="AL41" s="54">
        <f>SUM(G41:AJ41)</f>
        <v>0</v>
      </c>
      <c r="AN41" s="2164"/>
      <c r="AO41" s="2164"/>
      <c r="AP41" s="2164"/>
      <c r="AQ41" s="2164"/>
      <c r="AR41" s="2164"/>
      <c r="AS41" s="2164"/>
      <c r="BH41" s="142"/>
    </row>
    <row r="42" spans="1:15025" s="1" customFormat="1" ht="15" hidden="1" customHeight="1" x14ac:dyDescent="0.25">
      <c r="C42" s="15"/>
      <c r="D42" s="64" t="s">
        <v>109</v>
      </c>
      <c r="E42" s="255"/>
      <c r="F42" s="65" t="s">
        <v>14</v>
      </c>
      <c r="G42" s="270">
        <v>0</v>
      </c>
      <c r="H42" s="270">
        <v>0</v>
      </c>
      <c r="I42" s="270">
        <v>0</v>
      </c>
      <c r="J42" s="270">
        <v>0</v>
      </c>
      <c r="K42" s="270">
        <v>0</v>
      </c>
      <c r="L42" s="270">
        <v>0</v>
      </c>
      <c r="M42" s="270">
        <v>0</v>
      </c>
      <c r="N42" s="270">
        <v>0</v>
      </c>
      <c r="O42" s="270">
        <v>0</v>
      </c>
      <c r="P42" s="270">
        <v>0</v>
      </c>
      <c r="Q42" s="270">
        <v>0</v>
      </c>
      <c r="R42" s="270">
        <v>0</v>
      </c>
      <c r="S42" s="1967">
        <v>0</v>
      </c>
      <c r="T42" s="270">
        <v>0</v>
      </c>
      <c r="U42" s="270">
        <v>0</v>
      </c>
      <c r="V42" s="270">
        <v>0</v>
      </c>
      <c r="W42" s="270">
        <v>0</v>
      </c>
      <c r="X42" s="270">
        <v>0</v>
      </c>
      <c r="Y42" s="270"/>
      <c r="Z42" s="270"/>
      <c r="AA42" s="270">
        <v>0</v>
      </c>
      <c r="AB42" s="270">
        <v>0</v>
      </c>
      <c r="AC42" s="270">
        <v>0</v>
      </c>
      <c r="AD42" s="270">
        <v>0</v>
      </c>
      <c r="AE42" s="270">
        <v>0</v>
      </c>
      <c r="AF42" s="270">
        <v>0</v>
      </c>
      <c r="AG42" s="270">
        <v>0</v>
      </c>
      <c r="AH42" s="270"/>
      <c r="AI42" s="270"/>
      <c r="AJ42" s="270"/>
      <c r="AL42" s="57">
        <f>SUM(G42:AJ42)</f>
        <v>0</v>
      </c>
      <c r="AN42" s="2164"/>
      <c r="AO42" s="2164"/>
      <c r="AP42" s="2164"/>
      <c r="AQ42" s="2164"/>
      <c r="AR42" s="2164"/>
      <c r="AS42" s="2164"/>
      <c r="BH42" s="142"/>
    </row>
    <row r="43" spans="1:15025" s="1" customFormat="1" ht="15" hidden="1" customHeight="1" x14ac:dyDescent="0.25">
      <c r="C43" s="15"/>
      <c r="D43" s="55" t="s">
        <v>73</v>
      </c>
      <c r="E43" s="255"/>
      <c r="F43" s="65" t="s">
        <v>14</v>
      </c>
      <c r="G43" s="271">
        <v>0</v>
      </c>
      <c r="H43" s="271">
        <v>0</v>
      </c>
      <c r="I43" s="271">
        <v>0</v>
      </c>
      <c r="J43" s="271">
        <v>0</v>
      </c>
      <c r="K43" s="271">
        <v>0</v>
      </c>
      <c r="L43" s="271">
        <v>0</v>
      </c>
      <c r="M43" s="271">
        <v>0</v>
      </c>
      <c r="N43" s="271">
        <v>0</v>
      </c>
      <c r="O43" s="271">
        <v>0</v>
      </c>
      <c r="P43" s="271">
        <v>0</v>
      </c>
      <c r="Q43" s="271">
        <v>0</v>
      </c>
      <c r="R43" s="271">
        <v>0</v>
      </c>
      <c r="S43" s="1968">
        <v>0</v>
      </c>
      <c r="T43" s="271">
        <v>0</v>
      </c>
      <c r="U43" s="271">
        <v>0</v>
      </c>
      <c r="V43" s="271">
        <v>0</v>
      </c>
      <c r="W43" s="271">
        <v>0</v>
      </c>
      <c r="X43" s="271">
        <v>0</v>
      </c>
      <c r="Y43" s="271"/>
      <c r="Z43" s="271"/>
      <c r="AA43" s="271">
        <v>0</v>
      </c>
      <c r="AB43" s="271">
        <v>0</v>
      </c>
      <c r="AC43" s="271">
        <v>0</v>
      </c>
      <c r="AD43" s="271">
        <v>0</v>
      </c>
      <c r="AE43" s="271">
        <v>0</v>
      </c>
      <c r="AF43" s="271">
        <v>0</v>
      </c>
      <c r="AG43" s="271">
        <v>0</v>
      </c>
      <c r="AH43" s="271"/>
      <c r="AI43" s="271"/>
      <c r="AJ43" s="271"/>
      <c r="AL43" s="57">
        <f>SUM(G43:AJ43)</f>
        <v>0</v>
      </c>
      <c r="AN43" s="2164"/>
      <c r="AO43" s="2164"/>
      <c r="AP43" s="2164"/>
      <c r="AQ43" s="2164"/>
      <c r="AR43" s="2164"/>
      <c r="AS43" s="2164"/>
      <c r="BH43" s="142"/>
    </row>
    <row r="44" spans="1:15025" s="70" customFormat="1" hidden="1" x14ac:dyDescent="0.25">
      <c r="A44" s="62"/>
      <c r="B44" s="62"/>
      <c r="C44" s="68"/>
      <c r="D44" s="230" t="s">
        <v>110</v>
      </c>
      <c r="E44" s="305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66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62"/>
      <c r="AL44" s="66" t="s">
        <v>111</v>
      </c>
      <c r="AM44" s="62"/>
      <c r="AN44" s="2164"/>
      <c r="AO44" s="2164"/>
      <c r="AP44" s="2164"/>
      <c r="AQ44" s="2164"/>
      <c r="AR44" s="2164"/>
      <c r="AS44" s="2164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143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</row>
    <row r="45" spans="1:15025" hidden="1" x14ac:dyDescent="0.25">
      <c r="C45" s="15"/>
      <c r="D45" s="14" t="s">
        <v>75</v>
      </c>
      <c r="E45" s="229">
        <v>17143</v>
      </c>
      <c r="F45" s="20" t="s">
        <v>14</v>
      </c>
      <c r="G45" s="33">
        <f>G46+G47</f>
        <v>0</v>
      </c>
      <c r="H45" s="33">
        <f t="shared" ref="H45:AJ45" si="16">H46+H47</f>
        <v>0</v>
      </c>
      <c r="I45" s="33">
        <f t="shared" si="16"/>
        <v>0</v>
      </c>
      <c r="J45" s="33">
        <f t="shared" si="16"/>
        <v>0</v>
      </c>
      <c r="K45" s="33"/>
      <c r="L45" s="33">
        <f t="shared" si="16"/>
        <v>0</v>
      </c>
      <c r="M45" s="33">
        <f t="shared" si="16"/>
        <v>0</v>
      </c>
      <c r="N45" s="33">
        <f>N46+N47</f>
        <v>0</v>
      </c>
      <c r="O45" s="33">
        <f t="shared" si="16"/>
        <v>0</v>
      </c>
      <c r="P45" s="33"/>
      <c r="Q45" s="33">
        <f t="shared" si="16"/>
        <v>0</v>
      </c>
      <c r="R45" s="33">
        <f t="shared" si="16"/>
        <v>0</v>
      </c>
      <c r="S45" s="1963"/>
      <c r="T45" s="33">
        <f>T46+T47</f>
        <v>0</v>
      </c>
      <c r="U45" s="33">
        <f t="shared" ref="U45:V45" si="17">U46+U47</f>
        <v>0</v>
      </c>
      <c r="V45" s="33">
        <f t="shared" si="17"/>
        <v>0</v>
      </c>
      <c r="W45" s="33">
        <f t="shared" si="16"/>
        <v>0</v>
      </c>
      <c r="X45" s="33">
        <v>0</v>
      </c>
      <c r="Y45" s="33">
        <f t="shared" ref="Y45:Z45" si="18">Y46+Y47</f>
        <v>0</v>
      </c>
      <c r="Z45" s="33">
        <f t="shared" si="18"/>
        <v>0</v>
      </c>
      <c r="AA45" s="33">
        <f t="shared" si="16"/>
        <v>0</v>
      </c>
      <c r="AB45" s="33">
        <f t="shared" si="16"/>
        <v>0</v>
      </c>
      <c r="AC45" s="33">
        <f t="shared" si="16"/>
        <v>0</v>
      </c>
      <c r="AD45" s="33">
        <f>AD46+AD47</f>
        <v>0</v>
      </c>
      <c r="AE45" s="33">
        <f t="shared" si="16"/>
        <v>0</v>
      </c>
      <c r="AF45" s="33">
        <f t="shared" si="16"/>
        <v>0</v>
      </c>
      <c r="AG45" s="33">
        <f t="shared" si="16"/>
        <v>0</v>
      </c>
      <c r="AH45" s="33">
        <f t="shared" si="16"/>
        <v>0</v>
      </c>
      <c r="AI45" s="33"/>
      <c r="AJ45" s="33">
        <f t="shared" si="16"/>
        <v>0</v>
      </c>
      <c r="AL45" s="54">
        <f>SUM(G45:AJ45)</f>
        <v>0</v>
      </c>
      <c r="AN45" s="2164"/>
      <c r="AO45" s="2164"/>
      <c r="AP45" s="2164"/>
      <c r="AQ45" s="2164"/>
      <c r="AR45" s="2164"/>
      <c r="AS45" s="2164"/>
    </row>
    <row r="46" spans="1:15025" hidden="1" x14ac:dyDescent="0.25">
      <c r="C46" s="15"/>
      <c r="D46" s="64" t="s">
        <v>112</v>
      </c>
      <c r="E46" s="67">
        <v>12000000</v>
      </c>
      <c r="F46" s="65" t="s">
        <v>14</v>
      </c>
      <c r="G46" s="270"/>
      <c r="H46" s="270"/>
      <c r="I46" s="270"/>
      <c r="J46" s="270">
        <f t="shared" ref="J46:M47" si="19">K46-L46</f>
        <v>0</v>
      </c>
      <c r="K46" s="270">
        <f t="shared" si="19"/>
        <v>0</v>
      </c>
      <c r="L46" s="270">
        <f t="shared" si="19"/>
        <v>0</v>
      </c>
      <c r="M46" s="270">
        <f t="shared" si="19"/>
        <v>0</v>
      </c>
      <c r="N46" s="270">
        <f>O46-P46</f>
        <v>0</v>
      </c>
      <c r="O46" s="270">
        <f>P46-Q46</f>
        <v>0</v>
      </c>
      <c r="P46" s="270"/>
      <c r="Q46" s="270">
        <v>0</v>
      </c>
      <c r="R46" s="270">
        <v>0</v>
      </c>
      <c r="S46" s="1967"/>
      <c r="T46" s="270"/>
      <c r="U46" s="270"/>
      <c r="V46" s="270">
        <v>0</v>
      </c>
      <c r="W46" s="270">
        <v>0</v>
      </c>
      <c r="X46" s="270">
        <v>0</v>
      </c>
      <c r="Y46" s="270">
        <v>0</v>
      </c>
      <c r="Z46" s="270">
        <v>0</v>
      </c>
      <c r="AA46" s="270"/>
      <c r="AB46" s="270"/>
      <c r="AC46" s="270"/>
      <c r="AD46" s="270"/>
      <c r="AE46" s="270"/>
      <c r="AF46" s="270">
        <v>0</v>
      </c>
      <c r="AG46" s="270">
        <v>0</v>
      </c>
      <c r="AH46" s="270">
        <v>0</v>
      </c>
      <c r="AI46" s="270"/>
      <c r="AJ46" s="270">
        <v>0</v>
      </c>
      <c r="AL46" s="57">
        <f>SUM(G46:AJ46)</f>
        <v>0</v>
      </c>
      <c r="AN46" s="2164"/>
      <c r="AO46" s="2165"/>
      <c r="AP46" s="2164"/>
      <c r="AQ46" s="2164"/>
      <c r="AR46" s="2164"/>
      <c r="AS46" s="2164"/>
    </row>
    <row r="47" spans="1:15025" hidden="1" x14ac:dyDescent="0.25">
      <c r="C47" s="15"/>
      <c r="D47" s="64" t="s">
        <v>73</v>
      </c>
      <c r="E47" s="67">
        <v>514300</v>
      </c>
      <c r="F47" s="105" t="s">
        <v>14</v>
      </c>
      <c r="G47" s="271"/>
      <c r="H47" s="271"/>
      <c r="I47" s="271"/>
      <c r="J47" s="270">
        <f t="shared" si="19"/>
        <v>0</v>
      </c>
      <c r="K47" s="270">
        <f t="shared" si="19"/>
        <v>0</v>
      </c>
      <c r="L47" s="270">
        <f t="shared" si="19"/>
        <v>0</v>
      </c>
      <c r="M47" s="270">
        <f t="shared" si="19"/>
        <v>0</v>
      </c>
      <c r="N47" s="270">
        <f>O47-P47</f>
        <v>0</v>
      </c>
      <c r="O47" s="270">
        <f>P47-Q47</f>
        <v>0</v>
      </c>
      <c r="P47" s="271"/>
      <c r="Q47" s="271">
        <v>0</v>
      </c>
      <c r="R47" s="271">
        <v>0</v>
      </c>
      <c r="S47" s="1968"/>
      <c r="T47" s="271"/>
      <c r="U47" s="271"/>
      <c r="V47" s="271">
        <v>0</v>
      </c>
      <c r="W47" s="271">
        <v>0</v>
      </c>
      <c r="X47" s="271">
        <v>0</v>
      </c>
      <c r="Y47" s="271">
        <v>0</v>
      </c>
      <c r="Z47" s="271">
        <v>0</v>
      </c>
      <c r="AA47" s="271"/>
      <c r="AB47" s="271"/>
      <c r="AC47" s="271"/>
      <c r="AD47" s="271"/>
      <c r="AE47" s="271"/>
      <c r="AF47" s="271">
        <v>0</v>
      </c>
      <c r="AG47" s="271">
        <v>0</v>
      </c>
      <c r="AH47" s="271"/>
      <c r="AI47" s="271"/>
      <c r="AJ47" s="271">
        <v>0</v>
      </c>
      <c r="AL47" s="57">
        <f>SUM(G47:AJ47)</f>
        <v>0</v>
      </c>
      <c r="AN47" s="2164"/>
      <c r="AO47" s="2165"/>
      <c r="AP47" s="2164"/>
      <c r="AQ47" s="2164"/>
      <c r="AR47" s="2164"/>
      <c r="AS47" s="2164"/>
    </row>
    <row r="48" spans="1:15025" s="70" customFormat="1" ht="15" hidden="1" customHeight="1" x14ac:dyDescent="0.25">
      <c r="A48" s="62"/>
      <c r="B48" s="62"/>
      <c r="C48" s="68"/>
      <c r="D48" s="230" t="s">
        <v>818</v>
      </c>
      <c r="E48" s="305"/>
      <c r="F48" s="9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1969"/>
      <c r="T48" s="272"/>
      <c r="U48" s="272"/>
      <c r="V48" s="272"/>
      <c r="W48" s="272"/>
      <c r="X48" s="272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272"/>
      <c r="AK48" s="62"/>
      <c r="AL48" s="66" t="s">
        <v>111</v>
      </c>
      <c r="AM48" s="62"/>
      <c r="AN48" s="2164"/>
      <c r="AO48" s="2164"/>
      <c r="AP48" s="2164"/>
      <c r="AQ48" s="2164"/>
      <c r="AR48" s="2164"/>
      <c r="AS48" s="2164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143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</row>
    <row r="49" spans="1:15025" s="73" customFormat="1" ht="15" hidden="1" customHeight="1" x14ac:dyDescent="0.2">
      <c r="A49" s="16"/>
      <c r="B49" s="16"/>
      <c r="C49" s="17"/>
      <c r="D49" s="11" t="s">
        <v>71</v>
      </c>
      <c r="E49" s="256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6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16"/>
      <c r="AL49" s="54">
        <f>SUM(G49:AJ49)</f>
        <v>0</v>
      </c>
      <c r="AM49" s="16"/>
      <c r="AN49" s="2172"/>
      <c r="AO49" s="2172"/>
      <c r="AP49" s="2172"/>
      <c r="AQ49" s="2172"/>
      <c r="AR49" s="2172"/>
      <c r="AS49" s="2172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44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</row>
    <row r="50" spans="1:15025" ht="15" hidden="1" customHeight="1" x14ac:dyDescent="0.25">
      <c r="C50" s="15"/>
      <c r="D50" s="14" t="s">
        <v>75</v>
      </c>
      <c r="E50" s="229">
        <f>E51+E52</f>
        <v>21429000</v>
      </c>
      <c r="F50" s="20" t="s">
        <v>14</v>
      </c>
      <c r="G50" s="33">
        <f>G51+G52</f>
        <v>0</v>
      </c>
      <c r="H50" s="33">
        <f t="shared" ref="H50:AJ50" si="20">H51+H52</f>
        <v>0</v>
      </c>
      <c r="I50" s="33">
        <f t="shared" si="20"/>
        <v>0</v>
      </c>
      <c r="J50" s="33">
        <f t="shared" si="20"/>
        <v>0</v>
      </c>
      <c r="K50" s="33">
        <v>0</v>
      </c>
      <c r="L50" s="33">
        <f t="shared" si="20"/>
        <v>0</v>
      </c>
      <c r="M50" s="33">
        <f t="shared" si="20"/>
        <v>0</v>
      </c>
      <c r="N50" s="33">
        <f t="shared" si="20"/>
        <v>0</v>
      </c>
      <c r="O50" s="33">
        <f t="shared" si="20"/>
        <v>0</v>
      </c>
      <c r="P50" s="33">
        <f t="shared" si="20"/>
        <v>0</v>
      </c>
      <c r="Q50" s="33">
        <f t="shared" si="20"/>
        <v>0</v>
      </c>
      <c r="R50" s="33">
        <f t="shared" si="20"/>
        <v>0</v>
      </c>
      <c r="S50" s="1963">
        <v>0</v>
      </c>
      <c r="T50" s="33">
        <f t="shared" si="20"/>
        <v>0</v>
      </c>
      <c r="U50" s="33">
        <f t="shared" si="20"/>
        <v>0</v>
      </c>
      <c r="V50" s="33">
        <f t="shared" si="20"/>
        <v>0</v>
      </c>
      <c r="W50" s="33">
        <f t="shared" si="20"/>
        <v>0</v>
      </c>
      <c r="X50" s="33">
        <v>0</v>
      </c>
      <c r="Y50" s="33">
        <f t="shared" ref="Y50:Z50" si="21">Y51+Y52</f>
        <v>0</v>
      </c>
      <c r="Z50" s="33">
        <f t="shared" si="21"/>
        <v>0</v>
      </c>
      <c r="AA50" s="33">
        <f t="shared" si="20"/>
        <v>0</v>
      </c>
      <c r="AB50" s="33">
        <f t="shared" si="20"/>
        <v>0</v>
      </c>
      <c r="AC50" s="33">
        <v>0</v>
      </c>
      <c r="AD50" s="33">
        <f t="shared" si="20"/>
        <v>0</v>
      </c>
      <c r="AE50" s="33">
        <f t="shared" si="20"/>
        <v>0</v>
      </c>
      <c r="AF50" s="33">
        <f t="shared" si="20"/>
        <v>0</v>
      </c>
      <c r="AG50" s="33">
        <f t="shared" si="20"/>
        <v>0</v>
      </c>
      <c r="AH50" s="33">
        <f t="shared" si="20"/>
        <v>0</v>
      </c>
      <c r="AI50" s="33"/>
      <c r="AJ50" s="33">
        <f t="shared" si="20"/>
        <v>0</v>
      </c>
      <c r="AL50" s="54">
        <f>SUM(G50:AJ50)</f>
        <v>0</v>
      </c>
      <c r="AN50" s="2164"/>
      <c r="AO50" s="2164"/>
      <c r="AP50" s="2164"/>
      <c r="AQ50" s="2164"/>
      <c r="AR50" s="2164"/>
      <c r="AS50" s="2164"/>
    </row>
    <row r="51" spans="1:15025" ht="15" hidden="1" customHeight="1" x14ac:dyDescent="0.25">
      <c r="C51" s="15"/>
      <c r="D51" s="64" t="s">
        <v>112</v>
      </c>
      <c r="E51" s="67">
        <v>15000000</v>
      </c>
      <c r="F51" s="65" t="s">
        <v>14</v>
      </c>
      <c r="G51" s="270">
        <v>0</v>
      </c>
      <c r="H51" s="270">
        <v>0</v>
      </c>
      <c r="I51" s="270">
        <v>0</v>
      </c>
      <c r="J51" s="270">
        <v>0</v>
      </c>
      <c r="K51" s="270">
        <v>0</v>
      </c>
      <c r="L51" s="270">
        <v>0</v>
      </c>
      <c r="M51" s="270">
        <v>0</v>
      </c>
      <c r="N51" s="270">
        <v>0</v>
      </c>
      <c r="O51" s="270">
        <v>0</v>
      </c>
      <c r="P51" s="270">
        <v>0</v>
      </c>
      <c r="Q51" s="270">
        <v>0</v>
      </c>
      <c r="R51" s="270">
        <v>0</v>
      </c>
      <c r="S51" s="1967">
        <v>0</v>
      </c>
      <c r="T51" s="270">
        <v>0</v>
      </c>
      <c r="U51" s="270">
        <v>0</v>
      </c>
      <c r="V51" s="270">
        <v>0</v>
      </c>
      <c r="W51" s="270">
        <v>0</v>
      </c>
      <c r="X51" s="270">
        <v>0</v>
      </c>
      <c r="Y51" s="270">
        <v>0</v>
      </c>
      <c r="Z51" s="270">
        <v>0</v>
      </c>
      <c r="AA51" s="270">
        <v>0</v>
      </c>
      <c r="AB51" s="270">
        <v>0</v>
      </c>
      <c r="AC51" s="270">
        <v>0</v>
      </c>
      <c r="AD51" s="270">
        <v>0</v>
      </c>
      <c r="AE51" s="270">
        <v>0</v>
      </c>
      <c r="AF51" s="270">
        <v>0</v>
      </c>
      <c r="AG51" s="270">
        <v>0</v>
      </c>
      <c r="AH51" s="270">
        <v>0</v>
      </c>
      <c r="AI51" s="270"/>
      <c r="AJ51" s="270"/>
      <c r="AL51" s="57">
        <f>SUM(G51:AJ51)</f>
        <v>0</v>
      </c>
      <c r="AN51" s="2164"/>
      <c r="AO51" s="2164"/>
      <c r="AP51" s="2164"/>
      <c r="AQ51" s="2164"/>
      <c r="AR51" s="2164"/>
      <c r="AS51" s="2164"/>
    </row>
    <row r="52" spans="1:15025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70">
        <v>0</v>
      </c>
      <c r="H52" s="270">
        <v>0</v>
      </c>
      <c r="I52" s="270">
        <v>0</v>
      </c>
      <c r="J52" s="270">
        <v>0</v>
      </c>
      <c r="K52" s="270">
        <v>0</v>
      </c>
      <c r="L52" s="270">
        <v>0</v>
      </c>
      <c r="M52" s="270">
        <v>0</v>
      </c>
      <c r="N52" s="270">
        <v>0</v>
      </c>
      <c r="O52" s="270">
        <v>0</v>
      </c>
      <c r="P52" s="270">
        <v>0</v>
      </c>
      <c r="Q52" s="270">
        <v>0</v>
      </c>
      <c r="R52" s="270">
        <v>0</v>
      </c>
      <c r="S52" s="1967">
        <v>0</v>
      </c>
      <c r="T52" s="270">
        <v>0</v>
      </c>
      <c r="U52" s="270">
        <v>0</v>
      </c>
      <c r="V52" s="270">
        <v>0</v>
      </c>
      <c r="W52" s="270">
        <v>0</v>
      </c>
      <c r="X52" s="270">
        <v>0</v>
      </c>
      <c r="Y52" s="270">
        <v>0</v>
      </c>
      <c r="Z52" s="270">
        <v>0</v>
      </c>
      <c r="AA52" s="270">
        <v>0</v>
      </c>
      <c r="AB52" s="270">
        <v>0</v>
      </c>
      <c r="AC52" s="270">
        <v>0</v>
      </c>
      <c r="AD52" s="270">
        <v>0</v>
      </c>
      <c r="AE52" s="270">
        <v>0</v>
      </c>
      <c r="AF52" s="270">
        <v>0</v>
      </c>
      <c r="AG52" s="270">
        <v>0</v>
      </c>
      <c r="AH52" s="270">
        <v>0</v>
      </c>
      <c r="AI52" s="270"/>
      <c r="AJ52" s="270"/>
      <c r="AL52" s="57">
        <f>SUM(G52:AJ52)</f>
        <v>0</v>
      </c>
      <c r="AN52" s="2164"/>
      <c r="AO52" s="2164"/>
      <c r="AP52" s="2164"/>
      <c r="AQ52" s="2164"/>
      <c r="AR52" s="2164"/>
      <c r="AS52" s="2164"/>
    </row>
    <row r="53" spans="1:15025" hidden="1" x14ac:dyDescent="0.25">
      <c r="C53" s="15"/>
      <c r="D53" s="230" t="s">
        <v>72</v>
      </c>
      <c r="E53" s="233"/>
      <c r="F53" s="232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66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L53" s="66" t="s">
        <v>61</v>
      </c>
      <c r="AN53" s="2164"/>
      <c r="AO53" s="2164"/>
      <c r="AP53" s="2164"/>
      <c r="AQ53" s="2164"/>
      <c r="AR53" s="2164"/>
      <c r="AS53" s="2164"/>
    </row>
    <row r="54" spans="1:15025" s="73" customFormat="1" hidden="1" x14ac:dyDescent="0.2">
      <c r="A54" s="16"/>
      <c r="B54" s="16"/>
      <c r="C54" s="17"/>
      <c r="D54" s="11" t="s">
        <v>71</v>
      </c>
      <c r="E54" s="256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6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16"/>
      <c r="AL54" s="54">
        <f>SUM(G54:AJ54)</f>
        <v>0</v>
      </c>
      <c r="AM54" s="16"/>
      <c r="AN54" s="2172"/>
      <c r="AO54" s="2173"/>
      <c r="AP54" s="2172"/>
      <c r="AQ54" s="2172"/>
      <c r="AR54" s="2172"/>
      <c r="AS54" s="2172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44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</row>
    <row r="55" spans="1:15025" s="1" customFormat="1" hidden="1" x14ac:dyDescent="0.25">
      <c r="C55" s="15"/>
      <c r="D55" s="14" t="s">
        <v>70</v>
      </c>
      <c r="E55" s="255">
        <f>E56+E57</f>
        <v>1333300</v>
      </c>
      <c r="F55" s="20" t="s">
        <v>14</v>
      </c>
      <c r="G55" s="33">
        <f>G56+G57</f>
        <v>0</v>
      </c>
      <c r="H55" s="33">
        <f>H56+H57</f>
        <v>0</v>
      </c>
      <c r="I55" s="33">
        <f>I56+I57</f>
        <v>0</v>
      </c>
      <c r="J55" s="33">
        <f t="shared" ref="J55:AJ55" si="22">J56+J57</f>
        <v>0</v>
      </c>
      <c r="K55" s="33">
        <v>0</v>
      </c>
      <c r="L55" s="33">
        <v>0</v>
      </c>
      <c r="M55" s="33">
        <f t="shared" si="22"/>
        <v>0</v>
      </c>
      <c r="N55" s="33">
        <f t="shared" si="22"/>
        <v>0</v>
      </c>
      <c r="O55" s="33">
        <f t="shared" si="22"/>
        <v>0</v>
      </c>
      <c r="P55" s="33">
        <f t="shared" si="22"/>
        <v>0</v>
      </c>
      <c r="Q55" s="33">
        <f t="shared" si="22"/>
        <v>0</v>
      </c>
      <c r="R55" s="33"/>
      <c r="S55" s="1963">
        <f>S56+S57</f>
        <v>0</v>
      </c>
      <c r="T55" s="33">
        <f t="shared" si="22"/>
        <v>0</v>
      </c>
      <c r="U55" s="33">
        <f t="shared" si="22"/>
        <v>0</v>
      </c>
      <c r="V55" s="33">
        <f t="shared" si="22"/>
        <v>0</v>
      </c>
      <c r="W55" s="33">
        <f t="shared" si="22"/>
        <v>0</v>
      </c>
      <c r="X55" s="33">
        <v>0</v>
      </c>
      <c r="Y55" s="33">
        <f t="shared" ref="Y55:Z55" si="23">Y56+Y57</f>
        <v>0</v>
      </c>
      <c r="Z55" s="33">
        <f t="shared" si="23"/>
        <v>0</v>
      </c>
      <c r="AA55" s="33">
        <f t="shared" si="22"/>
        <v>0</v>
      </c>
      <c r="AB55" s="33">
        <f t="shared" si="22"/>
        <v>0</v>
      </c>
      <c r="AC55" s="33">
        <f>AC56+AC57</f>
        <v>0</v>
      </c>
      <c r="AD55" s="33">
        <f t="shared" si="22"/>
        <v>0</v>
      </c>
      <c r="AE55" s="33">
        <f t="shared" si="22"/>
        <v>0</v>
      </c>
      <c r="AF55" s="33">
        <f t="shared" si="22"/>
        <v>0</v>
      </c>
      <c r="AG55" s="33">
        <f t="shared" si="22"/>
        <v>0</v>
      </c>
      <c r="AH55" s="33">
        <f t="shared" si="22"/>
        <v>0</v>
      </c>
      <c r="AI55" s="33"/>
      <c r="AJ55" s="33">
        <f t="shared" si="22"/>
        <v>0</v>
      </c>
      <c r="AL55" s="54">
        <f>SUM(G55:AJ55)</f>
        <v>0</v>
      </c>
      <c r="AN55" s="2164"/>
      <c r="AO55" s="2164"/>
      <c r="AP55" s="2164"/>
      <c r="AQ55" s="2164"/>
      <c r="AR55" s="2164"/>
      <c r="AS55" s="2164"/>
      <c r="BH55" s="142"/>
    </row>
    <row r="56" spans="1:15025" s="1" customFormat="1" hidden="1" x14ac:dyDescent="0.25">
      <c r="C56" s="15"/>
      <c r="D56" s="64" t="s">
        <v>68</v>
      </c>
      <c r="E56" s="255">
        <v>1250000</v>
      </c>
      <c r="F56" s="65" t="s">
        <v>14</v>
      </c>
      <c r="G56" s="270">
        <v>0</v>
      </c>
      <c r="H56" s="270">
        <v>0</v>
      </c>
      <c r="I56" s="270">
        <v>0</v>
      </c>
      <c r="J56" s="270">
        <v>0</v>
      </c>
      <c r="K56" s="270">
        <v>0</v>
      </c>
      <c r="L56" s="270">
        <v>0</v>
      </c>
      <c r="M56" s="270">
        <v>0</v>
      </c>
      <c r="N56" s="270">
        <v>0</v>
      </c>
      <c r="O56" s="270">
        <v>0</v>
      </c>
      <c r="P56" s="270">
        <v>0</v>
      </c>
      <c r="Q56" s="270">
        <v>0</v>
      </c>
      <c r="R56" s="270">
        <v>0</v>
      </c>
      <c r="S56" s="1967"/>
      <c r="T56" s="270">
        <v>0</v>
      </c>
      <c r="U56" s="270">
        <v>0</v>
      </c>
      <c r="V56" s="270">
        <v>0</v>
      </c>
      <c r="W56" s="270">
        <v>0</v>
      </c>
      <c r="X56" s="270">
        <v>0</v>
      </c>
      <c r="Y56" s="270">
        <v>0</v>
      </c>
      <c r="Z56" s="270">
        <v>0</v>
      </c>
      <c r="AA56" s="270">
        <v>0</v>
      </c>
      <c r="AB56" s="270">
        <v>0</v>
      </c>
      <c r="AC56" s="272"/>
      <c r="AD56" s="270">
        <v>0</v>
      </c>
      <c r="AE56" s="270">
        <v>0</v>
      </c>
      <c r="AF56" s="270">
        <v>0</v>
      </c>
      <c r="AG56" s="270"/>
      <c r="AH56" s="270">
        <v>0</v>
      </c>
      <c r="AI56" s="270"/>
      <c r="AJ56" s="270"/>
      <c r="AL56" s="57">
        <f>SUM(G56:AJ56)</f>
        <v>0</v>
      </c>
      <c r="AN56" s="2164"/>
      <c r="AO56" s="2165"/>
      <c r="AP56" s="2164"/>
      <c r="AQ56" s="2164"/>
      <c r="AR56" s="2164"/>
      <c r="AS56" s="2164"/>
      <c r="BH56" s="142"/>
    </row>
    <row r="57" spans="1:15025" s="1" customFormat="1" hidden="1" x14ac:dyDescent="0.25">
      <c r="C57" s="15"/>
      <c r="D57" s="64" t="s">
        <v>67</v>
      </c>
      <c r="E57" s="255">
        <v>83300</v>
      </c>
      <c r="F57" s="65" t="s">
        <v>14</v>
      </c>
      <c r="G57" s="270">
        <v>0</v>
      </c>
      <c r="H57" s="270">
        <v>0</v>
      </c>
      <c r="I57" s="270">
        <v>0</v>
      </c>
      <c r="J57" s="270">
        <v>0</v>
      </c>
      <c r="K57" s="270">
        <v>0</v>
      </c>
      <c r="L57" s="270">
        <v>0</v>
      </c>
      <c r="M57" s="270">
        <v>0</v>
      </c>
      <c r="N57" s="270">
        <v>0</v>
      </c>
      <c r="O57" s="270">
        <v>0</v>
      </c>
      <c r="P57" s="270">
        <v>0</v>
      </c>
      <c r="Q57" s="270">
        <v>0</v>
      </c>
      <c r="R57" s="270">
        <v>0</v>
      </c>
      <c r="S57" s="1967"/>
      <c r="T57" s="270">
        <v>0</v>
      </c>
      <c r="U57" s="270">
        <v>0</v>
      </c>
      <c r="V57" s="270">
        <v>0</v>
      </c>
      <c r="W57" s="270">
        <v>0</v>
      </c>
      <c r="X57" s="270">
        <v>0</v>
      </c>
      <c r="Y57" s="270">
        <v>0</v>
      </c>
      <c r="Z57" s="270">
        <v>0</v>
      </c>
      <c r="AA57" s="270">
        <v>0</v>
      </c>
      <c r="AB57" s="270">
        <v>0</v>
      </c>
      <c r="AC57" s="270"/>
      <c r="AD57" s="270">
        <v>0</v>
      </c>
      <c r="AE57" s="270">
        <v>0</v>
      </c>
      <c r="AF57" s="270">
        <v>0</v>
      </c>
      <c r="AG57" s="270"/>
      <c r="AH57" s="270">
        <v>0</v>
      </c>
      <c r="AI57" s="270"/>
      <c r="AJ57" s="270"/>
      <c r="AL57" s="57">
        <f>SUM(G57:AJ57)</f>
        <v>0</v>
      </c>
      <c r="AN57" s="2164"/>
      <c r="AO57" s="2165"/>
      <c r="AP57" s="2164"/>
      <c r="AQ57" s="2164"/>
      <c r="AR57" s="2164"/>
      <c r="AS57" s="2164"/>
      <c r="BH57" s="142"/>
    </row>
    <row r="58" spans="1:15025" s="1" customFormat="1" hidden="1" x14ac:dyDescent="0.25">
      <c r="C58" s="15"/>
      <c r="D58" s="74" t="s">
        <v>113</v>
      </c>
      <c r="E58" s="255"/>
      <c r="F58" s="13" t="s">
        <v>25</v>
      </c>
      <c r="G58" s="273">
        <v>0</v>
      </c>
      <c r="H58" s="273">
        <v>0</v>
      </c>
      <c r="I58" s="273">
        <v>0</v>
      </c>
      <c r="J58" s="273">
        <v>0</v>
      </c>
      <c r="K58" s="273">
        <v>0</v>
      </c>
      <c r="L58" s="273">
        <v>0</v>
      </c>
      <c r="M58" s="273">
        <v>0</v>
      </c>
      <c r="N58" s="273">
        <v>0</v>
      </c>
      <c r="O58" s="273">
        <v>0</v>
      </c>
      <c r="P58" s="273">
        <v>0</v>
      </c>
      <c r="Q58" s="273">
        <v>0</v>
      </c>
      <c r="R58" s="273">
        <v>0</v>
      </c>
      <c r="S58" s="1970">
        <v>0</v>
      </c>
      <c r="T58" s="273">
        <v>0</v>
      </c>
      <c r="U58" s="273">
        <v>0</v>
      </c>
      <c r="V58" s="273">
        <v>0</v>
      </c>
      <c r="W58" s="273">
        <v>0</v>
      </c>
      <c r="X58" s="273">
        <v>0</v>
      </c>
      <c r="Y58" s="273">
        <v>0</v>
      </c>
      <c r="Z58" s="273">
        <v>0</v>
      </c>
      <c r="AA58" s="273">
        <v>0</v>
      </c>
      <c r="AB58" s="273">
        <v>0</v>
      </c>
      <c r="AC58" s="273">
        <v>0</v>
      </c>
      <c r="AD58" s="273">
        <v>0</v>
      </c>
      <c r="AE58" s="273">
        <v>0</v>
      </c>
      <c r="AF58" s="273">
        <v>0</v>
      </c>
      <c r="AG58" s="273">
        <v>0</v>
      </c>
      <c r="AH58" s="273">
        <v>0</v>
      </c>
      <c r="AI58" s="273"/>
      <c r="AJ58" s="273">
        <v>0</v>
      </c>
      <c r="AK58" s="62"/>
      <c r="AL58" s="57">
        <f>SUM(G58:AJ58)</f>
        <v>0</v>
      </c>
      <c r="AN58" s="2164"/>
      <c r="AO58" s="2165"/>
      <c r="AP58" s="2164"/>
      <c r="AQ58" s="2164"/>
      <c r="AR58" s="2164"/>
      <c r="AS58" s="2164"/>
      <c r="BH58" s="142"/>
    </row>
    <row r="59" spans="1:15025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66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L59" s="78" t="s">
        <v>128</v>
      </c>
      <c r="AN59" s="2165"/>
      <c r="AO59" s="2164"/>
      <c r="AP59" s="2164"/>
      <c r="AQ59" s="2164"/>
      <c r="AR59" s="2164"/>
      <c r="AS59" s="2164"/>
    </row>
    <row r="60" spans="1:15025" x14ac:dyDescent="0.25">
      <c r="C60" s="15"/>
      <c r="D60" s="74" t="s">
        <v>65</v>
      </c>
      <c r="E60" s="1572">
        <v>94.2</v>
      </c>
      <c r="F60" s="69" t="s">
        <v>25</v>
      </c>
      <c r="G60" s="274" t="e">
        <f t="shared" ref="G60:M60" si="24">(G20/(G9))*100</f>
        <v>#DIV/0!</v>
      </c>
      <c r="H60" s="274" t="e">
        <f t="shared" si="24"/>
        <v>#DIV/0!</v>
      </c>
      <c r="I60" s="274" t="e">
        <f t="shared" si="24"/>
        <v>#DIV/0!</v>
      </c>
      <c r="J60" s="274" t="e">
        <f t="shared" si="24"/>
        <v>#DIV/0!</v>
      </c>
      <c r="K60" s="274" t="e">
        <f t="shared" si="24"/>
        <v>#DIV/0!</v>
      </c>
      <c r="L60" s="274" t="e">
        <f t="shared" si="24"/>
        <v>#DIV/0!</v>
      </c>
      <c r="M60" s="274" t="e">
        <f t="shared" si="24"/>
        <v>#DIV/0!</v>
      </c>
      <c r="N60" s="274">
        <f>((N20+N19+N18)/(N9))*100</f>
        <v>101.47010656986863</v>
      </c>
      <c r="O60" s="274">
        <f>((O20+O19+O18)/(O9))*100</f>
        <v>95.26816057321841</v>
      </c>
      <c r="P60" s="274">
        <f t="shared" ref="P60:AJ60" si="25">((P20+P19+P18)/(P9))*100</f>
        <v>94.512759535351691</v>
      </c>
      <c r="Q60" s="274">
        <f t="shared" si="25"/>
        <v>94.664533525162227</v>
      </c>
      <c r="R60" s="274">
        <f t="shared" si="25"/>
        <v>94.680628090117281</v>
      </c>
      <c r="S60" s="274">
        <f t="shared" si="25"/>
        <v>94.165547832849498</v>
      </c>
      <c r="T60" s="274">
        <f t="shared" si="25"/>
        <v>93.875419861821896</v>
      </c>
      <c r="U60" s="274">
        <f t="shared" si="25"/>
        <v>94.450449930579012</v>
      </c>
      <c r="V60" s="274">
        <f t="shared" si="25"/>
        <v>93.745571973570733</v>
      </c>
      <c r="W60" s="274">
        <f t="shared" si="25"/>
        <v>93.647053703813071</v>
      </c>
      <c r="X60" s="274">
        <v>0</v>
      </c>
      <c r="Y60" s="274" t="e">
        <f t="shared" si="25"/>
        <v>#DIV/0!</v>
      </c>
      <c r="Z60" s="274" t="e">
        <f t="shared" si="25"/>
        <v>#DIV/0!</v>
      </c>
      <c r="AA60" s="274" t="e">
        <f t="shared" si="25"/>
        <v>#DIV/0!</v>
      </c>
      <c r="AB60" s="274" t="e">
        <f t="shared" si="25"/>
        <v>#DIV/0!</v>
      </c>
      <c r="AC60" s="274" t="e">
        <f t="shared" si="25"/>
        <v>#DIV/0!</v>
      </c>
      <c r="AD60" s="274" t="e">
        <f t="shared" si="25"/>
        <v>#DIV/0!</v>
      </c>
      <c r="AE60" s="274" t="e">
        <f t="shared" si="25"/>
        <v>#DIV/0!</v>
      </c>
      <c r="AF60" s="274" t="e">
        <f t="shared" si="25"/>
        <v>#DIV/0!</v>
      </c>
      <c r="AG60" s="274" t="e">
        <f t="shared" si="25"/>
        <v>#DIV/0!</v>
      </c>
      <c r="AH60" s="274" t="e">
        <f t="shared" si="25"/>
        <v>#DIV/0!</v>
      </c>
      <c r="AI60" s="274" t="e">
        <f t="shared" si="25"/>
        <v>#DIV/0!</v>
      </c>
      <c r="AJ60" s="274" t="e">
        <f t="shared" si="25"/>
        <v>#DIV/0!</v>
      </c>
      <c r="AK60" s="62"/>
      <c r="AL60" s="2023">
        <f>((AL20+AL19+AL18)/(AL9))*100</f>
        <v>94.78756384244997</v>
      </c>
    </row>
    <row r="61" spans="1:15025" x14ac:dyDescent="0.25">
      <c r="C61" s="15"/>
      <c r="D61" s="74" t="s">
        <v>64</v>
      </c>
      <c r="E61" s="126">
        <v>5</v>
      </c>
      <c r="F61" s="69" t="s">
        <v>25</v>
      </c>
      <c r="G61" s="274" t="e">
        <f t="shared" ref="G61:AJ61" si="26">(G21/(G9))*100</f>
        <v>#DIV/0!</v>
      </c>
      <c r="H61" s="274" t="e">
        <f t="shared" si="26"/>
        <v>#DIV/0!</v>
      </c>
      <c r="I61" s="274" t="e">
        <f t="shared" si="26"/>
        <v>#DIV/0!</v>
      </c>
      <c r="J61" s="274" t="e">
        <f t="shared" si="26"/>
        <v>#DIV/0!</v>
      </c>
      <c r="K61" s="274" t="e">
        <f t="shared" si="26"/>
        <v>#DIV/0!</v>
      </c>
      <c r="L61" s="274" t="e">
        <f t="shared" si="26"/>
        <v>#DIV/0!</v>
      </c>
      <c r="M61" s="274" t="e">
        <f t="shared" si="26"/>
        <v>#DIV/0!</v>
      </c>
      <c r="N61" s="274">
        <f t="shared" si="26"/>
        <v>1.7911425470117397</v>
      </c>
      <c r="O61" s="274">
        <f t="shared" si="26"/>
        <v>4.0482563994315495</v>
      </c>
      <c r="P61" s="274">
        <f t="shared" si="26"/>
        <v>5.0714351047288027</v>
      </c>
      <c r="Q61" s="274">
        <f t="shared" si="26"/>
        <v>4.7548074264199469</v>
      </c>
      <c r="R61" s="274">
        <f t="shared" si="26"/>
        <v>4.5284323402923032</v>
      </c>
      <c r="S61" s="274">
        <f t="shared" si="26"/>
        <v>4.8796916193855626</v>
      </c>
      <c r="T61" s="274">
        <f t="shared" si="26"/>
        <v>5.2931007131249208</v>
      </c>
      <c r="U61" s="274">
        <f t="shared" si="26"/>
        <v>4.8024598559645089</v>
      </c>
      <c r="V61" s="274">
        <f t="shared" si="26"/>
        <v>5.5178020967387882</v>
      </c>
      <c r="W61" s="274">
        <f t="shared" si="26"/>
        <v>9.9760964101097578</v>
      </c>
      <c r="X61" s="274">
        <v>0</v>
      </c>
      <c r="Y61" s="274" t="e">
        <f t="shared" si="26"/>
        <v>#DIV/0!</v>
      </c>
      <c r="Z61" s="274" t="e">
        <f t="shared" si="26"/>
        <v>#DIV/0!</v>
      </c>
      <c r="AA61" s="274" t="e">
        <f t="shared" si="26"/>
        <v>#DIV/0!</v>
      </c>
      <c r="AB61" s="274" t="e">
        <f t="shared" si="26"/>
        <v>#DIV/0!</v>
      </c>
      <c r="AC61" s="274" t="e">
        <f t="shared" si="26"/>
        <v>#DIV/0!</v>
      </c>
      <c r="AD61" s="274" t="e">
        <f t="shared" si="26"/>
        <v>#DIV/0!</v>
      </c>
      <c r="AE61" s="274" t="e">
        <f t="shared" si="26"/>
        <v>#DIV/0!</v>
      </c>
      <c r="AF61" s="274" t="e">
        <f t="shared" si="26"/>
        <v>#DIV/0!</v>
      </c>
      <c r="AG61" s="274" t="e">
        <f t="shared" si="26"/>
        <v>#DIV/0!</v>
      </c>
      <c r="AH61" s="274" t="e">
        <f t="shared" si="26"/>
        <v>#DIV/0!</v>
      </c>
      <c r="AI61" s="274" t="e">
        <f t="shared" si="26"/>
        <v>#DIV/0!</v>
      </c>
      <c r="AJ61" s="274" t="e">
        <f t="shared" si="26"/>
        <v>#DIV/0!</v>
      </c>
      <c r="AK61" s="62"/>
      <c r="AL61" s="301">
        <f>(AL21/(AL9))*100</f>
        <v>4.8633015529450176</v>
      </c>
      <c r="AO61" s="3"/>
    </row>
    <row r="62" spans="1:15025" x14ac:dyDescent="0.25">
      <c r="C62" s="15"/>
      <c r="D62" s="74" t="s">
        <v>63</v>
      </c>
      <c r="E62" s="126">
        <v>82</v>
      </c>
      <c r="F62" s="69" t="s">
        <v>25</v>
      </c>
      <c r="G62" s="274" t="e">
        <f>G33/(G33+G34)*100</f>
        <v>#DIV/0!</v>
      </c>
      <c r="H62" s="274" t="e">
        <f>H33/(H33+H34)*100</f>
        <v>#DIV/0!</v>
      </c>
      <c r="I62" s="274" t="e">
        <f>I33/(I33+I34)*100</f>
        <v>#DIV/0!</v>
      </c>
      <c r="J62" s="274" t="e">
        <f>J33/(J33+J34)*100</f>
        <v>#DIV/0!</v>
      </c>
      <c r="K62" s="274" t="e">
        <v>#DIV/0!</v>
      </c>
      <c r="L62" s="274" t="e">
        <f t="shared" ref="L62:AJ62" si="27">L33/(L33+L34)*100</f>
        <v>#DIV/0!</v>
      </c>
      <c r="M62" s="274" t="e">
        <f t="shared" si="27"/>
        <v>#DIV/0!</v>
      </c>
      <c r="N62" s="274">
        <f t="shared" si="27"/>
        <v>100</v>
      </c>
      <c r="O62" s="274">
        <f t="shared" si="27"/>
        <v>81.287588545574977</v>
      </c>
      <c r="P62" s="274">
        <f t="shared" si="27"/>
        <v>79.918388486433557</v>
      </c>
      <c r="Q62" s="274">
        <f t="shared" si="27"/>
        <v>80.401632131907547</v>
      </c>
      <c r="R62" s="274">
        <f t="shared" si="27"/>
        <v>80.70876012714939</v>
      </c>
      <c r="S62" s="274">
        <f t="shared" si="27"/>
        <v>80.759473982829746</v>
      </c>
      <c r="T62" s="274">
        <f t="shared" si="27"/>
        <v>80.915369939544206</v>
      </c>
      <c r="U62" s="274">
        <f t="shared" si="27"/>
        <v>80.659803765259468</v>
      </c>
      <c r="V62" s="274">
        <f t="shared" si="27"/>
        <v>79.624499080821579</v>
      </c>
      <c r="W62" s="274">
        <f t="shared" si="27"/>
        <v>78.59999237770549</v>
      </c>
      <c r="X62" s="274">
        <f t="shared" si="27"/>
        <v>41.362201172755974</v>
      </c>
      <c r="Y62" s="274" t="e">
        <f t="shared" si="27"/>
        <v>#DIV/0!</v>
      </c>
      <c r="Z62" s="274" t="e">
        <f t="shared" si="27"/>
        <v>#DIV/0!</v>
      </c>
      <c r="AA62" s="274" t="e">
        <f t="shared" si="27"/>
        <v>#DIV/0!</v>
      </c>
      <c r="AB62" s="274" t="e">
        <f t="shared" si="27"/>
        <v>#DIV/0!</v>
      </c>
      <c r="AC62" s="274" t="e">
        <f t="shared" si="27"/>
        <v>#DIV/0!</v>
      </c>
      <c r="AD62" s="274" t="e">
        <f t="shared" si="27"/>
        <v>#DIV/0!</v>
      </c>
      <c r="AE62" s="274" t="e">
        <f t="shared" si="27"/>
        <v>#DIV/0!</v>
      </c>
      <c r="AF62" s="274" t="e">
        <f t="shared" si="27"/>
        <v>#DIV/0!</v>
      </c>
      <c r="AG62" s="274" t="e">
        <f t="shared" si="27"/>
        <v>#DIV/0!</v>
      </c>
      <c r="AH62" s="274" t="e">
        <f t="shared" si="27"/>
        <v>#DIV/0!</v>
      </c>
      <c r="AI62" s="274" t="e">
        <f t="shared" si="27"/>
        <v>#DIV/0!</v>
      </c>
      <c r="AJ62" s="274" t="e">
        <f t="shared" si="27"/>
        <v>#DIV/0!</v>
      </c>
      <c r="AK62" s="62"/>
      <c r="AL62" s="301">
        <f>AL33/(AL33+AL34)*100</f>
        <v>80.514103413850478</v>
      </c>
      <c r="AO62" s="3"/>
    </row>
    <row r="63" spans="1:15025" x14ac:dyDescent="0.25">
      <c r="C63" s="15"/>
      <c r="D63" s="74" t="s">
        <v>62</v>
      </c>
      <c r="E63" s="126">
        <v>18</v>
      </c>
      <c r="F63" s="69" t="s">
        <v>25</v>
      </c>
      <c r="G63" s="274" t="e">
        <f>(G34/G32)*100</f>
        <v>#DIV/0!</v>
      </c>
      <c r="H63" s="274" t="e">
        <f>(H34/H32)*100</f>
        <v>#DIV/0!</v>
      </c>
      <c r="I63" s="274" t="e">
        <f>(I34/I32)*100</f>
        <v>#DIV/0!</v>
      </c>
      <c r="J63" s="274" t="e">
        <f>(J34/J32)*100</f>
        <v>#DIV/0!</v>
      </c>
      <c r="K63" s="274" t="e">
        <v>#DIV/0!</v>
      </c>
      <c r="L63" s="274" t="e">
        <f t="shared" ref="L63:AJ63" si="28">(L34/L32)*100</f>
        <v>#DIV/0!</v>
      </c>
      <c r="M63" s="274" t="e">
        <f t="shared" si="28"/>
        <v>#DIV/0!</v>
      </c>
      <c r="N63" s="274">
        <f t="shared" si="28"/>
        <v>0</v>
      </c>
      <c r="O63" s="274">
        <f t="shared" si="28"/>
        <v>18.712411454425023</v>
      </c>
      <c r="P63" s="274">
        <f t="shared" si="28"/>
        <v>20.08161151356645</v>
      </c>
      <c r="Q63" s="274">
        <f t="shared" si="28"/>
        <v>19.598367868092456</v>
      </c>
      <c r="R63" s="274">
        <f t="shared" si="28"/>
        <v>19.291239872850614</v>
      </c>
      <c r="S63" s="274">
        <f t="shared" si="28"/>
        <v>19.240526017170261</v>
      </c>
      <c r="T63" s="274">
        <f t="shared" si="28"/>
        <v>19.084630060455794</v>
      </c>
      <c r="U63" s="274">
        <f t="shared" si="28"/>
        <v>19.340196234740532</v>
      </c>
      <c r="V63" s="274">
        <f t="shared" si="28"/>
        <v>20.375500919178428</v>
      </c>
      <c r="W63" s="274">
        <f t="shared" si="28"/>
        <v>21.400007622294517</v>
      </c>
      <c r="X63" s="274">
        <f t="shared" si="28"/>
        <v>58.637798827244026</v>
      </c>
      <c r="Y63" s="274" t="e">
        <f t="shared" si="28"/>
        <v>#DIV/0!</v>
      </c>
      <c r="Z63" s="274" t="e">
        <f t="shared" si="28"/>
        <v>#DIV/0!</v>
      </c>
      <c r="AA63" s="274" t="e">
        <f t="shared" si="28"/>
        <v>#DIV/0!</v>
      </c>
      <c r="AB63" s="274" t="e">
        <f t="shared" si="28"/>
        <v>#DIV/0!</v>
      </c>
      <c r="AC63" s="274" t="e">
        <f t="shared" si="28"/>
        <v>#DIV/0!</v>
      </c>
      <c r="AD63" s="274" t="e">
        <f t="shared" si="28"/>
        <v>#DIV/0!</v>
      </c>
      <c r="AE63" s="274" t="e">
        <f t="shared" si="28"/>
        <v>#DIV/0!</v>
      </c>
      <c r="AF63" s="274" t="e">
        <f t="shared" si="28"/>
        <v>#DIV/0!</v>
      </c>
      <c r="AG63" s="274" t="e">
        <f t="shared" si="28"/>
        <v>#DIV/0!</v>
      </c>
      <c r="AH63" s="274" t="e">
        <f t="shared" si="28"/>
        <v>#DIV/0!</v>
      </c>
      <c r="AI63" s="274" t="e">
        <f t="shared" si="28"/>
        <v>#DIV/0!</v>
      </c>
      <c r="AJ63" s="274" t="e">
        <f t="shared" si="28"/>
        <v>#DIV/0!</v>
      </c>
      <c r="AK63" s="62"/>
      <c r="AL63" s="1512">
        <f>AL34/(AL33+AL34)*100</f>
        <v>19.485896586149519</v>
      </c>
      <c r="AO63" s="3"/>
    </row>
    <row r="64" spans="1:15025" ht="15" hidden="1" customHeight="1" x14ac:dyDescent="0.25">
      <c r="C64" s="15"/>
      <c r="D64" s="74" t="s">
        <v>106</v>
      </c>
      <c r="E64" s="126">
        <v>75</v>
      </c>
      <c r="F64" s="79"/>
      <c r="G64" s="274" t="e">
        <f>(G37/G36)*100</f>
        <v>#DIV/0!</v>
      </c>
      <c r="H64" s="274" t="e">
        <f>(H37/H36)*100</f>
        <v>#DIV/0!</v>
      </c>
      <c r="I64" s="274" t="e">
        <f>(I37/I36)*100</f>
        <v>#DIV/0!</v>
      </c>
      <c r="J64" s="274" t="e">
        <f>(J37/J36)*100</f>
        <v>#DIV/0!</v>
      </c>
      <c r="K64" s="274" t="e">
        <v>#DIV/0!</v>
      </c>
      <c r="L64" s="274" t="e">
        <f t="shared" ref="L64:AJ64" si="29">(L37/L36)*100</f>
        <v>#DIV/0!</v>
      </c>
      <c r="M64" s="274" t="e">
        <f t="shared" si="29"/>
        <v>#DIV/0!</v>
      </c>
      <c r="N64" s="274" t="e">
        <f t="shared" si="29"/>
        <v>#DIV/0!</v>
      </c>
      <c r="O64" s="274" t="e">
        <f t="shared" si="29"/>
        <v>#DIV/0!</v>
      </c>
      <c r="P64" s="274" t="e">
        <f t="shared" si="29"/>
        <v>#DIV/0!</v>
      </c>
      <c r="Q64" s="274" t="e">
        <f t="shared" si="29"/>
        <v>#DIV/0!</v>
      </c>
      <c r="R64" s="274" t="e">
        <f t="shared" si="29"/>
        <v>#DIV/0!</v>
      </c>
      <c r="S64" s="274" t="e">
        <f t="shared" si="29"/>
        <v>#DIV/0!</v>
      </c>
      <c r="T64" s="274" t="e">
        <f t="shared" si="29"/>
        <v>#DIV/0!</v>
      </c>
      <c r="U64" s="274" t="e">
        <f t="shared" si="29"/>
        <v>#DIV/0!</v>
      </c>
      <c r="V64" s="274" t="e">
        <f t="shared" si="29"/>
        <v>#DIV/0!</v>
      </c>
      <c r="W64" s="274" t="e">
        <f t="shared" si="29"/>
        <v>#DIV/0!</v>
      </c>
      <c r="X64" s="274" t="e">
        <f t="shared" si="29"/>
        <v>#DIV/0!</v>
      </c>
      <c r="Y64" s="274" t="e">
        <f t="shared" si="29"/>
        <v>#DIV/0!</v>
      </c>
      <c r="Z64" s="274" t="e">
        <f t="shared" si="29"/>
        <v>#DIV/0!</v>
      </c>
      <c r="AA64" s="274" t="e">
        <f t="shared" si="29"/>
        <v>#DIV/0!</v>
      </c>
      <c r="AB64" s="274" t="e">
        <f t="shared" si="29"/>
        <v>#DIV/0!</v>
      </c>
      <c r="AC64" s="274" t="e">
        <f t="shared" si="29"/>
        <v>#DIV/0!</v>
      </c>
      <c r="AD64" s="274" t="e">
        <f t="shared" si="29"/>
        <v>#DIV/0!</v>
      </c>
      <c r="AE64" s="274" t="e">
        <f t="shared" si="29"/>
        <v>#DIV/0!</v>
      </c>
      <c r="AF64" s="274" t="e">
        <f t="shared" si="29"/>
        <v>#DIV/0!</v>
      </c>
      <c r="AG64" s="274" t="e">
        <f t="shared" si="29"/>
        <v>#DIV/0!</v>
      </c>
      <c r="AH64" s="274" t="e">
        <f t="shared" si="29"/>
        <v>#DIV/0!</v>
      </c>
      <c r="AI64" s="274" t="e">
        <f t="shared" si="29"/>
        <v>#DIV/0!</v>
      </c>
      <c r="AJ64" s="274" t="e">
        <f t="shared" si="29"/>
        <v>#DIV/0!</v>
      </c>
      <c r="AK64" s="62"/>
      <c r="AL64" s="301" t="e">
        <f>(AL42/AL41)*100</f>
        <v>#DIV/0!</v>
      </c>
    </row>
    <row r="65" spans="3:48" ht="15" hidden="1" customHeight="1" x14ac:dyDescent="0.25">
      <c r="C65" s="15"/>
      <c r="D65" s="74" t="s">
        <v>62</v>
      </c>
      <c r="E65" s="126">
        <v>25</v>
      </c>
      <c r="F65" s="79"/>
      <c r="G65" s="274" t="e">
        <f>(G38/G36)*100</f>
        <v>#DIV/0!</v>
      </c>
      <c r="H65" s="274" t="e">
        <f>(H38/H36)*100</f>
        <v>#DIV/0!</v>
      </c>
      <c r="I65" s="274" t="e">
        <f>(I38/I36)*100</f>
        <v>#DIV/0!</v>
      </c>
      <c r="J65" s="274" t="e">
        <f>(J38/J36)*100</f>
        <v>#DIV/0!</v>
      </c>
      <c r="K65" s="274" t="e">
        <v>#DIV/0!</v>
      </c>
      <c r="L65" s="274" t="e">
        <f t="shared" ref="L65:AJ65" si="30">(L38/L36)*100</f>
        <v>#DIV/0!</v>
      </c>
      <c r="M65" s="274" t="e">
        <f t="shared" si="30"/>
        <v>#DIV/0!</v>
      </c>
      <c r="N65" s="274" t="e">
        <f t="shared" si="30"/>
        <v>#DIV/0!</v>
      </c>
      <c r="O65" s="274" t="e">
        <f t="shared" si="30"/>
        <v>#DIV/0!</v>
      </c>
      <c r="P65" s="274" t="e">
        <f t="shared" si="30"/>
        <v>#DIV/0!</v>
      </c>
      <c r="Q65" s="274" t="e">
        <f t="shared" si="30"/>
        <v>#DIV/0!</v>
      </c>
      <c r="R65" s="274" t="e">
        <f t="shared" si="30"/>
        <v>#DIV/0!</v>
      </c>
      <c r="S65" s="274" t="e">
        <f t="shared" si="30"/>
        <v>#DIV/0!</v>
      </c>
      <c r="T65" s="274" t="e">
        <f t="shared" si="30"/>
        <v>#DIV/0!</v>
      </c>
      <c r="U65" s="274" t="e">
        <f t="shared" si="30"/>
        <v>#DIV/0!</v>
      </c>
      <c r="V65" s="274" t="e">
        <f t="shared" si="30"/>
        <v>#DIV/0!</v>
      </c>
      <c r="W65" s="274" t="e">
        <f t="shared" si="30"/>
        <v>#DIV/0!</v>
      </c>
      <c r="X65" s="274" t="e">
        <f t="shared" si="30"/>
        <v>#DIV/0!</v>
      </c>
      <c r="Y65" s="274" t="e">
        <f t="shared" si="30"/>
        <v>#DIV/0!</v>
      </c>
      <c r="Z65" s="274" t="e">
        <f t="shared" si="30"/>
        <v>#DIV/0!</v>
      </c>
      <c r="AA65" s="274" t="e">
        <f t="shared" si="30"/>
        <v>#DIV/0!</v>
      </c>
      <c r="AB65" s="274" t="e">
        <f t="shared" si="30"/>
        <v>#DIV/0!</v>
      </c>
      <c r="AC65" s="274" t="e">
        <f t="shared" si="30"/>
        <v>#DIV/0!</v>
      </c>
      <c r="AD65" s="274" t="e">
        <f t="shared" si="30"/>
        <v>#DIV/0!</v>
      </c>
      <c r="AE65" s="274" t="e">
        <f t="shared" si="30"/>
        <v>#DIV/0!</v>
      </c>
      <c r="AF65" s="274" t="e">
        <f t="shared" si="30"/>
        <v>#DIV/0!</v>
      </c>
      <c r="AG65" s="274" t="e">
        <f t="shared" si="30"/>
        <v>#DIV/0!</v>
      </c>
      <c r="AH65" s="274" t="e">
        <f t="shared" si="30"/>
        <v>#DIV/0!</v>
      </c>
      <c r="AI65" s="274" t="e">
        <f t="shared" si="30"/>
        <v>#DIV/0!</v>
      </c>
      <c r="AJ65" s="274" t="e">
        <f t="shared" si="30"/>
        <v>#DIV/0!</v>
      </c>
      <c r="AK65" s="62"/>
      <c r="AL65" s="301" t="e">
        <f>(AL43/AL41)*100</f>
        <v>#DIV/0!</v>
      </c>
    </row>
    <row r="66" spans="3:48" ht="15" hidden="1" customHeight="1" x14ac:dyDescent="0.25">
      <c r="C66" s="15"/>
      <c r="D66" s="74" t="s">
        <v>108</v>
      </c>
      <c r="E66" s="126">
        <v>75</v>
      </c>
      <c r="F66" s="69" t="s">
        <v>25</v>
      </c>
      <c r="G66" s="274" t="e">
        <f>G42/G41*100</f>
        <v>#DIV/0!</v>
      </c>
      <c r="H66" s="274" t="e">
        <f>H42/H41*100</f>
        <v>#DIV/0!</v>
      </c>
      <c r="I66" s="274" t="e">
        <f>I42/I41*100</f>
        <v>#DIV/0!</v>
      </c>
      <c r="J66" s="274" t="e">
        <f>J42/J41*100</f>
        <v>#DIV/0!</v>
      </c>
      <c r="K66" s="274" t="e">
        <v>#DIV/0!</v>
      </c>
      <c r="L66" s="274" t="e">
        <f t="shared" ref="L66:AJ66" si="31">L42/L41*100</f>
        <v>#DIV/0!</v>
      </c>
      <c r="M66" s="274" t="e">
        <f t="shared" si="31"/>
        <v>#DIV/0!</v>
      </c>
      <c r="N66" s="274" t="e">
        <f t="shared" si="31"/>
        <v>#DIV/0!</v>
      </c>
      <c r="O66" s="274" t="e">
        <f t="shared" si="31"/>
        <v>#DIV/0!</v>
      </c>
      <c r="P66" s="274" t="e">
        <f t="shared" si="31"/>
        <v>#DIV/0!</v>
      </c>
      <c r="Q66" s="274" t="e">
        <f t="shared" si="31"/>
        <v>#DIV/0!</v>
      </c>
      <c r="R66" s="274" t="e">
        <f t="shared" si="31"/>
        <v>#DIV/0!</v>
      </c>
      <c r="S66" s="274" t="e">
        <f t="shared" si="31"/>
        <v>#DIV/0!</v>
      </c>
      <c r="T66" s="274" t="e">
        <f t="shared" si="31"/>
        <v>#DIV/0!</v>
      </c>
      <c r="U66" s="274" t="e">
        <f t="shared" si="31"/>
        <v>#DIV/0!</v>
      </c>
      <c r="V66" s="274" t="e">
        <f t="shared" si="31"/>
        <v>#DIV/0!</v>
      </c>
      <c r="W66" s="274" t="e">
        <f t="shared" si="31"/>
        <v>#DIV/0!</v>
      </c>
      <c r="X66" s="274" t="e">
        <f t="shared" si="31"/>
        <v>#DIV/0!</v>
      </c>
      <c r="Y66" s="274" t="e">
        <f t="shared" si="31"/>
        <v>#DIV/0!</v>
      </c>
      <c r="Z66" s="274" t="e">
        <f t="shared" si="31"/>
        <v>#DIV/0!</v>
      </c>
      <c r="AA66" s="274" t="e">
        <f t="shared" si="31"/>
        <v>#DIV/0!</v>
      </c>
      <c r="AB66" s="274" t="e">
        <f t="shared" si="31"/>
        <v>#DIV/0!</v>
      </c>
      <c r="AC66" s="274" t="e">
        <f t="shared" si="31"/>
        <v>#DIV/0!</v>
      </c>
      <c r="AD66" s="274" t="e">
        <f t="shared" si="31"/>
        <v>#DIV/0!</v>
      </c>
      <c r="AE66" s="274" t="e">
        <f t="shared" si="31"/>
        <v>#DIV/0!</v>
      </c>
      <c r="AF66" s="274" t="e">
        <f t="shared" si="31"/>
        <v>#DIV/0!</v>
      </c>
      <c r="AG66" s="274" t="e">
        <f t="shared" si="31"/>
        <v>#DIV/0!</v>
      </c>
      <c r="AH66" s="274" t="e">
        <f t="shared" si="31"/>
        <v>#DIV/0!</v>
      </c>
      <c r="AI66" s="274" t="e">
        <f t="shared" si="31"/>
        <v>#DIV/0!</v>
      </c>
      <c r="AJ66" s="274" t="e">
        <f t="shared" si="31"/>
        <v>#DIV/0!</v>
      </c>
      <c r="AK66" s="62"/>
      <c r="AL66" s="301" t="e">
        <f>AL42/AL41*100</f>
        <v>#DIV/0!</v>
      </c>
    </row>
    <row r="67" spans="3:48" ht="15" hidden="1" customHeight="1" x14ac:dyDescent="0.25">
      <c r="C67" s="15"/>
      <c r="D67" s="74" t="s">
        <v>62</v>
      </c>
      <c r="E67" s="126">
        <v>25</v>
      </c>
      <c r="F67" s="69" t="s">
        <v>25</v>
      </c>
      <c r="G67" s="274" t="e">
        <f>G43/G41*100</f>
        <v>#DIV/0!</v>
      </c>
      <c r="H67" s="274" t="e">
        <f>H43/H41*100</f>
        <v>#DIV/0!</v>
      </c>
      <c r="I67" s="274" t="e">
        <f>I43/I41*100</f>
        <v>#DIV/0!</v>
      </c>
      <c r="J67" s="274" t="e">
        <f>J43/J41*100</f>
        <v>#DIV/0!</v>
      </c>
      <c r="K67" s="274" t="e">
        <v>#DIV/0!</v>
      </c>
      <c r="L67" s="274" t="e">
        <f t="shared" ref="L67:AJ67" si="32">L43/L41*100</f>
        <v>#DIV/0!</v>
      </c>
      <c r="M67" s="274" t="e">
        <f t="shared" si="32"/>
        <v>#DIV/0!</v>
      </c>
      <c r="N67" s="274" t="e">
        <f t="shared" si="32"/>
        <v>#DIV/0!</v>
      </c>
      <c r="O67" s="274" t="e">
        <f t="shared" si="32"/>
        <v>#DIV/0!</v>
      </c>
      <c r="P67" s="274" t="e">
        <f t="shared" si="32"/>
        <v>#DIV/0!</v>
      </c>
      <c r="Q67" s="274" t="e">
        <f t="shared" si="32"/>
        <v>#DIV/0!</v>
      </c>
      <c r="R67" s="274" t="e">
        <f t="shared" si="32"/>
        <v>#DIV/0!</v>
      </c>
      <c r="S67" s="274" t="e">
        <f t="shared" si="32"/>
        <v>#DIV/0!</v>
      </c>
      <c r="T67" s="274" t="e">
        <f t="shared" si="32"/>
        <v>#DIV/0!</v>
      </c>
      <c r="U67" s="274" t="e">
        <f t="shared" si="32"/>
        <v>#DIV/0!</v>
      </c>
      <c r="V67" s="274" t="e">
        <f t="shared" si="32"/>
        <v>#DIV/0!</v>
      </c>
      <c r="W67" s="274" t="e">
        <f t="shared" si="32"/>
        <v>#DIV/0!</v>
      </c>
      <c r="X67" s="274" t="e">
        <f t="shared" si="32"/>
        <v>#DIV/0!</v>
      </c>
      <c r="Y67" s="274" t="e">
        <f t="shared" si="32"/>
        <v>#DIV/0!</v>
      </c>
      <c r="Z67" s="274" t="e">
        <f t="shared" si="32"/>
        <v>#DIV/0!</v>
      </c>
      <c r="AA67" s="274" t="e">
        <f t="shared" si="32"/>
        <v>#DIV/0!</v>
      </c>
      <c r="AB67" s="274" t="e">
        <f t="shared" si="32"/>
        <v>#DIV/0!</v>
      </c>
      <c r="AC67" s="274" t="e">
        <f t="shared" si="32"/>
        <v>#DIV/0!</v>
      </c>
      <c r="AD67" s="274" t="e">
        <f t="shared" si="32"/>
        <v>#DIV/0!</v>
      </c>
      <c r="AE67" s="274" t="e">
        <f t="shared" si="32"/>
        <v>#DIV/0!</v>
      </c>
      <c r="AF67" s="274" t="e">
        <f t="shared" si="32"/>
        <v>#DIV/0!</v>
      </c>
      <c r="AG67" s="274" t="e">
        <f t="shared" si="32"/>
        <v>#DIV/0!</v>
      </c>
      <c r="AH67" s="274" t="e">
        <f t="shared" si="32"/>
        <v>#DIV/0!</v>
      </c>
      <c r="AI67" s="274" t="e">
        <f t="shared" si="32"/>
        <v>#DIV/0!</v>
      </c>
      <c r="AJ67" s="274" t="e">
        <f t="shared" si="32"/>
        <v>#DIV/0!</v>
      </c>
      <c r="AK67" s="18"/>
      <c r="AL67" s="301" t="e">
        <f>AL43/AL41*100</f>
        <v>#DIV/0!</v>
      </c>
    </row>
    <row r="68" spans="3:48" x14ac:dyDescent="0.25">
      <c r="C68" s="15"/>
      <c r="D68" s="74" t="s">
        <v>111</v>
      </c>
      <c r="E68" s="126">
        <v>70</v>
      </c>
      <c r="F68" s="69" t="s">
        <v>25</v>
      </c>
      <c r="G68" s="274" t="e">
        <f>G46/(G46+G47)*100</f>
        <v>#DIV/0!</v>
      </c>
      <c r="H68" s="274" t="e">
        <f>H46/(H46+H47)*100</f>
        <v>#DIV/0!</v>
      </c>
      <c r="I68" s="274" t="e">
        <f>I46/(I46+I47)*100</f>
        <v>#DIV/0!</v>
      </c>
      <c r="J68" s="274" t="e">
        <f>J46/(J46+J47)*100</f>
        <v>#DIV/0!</v>
      </c>
      <c r="K68" s="274" t="e">
        <f>K46/(K46+K47)*100</f>
        <v>#DIV/0!</v>
      </c>
      <c r="L68" s="274" t="e">
        <f t="shared" ref="L68:AJ68" si="33">L46/(L46+L47)*100</f>
        <v>#DIV/0!</v>
      </c>
      <c r="M68" s="274" t="e">
        <f t="shared" si="33"/>
        <v>#DIV/0!</v>
      </c>
      <c r="N68" s="274" t="e">
        <f t="shared" si="33"/>
        <v>#DIV/0!</v>
      </c>
      <c r="O68" s="274" t="e">
        <f t="shared" si="33"/>
        <v>#DIV/0!</v>
      </c>
      <c r="P68" s="274" t="e">
        <f t="shared" si="33"/>
        <v>#DIV/0!</v>
      </c>
      <c r="Q68" s="274" t="e">
        <f t="shared" si="33"/>
        <v>#DIV/0!</v>
      </c>
      <c r="R68" s="274" t="e">
        <f t="shared" si="33"/>
        <v>#DIV/0!</v>
      </c>
      <c r="S68" s="274" t="e">
        <f t="shared" si="33"/>
        <v>#DIV/0!</v>
      </c>
      <c r="T68" s="274" t="e">
        <f t="shared" si="33"/>
        <v>#DIV/0!</v>
      </c>
      <c r="U68" s="274" t="e">
        <f t="shared" si="33"/>
        <v>#DIV/0!</v>
      </c>
      <c r="V68" s="274" t="e">
        <f t="shared" si="33"/>
        <v>#DIV/0!</v>
      </c>
      <c r="W68" s="274" t="e">
        <f t="shared" si="33"/>
        <v>#DIV/0!</v>
      </c>
      <c r="X68" s="274" t="e">
        <f t="shared" si="33"/>
        <v>#DIV/0!</v>
      </c>
      <c r="Y68" s="274" t="e">
        <f t="shared" si="33"/>
        <v>#DIV/0!</v>
      </c>
      <c r="Z68" s="274" t="e">
        <f t="shared" si="33"/>
        <v>#DIV/0!</v>
      </c>
      <c r="AA68" s="274" t="e">
        <f t="shared" si="33"/>
        <v>#DIV/0!</v>
      </c>
      <c r="AB68" s="274" t="e">
        <f t="shared" si="33"/>
        <v>#DIV/0!</v>
      </c>
      <c r="AC68" s="274" t="e">
        <f t="shared" si="33"/>
        <v>#DIV/0!</v>
      </c>
      <c r="AD68" s="274" t="e">
        <f t="shared" si="33"/>
        <v>#DIV/0!</v>
      </c>
      <c r="AE68" s="274" t="e">
        <f t="shared" si="33"/>
        <v>#DIV/0!</v>
      </c>
      <c r="AF68" s="274" t="e">
        <f t="shared" si="33"/>
        <v>#DIV/0!</v>
      </c>
      <c r="AG68" s="274" t="e">
        <f t="shared" si="33"/>
        <v>#DIV/0!</v>
      </c>
      <c r="AH68" s="274" t="e">
        <f t="shared" si="33"/>
        <v>#DIV/0!</v>
      </c>
      <c r="AI68" s="274" t="e">
        <f t="shared" si="33"/>
        <v>#DIV/0!</v>
      </c>
      <c r="AJ68" s="274" t="e">
        <f t="shared" si="33"/>
        <v>#DIV/0!</v>
      </c>
      <c r="AK68" s="18"/>
      <c r="AL68" s="1512" t="e">
        <f>AL46/(AL46+AL47)*100</f>
        <v>#DIV/0!</v>
      </c>
      <c r="AV68" s="3"/>
    </row>
    <row r="69" spans="3:48" x14ac:dyDescent="0.25">
      <c r="C69" s="15"/>
      <c r="D69" s="74" t="s">
        <v>62</v>
      </c>
      <c r="E69" s="126">
        <v>30</v>
      </c>
      <c r="F69" s="69" t="s">
        <v>25</v>
      </c>
      <c r="G69" s="274" t="e">
        <f>G47/(G47+G46)*100</f>
        <v>#DIV/0!</v>
      </c>
      <c r="H69" s="274" t="e">
        <f>H47/(H47+H46)*100</f>
        <v>#DIV/0!</v>
      </c>
      <c r="I69" s="274" t="e">
        <f>I47/(I47+I46)*100</f>
        <v>#DIV/0!</v>
      </c>
      <c r="J69" s="274" t="e">
        <f>J47/(J47+J46)*100</f>
        <v>#DIV/0!</v>
      </c>
      <c r="K69" s="274" t="e">
        <f>K47/(K47+K46)*100</f>
        <v>#DIV/0!</v>
      </c>
      <c r="L69" s="274" t="e">
        <f t="shared" ref="L69:AJ69" si="34">L47/(L47+L46)*100</f>
        <v>#DIV/0!</v>
      </c>
      <c r="M69" s="274" t="e">
        <f t="shared" si="34"/>
        <v>#DIV/0!</v>
      </c>
      <c r="N69" s="274" t="e">
        <f t="shared" si="34"/>
        <v>#DIV/0!</v>
      </c>
      <c r="O69" s="274" t="e">
        <f t="shared" si="34"/>
        <v>#DIV/0!</v>
      </c>
      <c r="P69" s="274" t="e">
        <f t="shared" si="34"/>
        <v>#DIV/0!</v>
      </c>
      <c r="Q69" s="274" t="e">
        <f t="shared" si="34"/>
        <v>#DIV/0!</v>
      </c>
      <c r="R69" s="274" t="e">
        <f t="shared" si="34"/>
        <v>#DIV/0!</v>
      </c>
      <c r="S69" s="274" t="e">
        <f t="shared" si="34"/>
        <v>#DIV/0!</v>
      </c>
      <c r="T69" s="274" t="e">
        <f t="shared" si="34"/>
        <v>#DIV/0!</v>
      </c>
      <c r="U69" s="274" t="e">
        <f t="shared" si="34"/>
        <v>#DIV/0!</v>
      </c>
      <c r="V69" s="274" t="e">
        <f t="shared" si="34"/>
        <v>#DIV/0!</v>
      </c>
      <c r="W69" s="274" t="e">
        <f t="shared" si="34"/>
        <v>#DIV/0!</v>
      </c>
      <c r="X69" s="274" t="e">
        <f t="shared" si="34"/>
        <v>#DIV/0!</v>
      </c>
      <c r="Y69" s="274" t="e">
        <f t="shared" si="34"/>
        <v>#DIV/0!</v>
      </c>
      <c r="Z69" s="274" t="e">
        <f t="shared" si="34"/>
        <v>#DIV/0!</v>
      </c>
      <c r="AA69" s="274" t="e">
        <f t="shared" si="34"/>
        <v>#DIV/0!</v>
      </c>
      <c r="AB69" s="274" t="e">
        <f t="shared" si="34"/>
        <v>#DIV/0!</v>
      </c>
      <c r="AC69" s="274" t="e">
        <f t="shared" si="34"/>
        <v>#DIV/0!</v>
      </c>
      <c r="AD69" s="274" t="e">
        <f t="shared" si="34"/>
        <v>#DIV/0!</v>
      </c>
      <c r="AE69" s="274" t="e">
        <f t="shared" si="34"/>
        <v>#DIV/0!</v>
      </c>
      <c r="AF69" s="274" t="e">
        <f t="shared" si="34"/>
        <v>#DIV/0!</v>
      </c>
      <c r="AG69" s="274" t="e">
        <f t="shared" si="34"/>
        <v>#DIV/0!</v>
      </c>
      <c r="AH69" s="274" t="e">
        <f t="shared" si="34"/>
        <v>#DIV/0!</v>
      </c>
      <c r="AI69" s="274" t="e">
        <f t="shared" si="34"/>
        <v>#DIV/0!</v>
      </c>
      <c r="AJ69" s="274" t="e">
        <f t="shared" si="34"/>
        <v>#DIV/0!</v>
      </c>
      <c r="AK69" s="18"/>
      <c r="AL69" s="301" t="e">
        <f>AL47/AL45*100</f>
        <v>#DIV/0!</v>
      </c>
    </row>
    <row r="70" spans="3:48" x14ac:dyDescent="0.25">
      <c r="C70" s="15"/>
      <c r="D70" s="74" t="s">
        <v>819</v>
      </c>
      <c r="E70" s="126">
        <v>70</v>
      </c>
      <c r="F70" s="69" t="s">
        <v>25</v>
      </c>
      <c r="G70" s="274" t="e">
        <f>G51/(G51+G52)*100</f>
        <v>#DIV/0!</v>
      </c>
      <c r="H70" s="274" t="e">
        <f>H51/(H51+H52)*100</f>
        <v>#DIV/0!</v>
      </c>
      <c r="I70" s="274" t="e">
        <f>I51/(I51+I52)*100</f>
        <v>#DIV/0!</v>
      </c>
      <c r="J70" s="274" t="e">
        <f>J51/(J51+J52)*100</f>
        <v>#DIV/0!</v>
      </c>
      <c r="K70" s="274" t="e">
        <v>#DIV/0!</v>
      </c>
      <c r="L70" s="274" t="e">
        <f t="shared" ref="L70:AJ70" si="35">L51/(L51+L52)*100</f>
        <v>#DIV/0!</v>
      </c>
      <c r="M70" s="274" t="e">
        <f t="shared" si="35"/>
        <v>#DIV/0!</v>
      </c>
      <c r="N70" s="274" t="e">
        <f t="shared" si="35"/>
        <v>#DIV/0!</v>
      </c>
      <c r="O70" s="274" t="e">
        <f t="shared" si="35"/>
        <v>#DIV/0!</v>
      </c>
      <c r="P70" s="274" t="e">
        <f t="shared" si="35"/>
        <v>#DIV/0!</v>
      </c>
      <c r="Q70" s="274" t="e">
        <f t="shared" si="35"/>
        <v>#DIV/0!</v>
      </c>
      <c r="R70" s="274" t="e">
        <f t="shared" si="35"/>
        <v>#DIV/0!</v>
      </c>
      <c r="S70" s="274" t="e">
        <f t="shared" si="35"/>
        <v>#DIV/0!</v>
      </c>
      <c r="T70" s="274" t="e">
        <f t="shared" si="35"/>
        <v>#DIV/0!</v>
      </c>
      <c r="U70" s="274" t="e">
        <f t="shared" si="35"/>
        <v>#DIV/0!</v>
      </c>
      <c r="V70" s="274" t="e">
        <f t="shared" si="35"/>
        <v>#DIV/0!</v>
      </c>
      <c r="W70" s="274" t="e">
        <f t="shared" si="35"/>
        <v>#DIV/0!</v>
      </c>
      <c r="X70" s="274" t="e">
        <f t="shared" si="35"/>
        <v>#DIV/0!</v>
      </c>
      <c r="Y70" s="274" t="e">
        <f t="shared" si="35"/>
        <v>#DIV/0!</v>
      </c>
      <c r="Z70" s="274" t="e">
        <f t="shared" si="35"/>
        <v>#DIV/0!</v>
      </c>
      <c r="AA70" s="274" t="e">
        <f t="shared" si="35"/>
        <v>#DIV/0!</v>
      </c>
      <c r="AB70" s="274" t="e">
        <f t="shared" si="35"/>
        <v>#DIV/0!</v>
      </c>
      <c r="AC70" s="274" t="e">
        <f t="shared" si="35"/>
        <v>#DIV/0!</v>
      </c>
      <c r="AD70" s="274" t="e">
        <f t="shared" si="35"/>
        <v>#DIV/0!</v>
      </c>
      <c r="AE70" s="274" t="e">
        <f t="shared" si="35"/>
        <v>#DIV/0!</v>
      </c>
      <c r="AF70" s="274" t="e">
        <f t="shared" si="35"/>
        <v>#DIV/0!</v>
      </c>
      <c r="AG70" s="274" t="e">
        <f t="shared" si="35"/>
        <v>#DIV/0!</v>
      </c>
      <c r="AH70" s="274" t="e">
        <f t="shared" si="35"/>
        <v>#DIV/0!</v>
      </c>
      <c r="AI70" s="274" t="e">
        <f t="shared" si="35"/>
        <v>#DIV/0!</v>
      </c>
      <c r="AJ70" s="274" t="e">
        <f t="shared" si="35"/>
        <v>#DIV/0!</v>
      </c>
      <c r="AK70" s="18"/>
      <c r="AL70" s="1512" t="e">
        <f>AL51/(AL51+AL52)*100</f>
        <v>#DIV/0!</v>
      </c>
    </row>
    <row r="71" spans="3:48" x14ac:dyDescent="0.25">
      <c r="C71" s="15"/>
      <c r="D71" s="74" t="s">
        <v>62</v>
      </c>
      <c r="E71" s="126">
        <v>30</v>
      </c>
      <c r="F71" s="69" t="s">
        <v>25</v>
      </c>
      <c r="G71" s="274" t="e">
        <f>G52/(G51+G52)*100</f>
        <v>#DIV/0!</v>
      </c>
      <c r="H71" s="274" t="e">
        <f>H52/(H51+H52)*100</f>
        <v>#DIV/0!</v>
      </c>
      <c r="I71" s="274" t="e">
        <f>I52/(I51+I52)*100</f>
        <v>#DIV/0!</v>
      </c>
      <c r="J71" s="274" t="e">
        <f>J52/(J51+J52)*100</f>
        <v>#DIV/0!</v>
      </c>
      <c r="K71" s="274" t="e">
        <v>#DIV/0!</v>
      </c>
      <c r="L71" s="274" t="e">
        <f t="shared" ref="L71:AJ71" si="36">L52/(L51+L52)*100</f>
        <v>#DIV/0!</v>
      </c>
      <c r="M71" s="274" t="e">
        <f t="shared" si="36"/>
        <v>#DIV/0!</v>
      </c>
      <c r="N71" s="274" t="e">
        <f t="shared" si="36"/>
        <v>#DIV/0!</v>
      </c>
      <c r="O71" s="274" t="e">
        <f t="shared" si="36"/>
        <v>#DIV/0!</v>
      </c>
      <c r="P71" s="274" t="e">
        <f t="shared" si="36"/>
        <v>#DIV/0!</v>
      </c>
      <c r="Q71" s="274" t="e">
        <f t="shared" si="36"/>
        <v>#DIV/0!</v>
      </c>
      <c r="R71" s="274" t="e">
        <f t="shared" si="36"/>
        <v>#DIV/0!</v>
      </c>
      <c r="S71" s="274" t="e">
        <f t="shared" si="36"/>
        <v>#DIV/0!</v>
      </c>
      <c r="T71" s="274" t="e">
        <f t="shared" si="36"/>
        <v>#DIV/0!</v>
      </c>
      <c r="U71" s="274" t="e">
        <f t="shared" si="36"/>
        <v>#DIV/0!</v>
      </c>
      <c r="V71" s="274" t="e">
        <f t="shared" si="36"/>
        <v>#DIV/0!</v>
      </c>
      <c r="W71" s="274" t="e">
        <f t="shared" si="36"/>
        <v>#DIV/0!</v>
      </c>
      <c r="X71" s="274" t="e">
        <f t="shared" si="36"/>
        <v>#DIV/0!</v>
      </c>
      <c r="Y71" s="274" t="e">
        <f t="shared" si="36"/>
        <v>#DIV/0!</v>
      </c>
      <c r="Z71" s="274" t="e">
        <f t="shared" si="36"/>
        <v>#DIV/0!</v>
      </c>
      <c r="AA71" s="274" t="e">
        <f t="shared" si="36"/>
        <v>#DIV/0!</v>
      </c>
      <c r="AB71" s="274" t="e">
        <f t="shared" si="36"/>
        <v>#DIV/0!</v>
      </c>
      <c r="AC71" s="274" t="e">
        <f t="shared" si="36"/>
        <v>#DIV/0!</v>
      </c>
      <c r="AD71" s="274" t="e">
        <f t="shared" si="36"/>
        <v>#DIV/0!</v>
      </c>
      <c r="AE71" s="274" t="e">
        <f t="shared" si="36"/>
        <v>#DIV/0!</v>
      </c>
      <c r="AF71" s="274" t="e">
        <f t="shared" si="36"/>
        <v>#DIV/0!</v>
      </c>
      <c r="AG71" s="274" t="e">
        <f t="shared" si="36"/>
        <v>#DIV/0!</v>
      </c>
      <c r="AH71" s="274" t="e">
        <f t="shared" si="36"/>
        <v>#DIV/0!</v>
      </c>
      <c r="AI71" s="274" t="e">
        <f t="shared" si="36"/>
        <v>#DIV/0!</v>
      </c>
      <c r="AJ71" s="274" t="e">
        <f t="shared" si="36"/>
        <v>#DIV/0!</v>
      </c>
      <c r="AK71" s="18"/>
      <c r="AL71" s="1512" t="e">
        <f>AL52/(AL51+AL52)*100</f>
        <v>#DIV/0!</v>
      </c>
    </row>
    <row r="72" spans="3:48" x14ac:dyDescent="0.25">
      <c r="C72" s="15"/>
      <c r="D72" s="74" t="s">
        <v>61</v>
      </c>
      <c r="E72" s="126">
        <v>60</v>
      </c>
      <c r="F72" s="69" t="s">
        <v>25</v>
      </c>
      <c r="G72" s="274" t="e">
        <f t="shared" ref="G72:AJ72" si="37">G56/(G56+G57)*100</f>
        <v>#DIV/0!</v>
      </c>
      <c r="H72" s="274" t="e">
        <f t="shared" si="37"/>
        <v>#DIV/0!</v>
      </c>
      <c r="I72" s="274" t="e">
        <f t="shared" si="37"/>
        <v>#DIV/0!</v>
      </c>
      <c r="J72" s="274" t="e">
        <f t="shared" si="37"/>
        <v>#DIV/0!</v>
      </c>
      <c r="K72" s="274" t="e">
        <f t="shared" si="37"/>
        <v>#DIV/0!</v>
      </c>
      <c r="L72" s="274" t="e">
        <f t="shared" si="37"/>
        <v>#DIV/0!</v>
      </c>
      <c r="M72" s="274" t="e">
        <f t="shared" si="37"/>
        <v>#DIV/0!</v>
      </c>
      <c r="N72" s="274" t="e">
        <f t="shared" si="37"/>
        <v>#DIV/0!</v>
      </c>
      <c r="O72" s="274" t="e">
        <f t="shared" si="37"/>
        <v>#DIV/0!</v>
      </c>
      <c r="P72" s="274" t="e">
        <f t="shared" si="37"/>
        <v>#DIV/0!</v>
      </c>
      <c r="Q72" s="274" t="e">
        <f t="shared" si="37"/>
        <v>#DIV/0!</v>
      </c>
      <c r="R72" s="274" t="e">
        <f t="shared" si="37"/>
        <v>#DIV/0!</v>
      </c>
      <c r="S72" s="274" t="e">
        <f t="shared" si="37"/>
        <v>#DIV/0!</v>
      </c>
      <c r="T72" s="274" t="e">
        <f t="shared" si="37"/>
        <v>#DIV/0!</v>
      </c>
      <c r="U72" s="274" t="e">
        <f t="shared" si="37"/>
        <v>#DIV/0!</v>
      </c>
      <c r="V72" s="274" t="e">
        <f t="shared" si="37"/>
        <v>#DIV/0!</v>
      </c>
      <c r="W72" s="274" t="e">
        <f t="shared" si="37"/>
        <v>#DIV/0!</v>
      </c>
      <c r="X72" s="274" t="e">
        <f t="shared" si="37"/>
        <v>#DIV/0!</v>
      </c>
      <c r="Y72" s="274" t="e">
        <f t="shared" si="37"/>
        <v>#DIV/0!</v>
      </c>
      <c r="Z72" s="274" t="e">
        <f t="shared" si="37"/>
        <v>#DIV/0!</v>
      </c>
      <c r="AA72" s="274" t="e">
        <f t="shared" si="37"/>
        <v>#DIV/0!</v>
      </c>
      <c r="AB72" s="274" t="e">
        <f t="shared" si="37"/>
        <v>#DIV/0!</v>
      </c>
      <c r="AC72" s="274" t="e">
        <f t="shared" si="37"/>
        <v>#DIV/0!</v>
      </c>
      <c r="AD72" s="274" t="e">
        <f t="shared" si="37"/>
        <v>#DIV/0!</v>
      </c>
      <c r="AE72" s="274" t="e">
        <f t="shared" si="37"/>
        <v>#DIV/0!</v>
      </c>
      <c r="AF72" s="274" t="e">
        <f t="shared" si="37"/>
        <v>#DIV/0!</v>
      </c>
      <c r="AG72" s="274" t="e">
        <f t="shared" si="37"/>
        <v>#DIV/0!</v>
      </c>
      <c r="AH72" s="274" t="e">
        <f t="shared" si="37"/>
        <v>#DIV/0!</v>
      </c>
      <c r="AI72" s="274" t="e">
        <f t="shared" si="37"/>
        <v>#DIV/0!</v>
      </c>
      <c r="AJ72" s="274" t="e">
        <f t="shared" si="37"/>
        <v>#DIV/0!</v>
      </c>
      <c r="AK72" s="62"/>
      <c r="AL72" s="1512" t="e">
        <f>AL56/(AL55+AL51)*100</f>
        <v>#DIV/0!</v>
      </c>
    </row>
    <row r="73" spans="3:48" ht="15.75" thickBot="1" x14ac:dyDescent="0.3">
      <c r="C73" s="19"/>
      <c r="D73" s="74" t="s">
        <v>60</v>
      </c>
      <c r="E73" s="126">
        <v>40</v>
      </c>
      <c r="F73" s="69" t="s">
        <v>25</v>
      </c>
      <c r="G73" s="274" t="e">
        <f>G57/G55*100</f>
        <v>#DIV/0!</v>
      </c>
      <c r="H73" s="274" t="e">
        <f>H57/H55*100</f>
        <v>#DIV/0!</v>
      </c>
      <c r="I73" s="274" t="e">
        <f>I57/I55*100</f>
        <v>#DIV/0!</v>
      </c>
      <c r="J73" s="274" t="e">
        <f>J57/J55*100</f>
        <v>#DIV/0!</v>
      </c>
      <c r="K73" s="274" t="e">
        <v>#DIV/0!</v>
      </c>
      <c r="L73" s="274" t="e">
        <f t="shared" ref="L73:AJ73" si="38">L57/L55*100</f>
        <v>#DIV/0!</v>
      </c>
      <c r="M73" s="274" t="e">
        <f t="shared" si="38"/>
        <v>#DIV/0!</v>
      </c>
      <c r="N73" s="274" t="e">
        <f t="shared" si="38"/>
        <v>#DIV/0!</v>
      </c>
      <c r="O73" s="274" t="e">
        <f t="shared" si="38"/>
        <v>#DIV/0!</v>
      </c>
      <c r="P73" s="274" t="e">
        <f t="shared" si="38"/>
        <v>#DIV/0!</v>
      </c>
      <c r="Q73" s="274" t="e">
        <f t="shared" si="38"/>
        <v>#DIV/0!</v>
      </c>
      <c r="R73" s="274" t="e">
        <f t="shared" si="38"/>
        <v>#DIV/0!</v>
      </c>
      <c r="S73" s="274" t="e">
        <f t="shared" si="38"/>
        <v>#DIV/0!</v>
      </c>
      <c r="T73" s="274" t="e">
        <f t="shared" si="38"/>
        <v>#DIV/0!</v>
      </c>
      <c r="U73" s="274" t="e">
        <f t="shared" si="38"/>
        <v>#DIV/0!</v>
      </c>
      <c r="V73" s="274" t="e">
        <f t="shared" si="38"/>
        <v>#DIV/0!</v>
      </c>
      <c r="W73" s="274" t="e">
        <f t="shared" si="38"/>
        <v>#DIV/0!</v>
      </c>
      <c r="X73" s="274" t="e">
        <f t="shared" si="38"/>
        <v>#DIV/0!</v>
      </c>
      <c r="Y73" s="274" t="e">
        <f t="shared" si="38"/>
        <v>#DIV/0!</v>
      </c>
      <c r="Z73" s="274" t="e">
        <f t="shared" si="38"/>
        <v>#DIV/0!</v>
      </c>
      <c r="AA73" s="274" t="e">
        <f t="shared" si="38"/>
        <v>#DIV/0!</v>
      </c>
      <c r="AB73" s="274" t="e">
        <f t="shared" si="38"/>
        <v>#DIV/0!</v>
      </c>
      <c r="AC73" s="274" t="e">
        <f t="shared" si="38"/>
        <v>#DIV/0!</v>
      </c>
      <c r="AD73" s="274" t="e">
        <f t="shared" si="38"/>
        <v>#DIV/0!</v>
      </c>
      <c r="AE73" s="274" t="e">
        <f t="shared" si="38"/>
        <v>#DIV/0!</v>
      </c>
      <c r="AF73" s="274" t="e">
        <f t="shared" si="38"/>
        <v>#DIV/0!</v>
      </c>
      <c r="AG73" s="274" t="e">
        <f t="shared" si="38"/>
        <v>#DIV/0!</v>
      </c>
      <c r="AH73" s="274" t="e">
        <f t="shared" si="38"/>
        <v>#DIV/0!</v>
      </c>
      <c r="AI73" s="274" t="e">
        <f t="shared" si="38"/>
        <v>#DIV/0!</v>
      </c>
      <c r="AJ73" s="274" t="e">
        <f t="shared" si="38"/>
        <v>#DIV/0!</v>
      </c>
      <c r="AK73" s="18"/>
      <c r="AL73" s="301" t="e">
        <f>AL57/AL55*100</f>
        <v>#DIV/0!</v>
      </c>
    </row>
    <row r="74" spans="3:48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66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L74" s="81" t="s">
        <v>129</v>
      </c>
      <c r="AV74" s="3">
        <f>AV68-AV69-AV70-AV71-AV72-AV73</f>
        <v>0</v>
      </c>
    </row>
    <row r="75" spans="3:48" x14ac:dyDescent="0.25">
      <c r="C75" s="8"/>
      <c r="D75" s="235" t="s">
        <v>58</v>
      </c>
      <c r="E75" s="252">
        <v>9</v>
      </c>
      <c r="F75" s="236" t="s">
        <v>56</v>
      </c>
      <c r="G75" s="275">
        <v>0</v>
      </c>
      <c r="H75" s="275">
        <v>0</v>
      </c>
      <c r="I75" s="275">
        <v>0</v>
      </c>
      <c r="J75" s="275">
        <v>0</v>
      </c>
      <c r="K75" s="275">
        <v>0</v>
      </c>
      <c r="L75" s="275">
        <v>0</v>
      </c>
      <c r="M75" s="275">
        <v>0</v>
      </c>
      <c r="N75" s="275">
        <v>7810</v>
      </c>
      <c r="O75" s="275">
        <v>16300</v>
      </c>
      <c r="P75" s="275">
        <v>19120</v>
      </c>
      <c r="Q75" s="275">
        <v>22910</v>
      </c>
      <c r="R75" s="2029">
        <v>18560</v>
      </c>
      <c r="S75" s="2046">
        <v>17082</v>
      </c>
      <c r="T75" s="2045">
        <v>14265</v>
      </c>
      <c r="U75" s="2045">
        <v>15058</v>
      </c>
      <c r="V75" s="275">
        <v>18296</v>
      </c>
      <c r="W75" s="2085">
        <v>3672</v>
      </c>
      <c r="X75" s="275"/>
      <c r="Y75" s="275"/>
      <c r="Z75" s="275"/>
      <c r="AA75" s="275"/>
      <c r="AB75" s="275"/>
      <c r="AC75" s="275"/>
      <c r="AD75" s="275"/>
      <c r="AE75" s="275"/>
      <c r="AF75" s="275"/>
      <c r="AG75" s="275"/>
      <c r="AH75" s="275"/>
      <c r="AI75" s="275"/>
      <c r="AJ75" s="275"/>
      <c r="AL75" s="82">
        <f>SUM(G75:AJ75)</f>
        <v>153073</v>
      </c>
      <c r="AO75" s="3"/>
    </row>
    <row r="76" spans="3:48" x14ac:dyDescent="0.25">
      <c r="C76" s="15"/>
      <c r="D76" s="21"/>
      <c r="E76" s="254"/>
      <c r="F76" s="20" t="s">
        <v>25</v>
      </c>
      <c r="G76" s="276" t="e">
        <f t="shared" ref="G76:AJ76" si="39">G75/(G11)*100</f>
        <v>#DIV/0!</v>
      </c>
      <c r="H76" s="276" t="e">
        <f t="shared" si="39"/>
        <v>#DIV/0!</v>
      </c>
      <c r="I76" s="276" t="e">
        <f t="shared" si="39"/>
        <v>#DIV/0!</v>
      </c>
      <c r="J76" s="276" t="e">
        <f t="shared" si="39"/>
        <v>#DIV/0!</v>
      </c>
      <c r="K76" s="276" t="e">
        <f t="shared" si="39"/>
        <v>#DIV/0!</v>
      </c>
      <c r="L76" s="276" t="e">
        <f t="shared" si="39"/>
        <v>#DIV/0!</v>
      </c>
      <c r="M76" s="276" t="e">
        <f t="shared" si="39"/>
        <v>#DIV/0!</v>
      </c>
      <c r="N76" s="276">
        <f>N75/(N11)*1000</f>
        <v>10.570366701044044</v>
      </c>
      <c r="O76" s="276">
        <f>O75/(O11)*1000</f>
        <v>7.3050569368686222</v>
      </c>
      <c r="P76" s="276">
        <f t="shared" ref="P76:V76" si="40">P75/(P11)*1000</f>
        <v>8.7441690295435848</v>
      </c>
      <c r="Q76" s="276">
        <f t="shared" si="40"/>
        <v>9.1153205421765602</v>
      </c>
      <c r="R76" s="276">
        <f t="shared" si="40"/>
        <v>8.0707231907186685</v>
      </c>
      <c r="S76" s="276">
        <f t="shared" si="40"/>
        <v>8.5928449298844587</v>
      </c>
      <c r="T76" s="276">
        <f t="shared" si="40"/>
        <v>8.909377299168959</v>
      </c>
      <c r="U76" s="276">
        <f t="shared" si="40"/>
        <v>7.4908006620240082</v>
      </c>
      <c r="V76" s="276">
        <f t="shared" si="40"/>
        <v>9.5172007694492446</v>
      </c>
      <c r="W76" s="276">
        <f t="shared" si="39"/>
        <v>1.1414041882570896</v>
      </c>
      <c r="X76" s="276" t="e">
        <f t="shared" si="39"/>
        <v>#DIV/0!</v>
      </c>
      <c r="Y76" s="276" t="e">
        <f t="shared" si="39"/>
        <v>#DIV/0!</v>
      </c>
      <c r="Z76" s="276" t="e">
        <f t="shared" si="39"/>
        <v>#DIV/0!</v>
      </c>
      <c r="AA76" s="276" t="e">
        <f t="shared" si="39"/>
        <v>#DIV/0!</v>
      </c>
      <c r="AB76" s="276" t="e">
        <f t="shared" si="39"/>
        <v>#DIV/0!</v>
      </c>
      <c r="AC76" s="276" t="e">
        <f t="shared" si="39"/>
        <v>#DIV/0!</v>
      </c>
      <c r="AD76" s="276" t="e">
        <f t="shared" si="39"/>
        <v>#DIV/0!</v>
      </c>
      <c r="AE76" s="276" t="e">
        <f t="shared" si="39"/>
        <v>#DIV/0!</v>
      </c>
      <c r="AF76" s="276" t="e">
        <f t="shared" si="39"/>
        <v>#DIV/0!</v>
      </c>
      <c r="AG76" s="276" t="e">
        <f t="shared" si="39"/>
        <v>#DIV/0!</v>
      </c>
      <c r="AH76" s="276" t="e">
        <f t="shared" si="39"/>
        <v>#DIV/0!</v>
      </c>
      <c r="AI76" s="276" t="e">
        <f t="shared" si="39"/>
        <v>#DIV/0!</v>
      </c>
      <c r="AJ76" s="276" t="e">
        <f t="shared" si="39"/>
        <v>#DIV/0!</v>
      </c>
      <c r="AL76" s="302">
        <f>AL75/(AL11)*1000</f>
        <v>8.5932405021066689</v>
      </c>
    </row>
    <row r="77" spans="3:48" hidden="1" x14ac:dyDescent="0.25">
      <c r="C77" s="15"/>
      <c r="D77" s="235" t="s">
        <v>1056</v>
      </c>
      <c r="E77" s="1783">
        <v>40000</v>
      </c>
      <c r="F77" s="236" t="s">
        <v>56</v>
      </c>
      <c r="G77" s="1922"/>
      <c r="H77" s="1922"/>
      <c r="I77" s="1922"/>
      <c r="J77" s="1922"/>
      <c r="K77" s="1922"/>
      <c r="L77" s="1922"/>
      <c r="M77" s="1922"/>
      <c r="N77" s="1922"/>
      <c r="O77" s="1922"/>
      <c r="P77" s="1922"/>
      <c r="Q77" s="1922"/>
      <c r="R77" s="1922"/>
      <c r="S77" s="1974"/>
      <c r="T77" s="1922"/>
      <c r="U77" s="1922"/>
      <c r="V77" s="1923">
        <v>0</v>
      </c>
      <c r="W77" s="1923">
        <v>0</v>
      </c>
      <c r="X77" s="1923">
        <v>0</v>
      </c>
      <c r="Y77" s="1923">
        <v>0</v>
      </c>
      <c r="Z77" s="1923"/>
      <c r="AA77" s="1923">
        <v>0</v>
      </c>
      <c r="AB77" s="1923">
        <v>0</v>
      </c>
      <c r="AC77" s="1923">
        <v>0</v>
      </c>
      <c r="AD77" s="1923">
        <v>0</v>
      </c>
      <c r="AE77" s="1923">
        <v>0</v>
      </c>
      <c r="AF77" s="1923">
        <v>0</v>
      </c>
      <c r="AG77" s="1923">
        <v>0</v>
      </c>
      <c r="AH77" s="1923"/>
      <c r="AI77" s="1923"/>
      <c r="AJ77" s="1923"/>
      <c r="AL77" s="82">
        <f>SUM(G77:AJ77)</f>
        <v>0</v>
      </c>
    </row>
    <row r="78" spans="3:48" hidden="1" x14ac:dyDescent="0.25">
      <c r="C78" s="15"/>
      <c r="D78" s="21"/>
      <c r="E78" s="254"/>
      <c r="F78" s="20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1971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276"/>
      <c r="AI78" s="276"/>
      <c r="AJ78" s="276"/>
      <c r="AL78" s="1921"/>
      <c r="AV78" s="16"/>
    </row>
    <row r="79" spans="3:48" hidden="1" x14ac:dyDescent="0.25">
      <c r="C79" s="15"/>
      <c r="D79" s="235" t="s">
        <v>1057</v>
      </c>
      <c r="E79" s="1783">
        <v>40000</v>
      </c>
      <c r="F79" s="236" t="s">
        <v>56</v>
      </c>
      <c r="G79" s="1922"/>
      <c r="H79" s="1922"/>
      <c r="I79" s="1922"/>
      <c r="J79" s="1922"/>
      <c r="K79" s="1922"/>
      <c r="L79" s="1922"/>
      <c r="M79" s="1922"/>
      <c r="N79" s="1922"/>
      <c r="O79" s="1922"/>
      <c r="P79" s="1922"/>
      <c r="Q79" s="1922"/>
      <c r="R79" s="1922"/>
      <c r="S79" s="1974"/>
      <c r="T79" s="1922"/>
      <c r="U79" s="1922"/>
      <c r="V79" s="1922">
        <v>0</v>
      </c>
      <c r="W79" s="1923">
        <v>0</v>
      </c>
      <c r="X79" s="1923">
        <v>0</v>
      </c>
      <c r="Y79" s="1923">
        <v>0</v>
      </c>
      <c r="Z79" s="1923">
        <v>0</v>
      </c>
      <c r="AA79" s="1923">
        <v>0</v>
      </c>
      <c r="AB79" s="1923">
        <v>0</v>
      </c>
      <c r="AC79" s="1923">
        <v>0</v>
      </c>
      <c r="AD79" s="1923">
        <v>0</v>
      </c>
      <c r="AE79" s="1923">
        <v>0</v>
      </c>
      <c r="AF79" s="1923">
        <v>0</v>
      </c>
      <c r="AG79" s="1923">
        <v>0</v>
      </c>
      <c r="AH79" s="1923"/>
      <c r="AI79" s="1923"/>
      <c r="AJ79" s="1923"/>
      <c r="AL79" s="82">
        <f>SUM(G79:AJ79)</f>
        <v>0</v>
      </c>
    </row>
    <row r="80" spans="3:48" hidden="1" x14ac:dyDescent="0.25">
      <c r="C80" s="15"/>
      <c r="D80" s="21"/>
      <c r="E80" s="254"/>
      <c r="F80" s="20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1971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L80" s="1921"/>
    </row>
    <row r="81" spans="3:60 15026:15039" s="1" customFormat="1" hidden="1" x14ac:dyDescent="0.25">
      <c r="C81" s="8"/>
      <c r="D81" s="237" t="s">
        <v>57</v>
      </c>
      <c r="E81" s="257">
        <v>18</v>
      </c>
      <c r="F81" s="238" t="s">
        <v>56</v>
      </c>
      <c r="G81" s="277">
        <v>0</v>
      </c>
      <c r="H81" s="277">
        <v>0</v>
      </c>
      <c r="I81" s="277">
        <v>0</v>
      </c>
      <c r="J81" s="277">
        <v>0</v>
      </c>
      <c r="K81" s="277">
        <v>0</v>
      </c>
      <c r="L81" s="277">
        <v>0</v>
      </c>
      <c r="M81" s="277">
        <v>0</v>
      </c>
      <c r="N81" s="277">
        <v>0</v>
      </c>
      <c r="O81" s="277">
        <v>0</v>
      </c>
      <c r="P81" s="277">
        <v>0</v>
      </c>
      <c r="Q81" s="277">
        <v>0</v>
      </c>
      <c r="R81" s="277">
        <v>0</v>
      </c>
      <c r="S81" s="1972">
        <v>0</v>
      </c>
      <c r="T81" s="277">
        <v>0</v>
      </c>
      <c r="U81" s="277">
        <v>0</v>
      </c>
      <c r="V81" s="277">
        <v>0</v>
      </c>
      <c r="W81" s="277">
        <v>0</v>
      </c>
      <c r="X81" s="277">
        <v>0</v>
      </c>
      <c r="Y81" s="277">
        <v>0</v>
      </c>
      <c r="Z81" s="277">
        <v>0</v>
      </c>
      <c r="AA81" s="277">
        <v>0</v>
      </c>
      <c r="AB81" s="277">
        <v>0</v>
      </c>
      <c r="AC81" s="277">
        <v>0</v>
      </c>
      <c r="AD81" s="277">
        <v>0</v>
      </c>
      <c r="AE81" s="277">
        <v>0</v>
      </c>
      <c r="AF81" s="277">
        <v>0</v>
      </c>
      <c r="AG81" s="277">
        <v>0</v>
      </c>
      <c r="AH81" s="277">
        <v>0</v>
      </c>
      <c r="AI81" s="277"/>
      <c r="AJ81" s="277">
        <v>0</v>
      </c>
      <c r="AL81" s="82">
        <f>SUM(G81:AJ81)</f>
        <v>0</v>
      </c>
      <c r="BH81" s="141"/>
      <c r="VEX81" s="46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</row>
    <row r="82" spans="3:60 15026:15039" s="1" customFormat="1" x14ac:dyDescent="0.25">
      <c r="C82" s="15"/>
      <c r="D82" s="22"/>
      <c r="E82" s="258"/>
      <c r="F82" s="23" t="s">
        <v>25</v>
      </c>
      <c r="G82" s="278" t="e">
        <f>G81/(G12)*100</f>
        <v>#DIV/0!</v>
      </c>
      <c r="H82" s="278" t="e">
        <f>H81/(H12)*100</f>
        <v>#DIV/0!</v>
      </c>
      <c r="I82" s="278" t="e">
        <f>I81/(I12)*100</f>
        <v>#DIV/0!</v>
      </c>
      <c r="J82" s="278" t="e">
        <f>J81/(J12)*100</f>
        <v>#DIV/0!</v>
      </c>
      <c r="K82" s="278" t="e">
        <v>#DIV/0!</v>
      </c>
      <c r="L82" s="278" t="e">
        <f t="shared" ref="L82:R82" si="41">L81/(L12)*100</f>
        <v>#DIV/0!</v>
      </c>
      <c r="M82" s="278" t="e">
        <f t="shared" si="41"/>
        <v>#DIV/0!</v>
      </c>
      <c r="N82" s="278" t="e">
        <f t="shared" si="41"/>
        <v>#DIV/0!</v>
      </c>
      <c r="O82" s="278" t="e">
        <f t="shared" si="41"/>
        <v>#DIV/0!</v>
      </c>
      <c r="P82" s="278" t="e">
        <f t="shared" si="41"/>
        <v>#DIV/0!</v>
      </c>
      <c r="Q82" s="278" t="e">
        <f t="shared" si="41"/>
        <v>#DIV/0!</v>
      </c>
      <c r="R82" s="278" t="e">
        <f t="shared" si="41"/>
        <v>#DIV/0!</v>
      </c>
      <c r="S82" s="1973" t="e">
        <v>#DIV/0!</v>
      </c>
      <c r="T82" s="278" t="e">
        <f>T81/(T12)*100</f>
        <v>#DIV/0!</v>
      </c>
      <c r="U82" s="278" t="e">
        <f>U81/(U12)*100</f>
        <v>#DIV/0!</v>
      </c>
      <c r="V82" s="278" t="e">
        <f>V81/(V12)*100</f>
        <v>#DIV/0!</v>
      </c>
      <c r="W82" s="278" t="e">
        <f>W81/(W12)*100</f>
        <v>#DIV/0!</v>
      </c>
      <c r="X82" s="278" t="e">
        <v>#DIV/0!</v>
      </c>
      <c r="Y82" s="278" t="e">
        <f>Y81/(Y12)*100</f>
        <v>#DIV/0!</v>
      </c>
      <c r="Z82" s="278" t="e">
        <f>Z81/(Z12)*100</f>
        <v>#DIV/0!</v>
      </c>
      <c r="AA82" s="278" t="e">
        <f>AA81/(AA12)*100</f>
        <v>#DIV/0!</v>
      </c>
      <c r="AB82" s="278" t="e">
        <f>AB81/(AB12)*100</f>
        <v>#DIV/0!</v>
      </c>
      <c r="AC82" s="278" t="e">
        <v>#DIV/0!</v>
      </c>
      <c r="AD82" s="278" t="e">
        <f t="shared" ref="AD82:AJ82" si="42">AD81/(AD12)*100</f>
        <v>#DIV/0!</v>
      </c>
      <c r="AE82" s="278" t="e">
        <f t="shared" si="42"/>
        <v>#DIV/0!</v>
      </c>
      <c r="AF82" s="278" t="e">
        <f t="shared" si="42"/>
        <v>#DIV/0!</v>
      </c>
      <c r="AG82" s="278" t="e">
        <f t="shared" si="42"/>
        <v>#DIV/0!</v>
      </c>
      <c r="AH82" s="278" t="e">
        <f t="shared" si="42"/>
        <v>#DIV/0!</v>
      </c>
      <c r="AI82" s="278" t="e">
        <f t="shared" si="42"/>
        <v>#DIV/0!</v>
      </c>
      <c r="AJ82" s="278" t="e">
        <f t="shared" si="42"/>
        <v>#DIV/0!</v>
      </c>
      <c r="AL82" s="302" t="e">
        <f>AL81/(AL12)*100</f>
        <v>#DIV/0!</v>
      </c>
      <c r="AV82" s="62"/>
      <c r="BH82" s="141"/>
      <c r="VEX82" s="46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</row>
    <row r="83" spans="3:60 15026:15039" x14ac:dyDescent="0.25">
      <c r="C83" s="15"/>
      <c r="D83" s="235" t="s">
        <v>55</v>
      </c>
      <c r="E83" s="252">
        <v>0.6</v>
      </c>
      <c r="F83" s="236" t="s">
        <v>14</v>
      </c>
      <c r="G83" s="275">
        <v>0</v>
      </c>
      <c r="H83" s="275">
        <v>0</v>
      </c>
      <c r="I83" s="275">
        <v>0</v>
      </c>
      <c r="J83" s="1514">
        <v>0</v>
      </c>
      <c r="K83" s="1514">
        <v>0</v>
      </c>
      <c r="L83" s="1514">
        <v>0</v>
      </c>
      <c r="M83" s="1514">
        <v>0</v>
      </c>
      <c r="N83" s="245">
        <v>365.72</v>
      </c>
      <c r="O83" s="245">
        <v>1043.24</v>
      </c>
      <c r="P83" s="245">
        <v>1120.32</v>
      </c>
      <c r="Q83" s="1514">
        <v>1230.8699999999999</v>
      </c>
      <c r="R83" s="245">
        <v>1150.32</v>
      </c>
      <c r="S83" s="2049">
        <v>955.82</v>
      </c>
      <c r="T83" s="2048">
        <v>802.2</v>
      </c>
      <c r="U83" s="2047">
        <v>985.95</v>
      </c>
      <c r="V83" s="245">
        <v>937.04</v>
      </c>
      <c r="W83" s="2086">
        <v>201.76</v>
      </c>
      <c r="X83" s="1514"/>
      <c r="Y83" s="1514"/>
      <c r="Z83" s="1514"/>
      <c r="AA83" s="1514"/>
      <c r="AB83" s="1514"/>
      <c r="AC83" s="1961"/>
      <c r="AD83" s="1961"/>
      <c r="AE83" s="277"/>
      <c r="AF83" s="277"/>
      <c r="AG83" s="277"/>
      <c r="AH83" s="277"/>
      <c r="AI83" s="275"/>
      <c r="AJ83" s="1514"/>
      <c r="AK83" s="306"/>
      <c r="AL83" s="961">
        <f>SUM(G83:AJ83)</f>
        <v>8793.24</v>
      </c>
      <c r="AM83" s="306"/>
      <c r="AN83" s="306"/>
      <c r="AO83" s="306"/>
    </row>
    <row r="84" spans="3:60 15026:15039" ht="15.75" thickBot="1" x14ac:dyDescent="0.3">
      <c r="C84" s="19"/>
      <c r="D84" s="24"/>
      <c r="E84" s="254"/>
      <c r="F84" s="25" t="s">
        <v>25</v>
      </c>
      <c r="G84" s="279" t="e">
        <f>G83/(G9)*100</f>
        <v>#DIV/0!</v>
      </c>
      <c r="H84" s="279" t="e">
        <f>H83/(H9)*100</f>
        <v>#DIV/0!</v>
      </c>
      <c r="I84" s="279" t="e">
        <f>I83/(I9)*100</f>
        <v>#DIV/0!</v>
      </c>
      <c r="J84" s="1635" t="e">
        <f>J83/(J9)*1000</f>
        <v>#DIV/0!</v>
      </c>
      <c r="K84" s="1635" t="e">
        <f>K83/(K9)*1000</f>
        <v>#DIV/0!</v>
      </c>
      <c r="L84" s="279" t="e">
        <f>L83/(L9)*100</f>
        <v>#DIV/0!</v>
      </c>
      <c r="M84" s="279" t="e">
        <f>M83/(M9)*100</f>
        <v>#DIV/0!</v>
      </c>
      <c r="N84" s="279">
        <f>N83/(N9)*100</f>
        <v>4.949800908970331E-2</v>
      </c>
      <c r="O84" s="279">
        <f>O83/(O9)*100</f>
        <v>4.6754157047968231E-2</v>
      </c>
      <c r="P84" s="279">
        <f>P83/(P9)*100</f>
        <v>5.1235708405744075E-2</v>
      </c>
      <c r="Q84" s="34">
        <f t="shared" ref="Q84:AF84" si="43">Q83/(Q9)*1000</f>
        <v>0.48973263185285304</v>
      </c>
      <c r="R84" s="34">
        <f t="shared" si="43"/>
        <v>0.50021089982475742</v>
      </c>
      <c r="S84" s="34">
        <f t="shared" si="43"/>
        <v>0.48081097300562947</v>
      </c>
      <c r="T84" s="34">
        <f t="shared" si="43"/>
        <v>0.5010236571604163</v>
      </c>
      <c r="U84" s="34">
        <f t="shared" si="43"/>
        <v>0.49047382871049089</v>
      </c>
      <c r="V84" s="34">
        <f t="shared" si="43"/>
        <v>0.48742882646505903</v>
      </c>
      <c r="W84" s="34">
        <f t="shared" si="43"/>
        <v>0.6271506237003005</v>
      </c>
      <c r="X84" s="34" t="e">
        <f>X83/(X9)*1000</f>
        <v>#VALUE!</v>
      </c>
      <c r="Y84" s="34" t="e">
        <f t="shared" si="43"/>
        <v>#DIV/0!</v>
      </c>
      <c r="Z84" s="34" t="e">
        <f t="shared" si="43"/>
        <v>#DIV/0!</v>
      </c>
      <c r="AA84" s="34" t="e">
        <f t="shared" si="43"/>
        <v>#DIV/0!</v>
      </c>
      <c r="AB84" s="34" t="e">
        <f t="shared" si="43"/>
        <v>#DIV/0!</v>
      </c>
      <c r="AC84" s="34" t="e">
        <f t="shared" si="43"/>
        <v>#DIV/0!</v>
      </c>
      <c r="AD84" s="34" t="e">
        <f t="shared" si="43"/>
        <v>#DIV/0!</v>
      </c>
      <c r="AE84" s="34" t="e">
        <f t="shared" si="43"/>
        <v>#DIV/0!</v>
      </c>
      <c r="AF84" s="34" t="e">
        <f t="shared" si="43"/>
        <v>#DIV/0!</v>
      </c>
      <c r="AG84" s="279" t="e">
        <f>AG83/(AG9)*100</f>
        <v>#DIV/0!</v>
      </c>
      <c r="AH84" s="279" t="e">
        <f>AH83/(AH9)*100</f>
        <v>#DIV/0!</v>
      </c>
      <c r="AI84" s="279" t="e">
        <f>AI83/(AI9)*100</f>
        <v>#DIV/0!</v>
      </c>
      <c r="AJ84" s="279" t="e">
        <f>AJ83/(AJ9)*100</f>
        <v>#DIV/0!</v>
      </c>
      <c r="AL84" s="1949">
        <f>AL83/AL9*1000</f>
        <v>0.49363654016544034</v>
      </c>
    </row>
    <row r="85" spans="3:60 15026:15039" s="137" customFormat="1" x14ac:dyDescent="0.25">
      <c r="C85" s="138">
        <v>3</v>
      </c>
      <c r="D85" s="239" t="s">
        <v>168</v>
      </c>
      <c r="E85" s="240">
        <v>0.7</v>
      </c>
      <c r="F85" s="241" t="s">
        <v>25</v>
      </c>
      <c r="G85" s="280" t="e">
        <f t="shared" ref="G85:M85" si="44">((SUM(G20:G21))-(SUM(G9)))/(SUM(G9))*100</f>
        <v>#DIV/0!</v>
      </c>
      <c r="H85" s="280" t="e">
        <f t="shared" si="44"/>
        <v>#DIV/0!</v>
      </c>
      <c r="I85" s="280" t="e">
        <f t="shared" si="44"/>
        <v>#DIV/0!</v>
      </c>
      <c r="J85" s="280" t="e">
        <f t="shared" si="44"/>
        <v>#DIV/0!</v>
      </c>
      <c r="K85" s="280" t="e">
        <f t="shared" si="44"/>
        <v>#DIV/0!</v>
      </c>
      <c r="L85" s="280" t="e">
        <f t="shared" si="44"/>
        <v>#DIV/0!</v>
      </c>
      <c r="M85" s="280" t="e">
        <f t="shared" si="44"/>
        <v>#DIV/0!</v>
      </c>
      <c r="N85" s="280">
        <f>((SUM(N18:N21))-(SUM(N9)))/(SUM(N9))*100</f>
        <v>3.261249116880375</v>
      </c>
      <c r="O85" s="280">
        <f>((SUM(O19:O21))-(SUM(O9)))/(SUM(O9))*100</f>
        <v>-0.88122291134753206</v>
      </c>
      <c r="P85" s="280">
        <f>((SUM(P18:P21))-(SUM(P9)))/(SUM(P9))*100</f>
        <v>-0.41580535991950973</v>
      </c>
      <c r="Q85" s="280">
        <f>((SUM(Q18:Q21))-(SUM(Q9)))/(SUM(Q9))*100</f>
        <v>-0.58065904841782945</v>
      </c>
      <c r="R85" s="280">
        <f t="shared" ref="R85:S85" si="45">((SUM(R18:R21))-(SUM(R9)))/(SUM(R9))*100</f>
        <v>-0.79093956959041956</v>
      </c>
      <c r="S85" s="280">
        <f t="shared" si="45"/>
        <v>-0.95476054776493979</v>
      </c>
      <c r="T85" s="280">
        <f>((SUM(T18:T21))-(SUM(T9)))/(SUM(T9))*100</f>
        <v>-0.8314794250531814</v>
      </c>
      <c r="U85" s="280">
        <f>((SUM(U18:U21))-(SUM(U9)))/(SUM(U9))*100</f>
        <v>-0.74709021345647875</v>
      </c>
      <c r="V85" s="280">
        <f>((SUM(V18:V21))-(SUM(V9)))/(SUM(V9))*100</f>
        <v>-0.73662592969048291</v>
      </c>
      <c r="W85" s="280">
        <f>((SUM(W18:W21))-(SUM(W9)))/(SUM(W9))*100</f>
        <v>3.623150113922831</v>
      </c>
      <c r="X85" s="280" t="e">
        <f t="shared" ref="X85:AJ85" si="46">((SUM(X20:X21))-(SUM(X9)))/(SUM(X9))*100</f>
        <v>#DIV/0!</v>
      </c>
      <c r="Y85" s="280" t="e">
        <f t="shared" si="46"/>
        <v>#DIV/0!</v>
      </c>
      <c r="Z85" s="280" t="e">
        <f t="shared" si="46"/>
        <v>#DIV/0!</v>
      </c>
      <c r="AA85" s="280" t="e">
        <f t="shared" si="46"/>
        <v>#DIV/0!</v>
      </c>
      <c r="AB85" s="280" t="e">
        <f t="shared" si="46"/>
        <v>#DIV/0!</v>
      </c>
      <c r="AC85" s="280" t="e">
        <f t="shared" si="46"/>
        <v>#DIV/0!</v>
      </c>
      <c r="AD85" s="280" t="e">
        <f t="shared" si="46"/>
        <v>#DIV/0!</v>
      </c>
      <c r="AE85" s="280" t="e">
        <f t="shared" si="46"/>
        <v>#DIV/0!</v>
      </c>
      <c r="AF85" s="280" t="e">
        <f t="shared" si="46"/>
        <v>#DIV/0!</v>
      </c>
      <c r="AG85" s="280" t="e">
        <f t="shared" si="46"/>
        <v>#DIV/0!</v>
      </c>
      <c r="AH85" s="280" t="e">
        <f t="shared" si="46"/>
        <v>#DIV/0!</v>
      </c>
      <c r="AI85" s="280" t="e">
        <f t="shared" si="46"/>
        <v>#DIV/0!</v>
      </c>
      <c r="AJ85" s="280" t="e">
        <f t="shared" si="46"/>
        <v>#DIV/0!</v>
      </c>
      <c r="AL85" s="304">
        <f>((SUM(AL18:AL21))-(SUM(AL9)))/(SUM(AL9))*100</f>
        <v>-0.34913460460500417</v>
      </c>
      <c r="AV85" s="1"/>
      <c r="BH85" s="147"/>
    </row>
    <row r="86" spans="3:60 15026:15039" s="137" customFormat="1" x14ac:dyDescent="0.25">
      <c r="C86" s="138"/>
      <c r="D86" s="309"/>
      <c r="E86" s="310"/>
      <c r="F86" s="311" t="s">
        <v>14</v>
      </c>
      <c r="G86" s="312" t="e">
        <f t="shared" ref="G86:AJ86" si="47">G85%*G9</f>
        <v>#DIV/0!</v>
      </c>
      <c r="H86" s="312" t="e">
        <f t="shared" si="47"/>
        <v>#DIV/0!</v>
      </c>
      <c r="I86" s="312" t="e">
        <f t="shared" si="47"/>
        <v>#DIV/0!</v>
      </c>
      <c r="J86" s="312" t="e">
        <f t="shared" si="47"/>
        <v>#DIV/0!</v>
      </c>
      <c r="K86" s="312" t="e">
        <f t="shared" si="47"/>
        <v>#DIV/0!</v>
      </c>
      <c r="L86" s="312" t="e">
        <f t="shared" si="47"/>
        <v>#DIV/0!</v>
      </c>
      <c r="M86" s="312" t="e">
        <f t="shared" si="47"/>
        <v>#DIV/0!</v>
      </c>
      <c r="N86" s="312">
        <f t="shared" si="47"/>
        <v>24096</v>
      </c>
      <c r="O86" s="312">
        <f t="shared" si="47"/>
        <v>-19663</v>
      </c>
      <c r="P86" s="312">
        <f t="shared" si="47"/>
        <v>-9092</v>
      </c>
      <c r="Q86" s="312">
        <f t="shared" si="47"/>
        <v>-14594</v>
      </c>
      <c r="R86" s="312">
        <f t="shared" si="47"/>
        <v>-18189</v>
      </c>
      <c r="S86" s="312">
        <f t="shared" si="47"/>
        <v>-18980</v>
      </c>
      <c r="T86" s="312">
        <f t="shared" si="47"/>
        <v>-13313</v>
      </c>
      <c r="U86" s="312">
        <f t="shared" si="47"/>
        <v>-15018.000000000002</v>
      </c>
      <c r="V86" s="312">
        <f t="shared" si="47"/>
        <v>-14161</v>
      </c>
      <c r="W86" s="312">
        <f t="shared" si="47"/>
        <v>11656</v>
      </c>
      <c r="X86" s="312" t="e">
        <f t="shared" si="47"/>
        <v>#DIV/0!</v>
      </c>
      <c r="Y86" s="312" t="e">
        <f t="shared" si="47"/>
        <v>#DIV/0!</v>
      </c>
      <c r="Z86" s="312" t="e">
        <f t="shared" si="47"/>
        <v>#DIV/0!</v>
      </c>
      <c r="AA86" s="312" t="e">
        <f t="shared" si="47"/>
        <v>#DIV/0!</v>
      </c>
      <c r="AB86" s="312" t="e">
        <f t="shared" si="47"/>
        <v>#DIV/0!</v>
      </c>
      <c r="AC86" s="312" t="e">
        <f t="shared" si="47"/>
        <v>#DIV/0!</v>
      </c>
      <c r="AD86" s="312" t="e">
        <f t="shared" si="47"/>
        <v>#DIV/0!</v>
      </c>
      <c r="AE86" s="312" t="e">
        <f t="shared" si="47"/>
        <v>#DIV/0!</v>
      </c>
      <c r="AF86" s="312" t="e">
        <f t="shared" si="47"/>
        <v>#DIV/0!</v>
      </c>
      <c r="AG86" s="312" t="e">
        <f t="shared" si="47"/>
        <v>#DIV/0!</v>
      </c>
      <c r="AH86" s="312" t="e">
        <f t="shared" si="47"/>
        <v>#DIV/0!</v>
      </c>
      <c r="AI86" s="312" t="e">
        <f t="shared" si="47"/>
        <v>#DIV/0!</v>
      </c>
      <c r="AJ86" s="312" t="e">
        <f t="shared" si="47"/>
        <v>#DIV/0!</v>
      </c>
      <c r="AL86" s="313">
        <f>AL85%*AL9</f>
        <v>-62192</v>
      </c>
      <c r="AV86" s="62"/>
      <c r="BH86" s="147"/>
    </row>
    <row r="87" spans="3:60 15026:15039" s="62" customFormat="1" x14ac:dyDescent="0.25">
      <c r="C87" s="68"/>
      <c r="D87" s="235" t="s">
        <v>54</v>
      </c>
      <c r="E87" s="259">
        <v>22</v>
      </c>
      <c r="F87" s="236" t="s">
        <v>25</v>
      </c>
      <c r="G87" s="281"/>
      <c r="H87" s="281"/>
      <c r="I87" s="281"/>
      <c r="J87" s="281">
        <v>0</v>
      </c>
      <c r="K87" s="281">
        <v>0</v>
      </c>
      <c r="L87" s="281">
        <v>0</v>
      </c>
      <c r="M87" s="281">
        <v>0</v>
      </c>
      <c r="N87" s="281">
        <v>22.87</v>
      </c>
      <c r="O87" s="281">
        <v>21.13</v>
      </c>
      <c r="P87" s="281">
        <v>20.78</v>
      </c>
      <c r="Q87" s="281">
        <v>21.01</v>
      </c>
      <c r="R87" s="281">
        <v>20.91</v>
      </c>
      <c r="S87" s="1974">
        <v>20.39</v>
      </c>
      <c r="T87" s="281">
        <v>20.329999999999998</v>
      </c>
      <c r="U87" s="281">
        <v>20.69</v>
      </c>
      <c r="V87" s="281">
        <v>20.77</v>
      </c>
      <c r="W87" s="281">
        <v>21.26</v>
      </c>
      <c r="X87" s="281"/>
      <c r="Y87" s="281"/>
      <c r="Z87" s="281">
        <v>0</v>
      </c>
      <c r="AA87" s="281"/>
      <c r="AB87" s="281"/>
      <c r="AC87" s="245"/>
      <c r="AD87" s="245"/>
      <c r="AE87" s="275">
        <v>0</v>
      </c>
      <c r="AF87" s="275">
        <v>0</v>
      </c>
      <c r="AG87" s="275"/>
      <c r="AH87" s="275"/>
      <c r="AI87" s="275"/>
      <c r="AJ87" s="281"/>
      <c r="AL87" s="307">
        <f>AVERAGE(N87:X87)</f>
        <v>21.014000000000003</v>
      </c>
      <c r="AM87" s="809"/>
      <c r="AV87" s="16"/>
      <c r="BH87" s="143"/>
    </row>
    <row r="88" spans="3:60 15026:15039" s="62" customFormat="1" ht="15.75" thickBot="1" x14ac:dyDescent="0.3">
      <c r="C88" s="85"/>
      <c r="D88" s="86" t="s">
        <v>53</v>
      </c>
      <c r="E88" s="254"/>
      <c r="F88" s="87" t="s">
        <v>14</v>
      </c>
      <c r="G88" s="276"/>
      <c r="H88" s="276"/>
      <c r="I88" s="276"/>
      <c r="J88" s="276"/>
      <c r="K88" s="276"/>
      <c r="L88" s="276"/>
      <c r="M88" s="276"/>
      <c r="N88" s="960">
        <f>SUM(N75,N81)+(N87%*SUM(N75,N81))/N6</f>
        <v>9596.1470000000008</v>
      </c>
      <c r="O88" s="960">
        <f>SUM(O75,O81)+(O87%*SUM(O75,O81))/O6</f>
        <v>19744.189999999999</v>
      </c>
      <c r="P88" s="960">
        <f>SUM(P75,P81)+(P87%*SUM(P75,P81))/P6</f>
        <v>23093.135999999999</v>
      </c>
      <c r="Q88" s="276">
        <f>SUM(Q75,Q81)+(Q87%*SUM(Q75,Q81))</f>
        <v>27723.391</v>
      </c>
      <c r="R88" s="276">
        <f t="shared" ref="R88:U88" si="48">SUM(R75,R81)+(R87%*SUM(R75,R81))</f>
        <v>22440.896000000001</v>
      </c>
      <c r="S88" s="276">
        <f t="shared" si="48"/>
        <v>20565.019800000002</v>
      </c>
      <c r="T88" s="276">
        <f t="shared" si="48"/>
        <v>17165.074499999999</v>
      </c>
      <c r="U88" s="276">
        <f t="shared" si="48"/>
        <v>18173.500199999999</v>
      </c>
      <c r="V88" s="276">
        <f>SUM(V75,V81)+(V87%*SUM(V75,V81))</f>
        <v>22096.0792</v>
      </c>
      <c r="W88" s="276">
        <f>SUM(W75,W81)+(W87%*SUM(W75,W81))</f>
        <v>4452.6671999999999</v>
      </c>
      <c r="X88" s="276">
        <f>SUM(X75,X81)+(X87%*SUM(X75,X81))</f>
        <v>0</v>
      </c>
      <c r="Y88" s="276">
        <f t="shared" ref="Y88:AJ88" si="49">SUM(Y75,Y81)+(Y87%*SUM(Y75,Y81))</f>
        <v>0</v>
      </c>
      <c r="Z88" s="276">
        <f t="shared" si="49"/>
        <v>0</v>
      </c>
      <c r="AA88" s="276">
        <f t="shared" si="49"/>
        <v>0</v>
      </c>
      <c r="AB88" s="276">
        <f t="shared" si="49"/>
        <v>0</v>
      </c>
      <c r="AC88" s="276"/>
      <c r="AD88" s="276">
        <f t="shared" si="49"/>
        <v>0</v>
      </c>
      <c r="AE88" s="276">
        <f t="shared" si="49"/>
        <v>0</v>
      </c>
      <c r="AF88" s="276">
        <f t="shared" si="49"/>
        <v>0</v>
      </c>
      <c r="AG88" s="276"/>
      <c r="AH88" s="276"/>
      <c r="AI88" s="276"/>
      <c r="AJ88" s="276">
        <f t="shared" si="49"/>
        <v>0</v>
      </c>
      <c r="AL88" s="960">
        <f>SUM(AL75,AL81)+(AL87%*SUM(AL75,AL81))/AL6</f>
        <v>156289.676022</v>
      </c>
      <c r="AV88" s="1"/>
      <c r="BH88" s="143"/>
    </row>
    <row r="89" spans="3:60 15026:15039" ht="15" hidden="1" customHeight="1" x14ac:dyDescent="0.25">
      <c r="C89" s="8">
        <v>4</v>
      </c>
      <c r="D89" s="47" t="s">
        <v>52</v>
      </c>
      <c r="E89" s="48"/>
      <c r="F89" s="49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1966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3"/>
      <c r="AL89" s="78" t="s">
        <v>130</v>
      </c>
    </row>
    <row r="90" spans="3:60 15026:15039" s="2" customFormat="1" ht="15" hidden="1" customHeight="1" x14ac:dyDescent="0.25">
      <c r="C90" s="8"/>
      <c r="D90" s="26" t="s">
        <v>51</v>
      </c>
      <c r="E90" s="88"/>
      <c r="F90" s="12" t="s">
        <v>14</v>
      </c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1975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7"/>
      <c r="AL90" s="89">
        <v>0</v>
      </c>
      <c r="AV90" s="1"/>
      <c r="BH90" s="146"/>
    </row>
    <row r="91" spans="3:60 15026:15039" s="1" customFormat="1" ht="15" hidden="1" customHeight="1" x14ac:dyDescent="0.25">
      <c r="C91" s="15"/>
      <c r="D91" s="28" t="s">
        <v>46</v>
      </c>
      <c r="E91" s="90"/>
      <c r="F91" s="20" t="s">
        <v>14</v>
      </c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1976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"/>
      <c r="AL91" s="89">
        <v>0</v>
      </c>
      <c r="BH91" s="142"/>
    </row>
    <row r="92" spans="3:60 15026:15039" s="1" customFormat="1" ht="15" hidden="1" customHeight="1" x14ac:dyDescent="0.25">
      <c r="C92" s="15"/>
      <c r="D92" s="30" t="s">
        <v>39</v>
      </c>
      <c r="E92" s="60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6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/>
      <c r="AJ92" s="34">
        <v>0</v>
      </c>
      <c r="AL92" s="58">
        <v>0</v>
      </c>
      <c r="AV92" s="16"/>
      <c r="BH92" s="142"/>
    </row>
    <row r="93" spans="3:60 15026:15039" s="1" customFormat="1" ht="15" hidden="1" customHeight="1" x14ac:dyDescent="0.25">
      <c r="C93" s="15"/>
      <c r="D93" s="30" t="s">
        <v>38</v>
      </c>
      <c r="E93" s="60"/>
      <c r="F93" s="20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64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/>
      <c r="AJ93" s="34">
        <v>0</v>
      </c>
      <c r="AL93" s="58">
        <v>0</v>
      </c>
      <c r="BH93" s="142"/>
    </row>
    <row r="94" spans="3:60 15026:15039" s="1" customFormat="1" ht="15" hidden="1" customHeight="1" x14ac:dyDescent="0.25">
      <c r="C94" s="15"/>
      <c r="D94" s="30" t="s">
        <v>50</v>
      </c>
      <c r="E94" s="60"/>
      <c r="F94" s="13" t="s">
        <v>14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196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0</v>
      </c>
      <c r="Y94" s="34">
        <v>0</v>
      </c>
      <c r="Z94" s="34">
        <v>0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4"/>
      <c r="AJ94" s="34">
        <v>0</v>
      </c>
      <c r="AL94" s="58">
        <v>0</v>
      </c>
      <c r="BH94" s="142"/>
    </row>
    <row r="95" spans="3:60 15026:15039" s="1" customFormat="1" ht="15" hidden="1" customHeight="1" x14ac:dyDescent="0.25">
      <c r="C95" s="15"/>
      <c r="D95" s="30" t="s">
        <v>29</v>
      </c>
      <c r="E95" s="60"/>
      <c r="F95" s="1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6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L95" s="63" t="s">
        <v>29</v>
      </c>
      <c r="BH95" s="142"/>
    </row>
    <row r="96" spans="3:60 15026:15039" s="16" customFormat="1" ht="15" hidden="1" customHeight="1" x14ac:dyDescent="0.2">
      <c r="C96" s="17"/>
      <c r="D96" s="31" t="s">
        <v>49</v>
      </c>
      <c r="E96" s="53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6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L96" s="54">
        <v>0</v>
      </c>
      <c r="AV96" s="1"/>
      <c r="BH96" s="148"/>
    </row>
    <row r="97" spans="3:60 15026:15418" s="16" customFormat="1" ht="15" hidden="1" customHeight="1" x14ac:dyDescent="0.2">
      <c r="C97" s="17"/>
      <c r="D97" s="31" t="s">
        <v>48</v>
      </c>
      <c r="E97" s="53"/>
      <c r="F97" s="32" t="s">
        <v>31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6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L97" s="54">
        <v>0</v>
      </c>
      <c r="AV97" s="1">
        <v>37542</v>
      </c>
      <c r="BH97" s="148"/>
    </row>
    <row r="98" spans="3:60 15026:15418" s="1" customFormat="1" ht="15" hidden="1" customHeight="1" x14ac:dyDescent="0.25">
      <c r="C98" s="15"/>
      <c r="D98" s="30" t="s">
        <v>28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6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L98" s="63" t="s">
        <v>28</v>
      </c>
      <c r="BH98" s="142"/>
    </row>
    <row r="99" spans="3:60 15026:15418" s="1" customFormat="1" ht="15" hidden="1" customHeight="1" x14ac:dyDescent="0.25">
      <c r="C99" s="15"/>
      <c r="D99" s="14" t="s">
        <v>49</v>
      </c>
      <c r="E99" s="60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6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/>
      <c r="AJ99" s="33">
        <v>0</v>
      </c>
      <c r="AL99" s="54">
        <v>0</v>
      </c>
      <c r="BH99" s="142"/>
    </row>
    <row r="100" spans="3:60 15026:15418" s="1" customFormat="1" ht="15" hidden="1" customHeight="1" x14ac:dyDescent="0.25">
      <c r="C100" s="15"/>
      <c r="D100" s="14" t="s">
        <v>48</v>
      </c>
      <c r="E100" s="60"/>
      <c r="F100" s="20" t="s">
        <v>28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196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>
        <v>0</v>
      </c>
      <c r="AG100" s="33">
        <v>0</v>
      </c>
      <c r="AH100" s="33">
        <v>0</v>
      </c>
      <c r="AI100" s="33"/>
      <c r="AJ100" s="33">
        <v>0</v>
      </c>
      <c r="AL100" s="54">
        <v>0</v>
      </c>
      <c r="BH100" s="142"/>
    </row>
    <row r="101" spans="3:60 15026:15418" s="1" customFormat="1" ht="15" hidden="1" customHeight="1" x14ac:dyDescent="0.25">
      <c r="C101" s="15"/>
      <c r="D101" s="30" t="s">
        <v>36</v>
      </c>
      <c r="E101" s="60"/>
      <c r="F101" s="20" t="s">
        <v>35</v>
      </c>
      <c r="G101" s="284">
        <v>0</v>
      </c>
      <c r="H101" s="284">
        <v>0</v>
      </c>
      <c r="I101" s="284">
        <v>0</v>
      </c>
      <c r="J101" s="284">
        <v>0</v>
      </c>
      <c r="K101" s="284">
        <v>0</v>
      </c>
      <c r="L101" s="284">
        <v>0</v>
      </c>
      <c r="M101" s="284">
        <v>0</v>
      </c>
      <c r="N101" s="284">
        <v>0</v>
      </c>
      <c r="O101" s="284">
        <v>0</v>
      </c>
      <c r="P101" s="284">
        <v>0</v>
      </c>
      <c r="Q101" s="284">
        <v>0</v>
      </c>
      <c r="R101" s="284">
        <v>0</v>
      </c>
      <c r="S101" s="1977">
        <v>0</v>
      </c>
      <c r="T101" s="284">
        <v>0</v>
      </c>
      <c r="U101" s="284">
        <v>0</v>
      </c>
      <c r="V101" s="284">
        <v>0</v>
      </c>
      <c r="W101" s="284">
        <v>0</v>
      </c>
      <c r="X101" s="284">
        <v>0</v>
      </c>
      <c r="Y101" s="284">
        <v>0</v>
      </c>
      <c r="Z101" s="284">
        <v>0</v>
      </c>
      <c r="AA101" s="284">
        <v>0</v>
      </c>
      <c r="AB101" s="284">
        <v>0</v>
      </c>
      <c r="AC101" s="284">
        <v>0</v>
      </c>
      <c r="AD101" s="284">
        <v>0</v>
      </c>
      <c r="AE101" s="284">
        <v>0</v>
      </c>
      <c r="AF101" s="284">
        <v>0</v>
      </c>
      <c r="AG101" s="284">
        <v>0</v>
      </c>
      <c r="AH101" s="284">
        <v>0</v>
      </c>
      <c r="AI101" s="284"/>
      <c r="AJ101" s="284">
        <v>0</v>
      </c>
      <c r="AL101" s="54">
        <v>0</v>
      </c>
      <c r="BH101" s="142"/>
    </row>
    <row r="102" spans="3:60 15026:15418" s="1" customFormat="1" ht="15" hidden="1" customHeight="1" x14ac:dyDescent="0.25">
      <c r="C102" s="15"/>
      <c r="D102" s="30" t="s">
        <v>34</v>
      </c>
      <c r="E102" s="60"/>
      <c r="F102" s="20" t="s">
        <v>33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6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>
        <v>0</v>
      </c>
      <c r="AL102" s="54">
        <v>0</v>
      </c>
      <c r="BH102" s="142"/>
    </row>
    <row r="103" spans="3:60 15026:15418" s="1" customFormat="1" ht="15" hidden="1" customHeight="1" x14ac:dyDescent="0.25">
      <c r="C103" s="8"/>
      <c r="D103" s="47" t="s">
        <v>32</v>
      </c>
      <c r="E103" s="48"/>
      <c r="F103" s="49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1966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3"/>
      <c r="AL103" s="78" t="s">
        <v>131</v>
      </c>
      <c r="BH103" s="141"/>
      <c r="VEX103" s="46"/>
      <c r="VEY103" s="46"/>
      <c r="VEZ103" s="46"/>
      <c r="VFA103" s="46"/>
      <c r="VFB103" s="46"/>
      <c r="VFC103" s="46"/>
      <c r="VFD103" s="46"/>
      <c r="VFE103" s="46"/>
      <c r="VFF103" s="46"/>
      <c r="VFG103" s="46"/>
      <c r="VFH103" s="46"/>
      <c r="VFI103" s="46"/>
      <c r="VFJ103" s="46"/>
      <c r="VFK103" s="46"/>
      <c r="VFL103" s="46"/>
      <c r="VFM103" s="46"/>
      <c r="VFN103" s="46"/>
      <c r="VFO103" s="46"/>
      <c r="VFP103" s="46"/>
      <c r="VFQ103" s="46"/>
      <c r="VFR103" s="46"/>
      <c r="VFS103" s="46"/>
      <c r="VFT103" s="46"/>
      <c r="VFU103" s="46"/>
      <c r="VFV103" s="46"/>
      <c r="VFW103" s="46"/>
      <c r="VFX103" s="46"/>
      <c r="VFY103" s="46"/>
      <c r="VFZ103" s="46"/>
      <c r="VGA103" s="46"/>
      <c r="VGB103" s="46"/>
      <c r="VGC103" s="46"/>
      <c r="VGD103" s="46"/>
      <c r="VGE103" s="46"/>
      <c r="VGF103" s="46"/>
      <c r="VGG103" s="46"/>
      <c r="VGH103" s="46"/>
      <c r="VGI103" s="46"/>
      <c r="VGJ103" s="46"/>
      <c r="VGK103" s="46"/>
      <c r="VGL103" s="46"/>
      <c r="VGM103" s="46"/>
      <c r="VGN103" s="46"/>
      <c r="VGO103" s="46"/>
      <c r="VGP103" s="46"/>
      <c r="VGQ103" s="46"/>
      <c r="VGR103" s="46"/>
      <c r="VGS103" s="46"/>
      <c r="VGT103" s="46"/>
      <c r="VGU103" s="46"/>
      <c r="VGV103" s="46"/>
      <c r="VGW103" s="46"/>
      <c r="VGX103" s="46"/>
      <c r="VGY103" s="46"/>
      <c r="VGZ103" s="46"/>
      <c r="VHA103" s="46"/>
      <c r="VHB103" s="46"/>
      <c r="VHC103" s="46"/>
      <c r="VHD103" s="46"/>
      <c r="VHE103" s="46"/>
      <c r="VHF103" s="46"/>
      <c r="VHG103" s="46"/>
      <c r="VHH103" s="46"/>
      <c r="VHI103" s="46"/>
      <c r="VHJ103" s="46"/>
      <c r="VHK103" s="46"/>
      <c r="VHL103" s="46"/>
      <c r="VHM103" s="46"/>
      <c r="VHN103" s="46"/>
      <c r="VHO103" s="46"/>
      <c r="VHP103" s="46"/>
      <c r="VHQ103" s="46"/>
      <c r="VHR103" s="46"/>
      <c r="VHS103" s="46"/>
      <c r="VHT103" s="46"/>
      <c r="VHU103" s="46"/>
      <c r="VHV103" s="46"/>
      <c r="VHW103" s="46"/>
      <c r="VHX103" s="46"/>
      <c r="VHY103" s="46"/>
      <c r="VHZ103" s="46"/>
      <c r="VIA103" s="46"/>
      <c r="VIB103" s="46"/>
      <c r="VIC103" s="46"/>
      <c r="VID103" s="46"/>
      <c r="VIE103" s="46"/>
      <c r="VIF103" s="46"/>
      <c r="VIG103" s="46"/>
      <c r="VIH103" s="46"/>
      <c r="VII103" s="46"/>
      <c r="VIJ103" s="46"/>
      <c r="VIK103" s="46"/>
      <c r="VIL103" s="46"/>
      <c r="VIM103" s="46"/>
      <c r="VIN103" s="46"/>
      <c r="VIO103" s="46"/>
      <c r="VIP103" s="46"/>
      <c r="VIQ103" s="46"/>
      <c r="VIR103" s="46"/>
      <c r="VIS103" s="46"/>
      <c r="VIT103" s="46"/>
      <c r="VIU103" s="46"/>
      <c r="VIV103" s="46"/>
      <c r="VIW103" s="46"/>
      <c r="VIX103" s="46"/>
      <c r="VIY103" s="46"/>
      <c r="VIZ103" s="46"/>
      <c r="VJA103" s="46"/>
      <c r="VJB103" s="46"/>
      <c r="VJC103" s="46"/>
      <c r="VJD103" s="46"/>
      <c r="VJE103" s="46"/>
      <c r="VJF103" s="46"/>
      <c r="VJG103" s="46"/>
      <c r="VJH103" s="46"/>
      <c r="VJI103" s="46"/>
      <c r="VJJ103" s="46"/>
      <c r="VJK103" s="46"/>
      <c r="VJL103" s="46"/>
      <c r="VJM103" s="46"/>
      <c r="VJN103" s="46"/>
      <c r="VJO103" s="46"/>
      <c r="VJP103" s="46"/>
      <c r="VJQ103" s="46"/>
      <c r="VJR103" s="46"/>
      <c r="VJS103" s="46"/>
      <c r="VJT103" s="46"/>
      <c r="VJU103" s="46"/>
      <c r="VJV103" s="46"/>
      <c r="VJW103" s="46"/>
      <c r="VJX103" s="46"/>
      <c r="VJY103" s="46"/>
      <c r="VJZ103" s="46"/>
      <c r="VKA103" s="46"/>
      <c r="VKB103" s="46"/>
      <c r="VKC103" s="46"/>
      <c r="VKD103" s="46"/>
      <c r="VKE103" s="46"/>
      <c r="VKF103" s="46"/>
      <c r="VKG103" s="46"/>
      <c r="VKH103" s="46"/>
      <c r="VKI103" s="46"/>
      <c r="VKJ103" s="46"/>
      <c r="VKK103" s="46"/>
      <c r="VKL103" s="46"/>
      <c r="VKM103" s="46"/>
      <c r="VKN103" s="46"/>
      <c r="VKO103" s="46"/>
      <c r="VKP103" s="46"/>
      <c r="VKQ103" s="46"/>
      <c r="VKR103" s="46"/>
      <c r="VKS103" s="46"/>
      <c r="VKT103" s="46"/>
      <c r="VKU103" s="46"/>
      <c r="VKV103" s="46"/>
      <c r="VKW103" s="46"/>
      <c r="VKX103" s="46"/>
      <c r="VKY103" s="46"/>
      <c r="VKZ103" s="46"/>
      <c r="VLA103" s="46"/>
      <c r="VLB103" s="46"/>
      <c r="VLC103" s="46"/>
      <c r="VLD103" s="46"/>
      <c r="VLE103" s="46"/>
      <c r="VLF103" s="46"/>
      <c r="VLG103" s="46"/>
      <c r="VLH103" s="46"/>
      <c r="VLI103" s="46"/>
      <c r="VLJ103" s="46"/>
      <c r="VLK103" s="46"/>
      <c r="VLL103" s="46"/>
      <c r="VLM103" s="46"/>
      <c r="VLN103" s="46"/>
      <c r="VLO103" s="46"/>
      <c r="VLP103" s="46"/>
      <c r="VLQ103" s="46"/>
      <c r="VLR103" s="46"/>
      <c r="VLS103" s="46"/>
      <c r="VLT103" s="46"/>
      <c r="VLU103" s="46"/>
      <c r="VLV103" s="46"/>
      <c r="VLW103" s="46"/>
      <c r="VLX103" s="46"/>
      <c r="VLY103" s="46"/>
      <c r="VLZ103" s="46"/>
      <c r="VMA103" s="46"/>
      <c r="VMB103" s="46"/>
      <c r="VMC103" s="46"/>
      <c r="VMD103" s="46"/>
      <c r="VME103" s="46"/>
      <c r="VMF103" s="46"/>
      <c r="VMG103" s="46"/>
      <c r="VMH103" s="46"/>
      <c r="VMI103" s="46"/>
      <c r="VMJ103" s="46"/>
      <c r="VMK103" s="46"/>
      <c r="VML103" s="46"/>
      <c r="VMM103" s="46"/>
      <c r="VMN103" s="46"/>
      <c r="VMO103" s="46"/>
      <c r="VMP103" s="46"/>
      <c r="VMQ103" s="46"/>
      <c r="VMR103" s="46"/>
      <c r="VMS103" s="46"/>
      <c r="VMT103" s="46"/>
      <c r="VMU103" s="46"/>
      <c r="VMV103" s="46"/>
      <c r="VMW103" s="46"/>
      <c r="VMX103" s="46"/>
      <c r="VMY103" s="46"/>
      <c r="VMZ103" s="46"/>
      <c r="VNA103" s="46"/>
      <c r="VNB103" s="46"/>
      <c r="VNC103" s="46"/>
      <c r="VND103" s="46"/>
      <c r="VNE103" s="46"/>
      <c r="VNF103" s="46"/>
      <c r="VNG103" s="46"/>
      <c r="VNH103" s="46"/>
      <c r="VNI103" s="46"/>
      <c r="VNJ103" s="46"/>
      <c r="VNK103" s="46"/>
      <c r="VNL103" s="46"/>
      <c r="VNM103" s="46"/>
      <c r="VNN103" s="46"/>
      <c r="VNO103" s="46"/>
      <c r="VNP103" s="46"/>
      <c r="VNQ103" s="46"/>
      <c r="VNR103" s="46"/>
      <c r="VNS103" s="46"/>
      <c r="VNT103" s="46"/>
      <c r="VNU103" s="46"/>
      <c r="VNV103" s="46"/>
      <c r="VNW103" s="46"/>
      <c r="VNX103" s="46"/>
      <c r="VNY103" s="46"/>
      <c r="VNZ103" s="46"/>
      <c r="VOA103" s="46"/>
      <c r="VOB103" s="46"/>
      <c r="VOC103" s="46"/>
      <c r="VOD103" s="46"/>
      <c r="VOE103" s="46"/>
      <c r="VOF103" s="46"/>
      <c r="VOG103" s="46"/>
      <c r="VOH103" s="46"/>
      <c r="VOI103" s="46"/>
      <c r="VOJ103" s="46"/>
      <c r="VOK103" s="46"/>
      <c r="VOL103" s="46"/>
      <c r="VOM103" s="46"/>
      <c r="VON103" s="46"/>
      <c r="VOO103" s="46"/>
      <c r="VOP103" s="46"/>
      <c r="VOQ103" s="46"/>
      <c r="VOR103" s="46"/>
      <c r="VOS103" s="46"/>
      <c r="VOT103" s="46"/>
      <c r="VOU103" s="46"/>
      <c r="VOV103" s="46"/>
      <c r="VOW103" s="46"/>
      <c r="VOX103" s="46"/>
      <c r="VOY103" s="46"/>
      <c r="VOZ103" s="46"/>
      <c r="VPA103" s="46"/>
      <c r="VPB103" s="46"/>
      <c r="VPC103" s="46"/>
      <c r="VPD103" s="46"/>
      <c r="VPE103" s="46"/>
      <c r="VPF103" s="46"/>
      <c r="VPG103" s="46"/>
      <c r="VPH103" s="46"/>
      <c r="VPI103" s="46"/>
      <c r="VPJ103" s="46"/>
      <c r="VPK103" s="46"/>
      <c r="VPL103" s="46"/>
      <c r="VPM103" s="46"/>
      <c r="VPN103" s="46"/>
      <c r="VPO103" s="46"/>
      <c r="VPP103" s="46"/>
      <c r="VPQ103" s="46"/>
      <c r="VPR103" s="46"/>
      <c r="VPS103" s="46"/>
      <c r="VPT103" s="46"/>
      <c r="VPU103" s="46"/>
      <c r="VPV103" s="46"/>
      <c r="VPW103" s="46"/>
      <c r="VPX103" s="46"/>
      <c r="VPY103" s="46"/>
      <c r="VPZ103" s="46"/>
      <c r="VQA103" s="46"/>
      <c r="VQB103" s="46"/>
      <c r="VQC103" s="46"/>
      <c r="VQD103" s="46"/>
      <c r="VQE103" s="46"/>
      <c r="VQF103" s="46"/>
      <c r="VQG103" s="46"/>
      <c r="VQH103" s="46"/>
      <c r="VQI103" s="46"/>
      <c r="VQJ103" s="46"/>
      <c r="VQK103" s="46"/>
      <c r="VQL103" s="46"/>
      <c r="VQM103" s="46"/>
      <c r="VQN103" s="46"/>
      <c r="VQO103" s="46"/>
      <c r="VQP103" s="46"/>
      <c r="VQQ103" s="46"/>
      <c r="VQR103" s="46"/>
      <c r="VQS103" s="46"/>
      <c r="VQT103" s="46"/>
      <c r="VQU103" s="46"/>
      <c r="VQV103" s="46"/>
      <c r="VQW103" s="46"/>
      <c r="VQX103" s="46"/>
      <c r="VQY103" s="46"/>
      <c r="VQZ103" s="46"/>
      <c r="VRA103" s="46"/>
      <c r="VRB103" s="46"/>
      <c r="VRC103" s="46"/>
      <c r="VRD103" s="46"/>
      <c r="VRE103" s="46"/>
      <c r="VRF103" s="46"/>
      <c r="VRG103" s="46"/>
      <c r="VRH103" s="46"/>
      <c r="VRI103" s="46"/>
      <c r="VRJ103" s="46"/>
      <c r="VRK103" s="46"/>
      <c r="VRL103" s="46"/>
      <c r="VRM103" s="46"/>
      <c r="VRN103" s="46"/>
      <c r="VRO103" s="46"/>
      <c r="VRP103" s="46"/>
      <c r="VRQ103" s="46"/>
      <c r="VRR103" s="46"/>
      <c r="VRS103" s="46"/>
      <c r="VRT103" s="46"/>
      <c r="VRU103" s="46"/>
      <c r="VRV103" s="46"/>
      <c r="VRW103" s="46"/>
      <c r="VRX103" s="46"/>
      <c r="VRY103" s="46"/>
      <c r="VRZ103" s="46"/>
      <c r="VSA103" s="46"/>
      <c r="VSB103" s="46"/>
      <c r="VSC103" s="46"/>
      <c r="VSD103" s="46"/>
      <c r="VSE103" s="46"/>
      <c r="VSF103" s="46"/>
      <c r="VSG103" s="46"/>
      <c r="VSH103" s="46"/>
      <c r="VSI103" s="46"/>
      <c r="VSJ103" s="46"/>
      <c r="VSK103" s="46"/>
      <c r="VSL103" s="46"/>
      <c r="VSM103" s="46"/>
      <c r="VSN103" s="46"/>
      <c r="VSO103" s="46"/>
      <c r="VSP103" s="46"/>
      <c r="VSQ103" s="46"/>
      <c r="VSR103" s="46"/>
      <c r="VSS103" s="46"/>
      <c r="VST103" s="46"/>
      <c r="VSU103" s="46"/>
      <c r="VSV103" s="46"/>
      <c r="VSW103" s="46"/>
      <c r="VSX103" s="46"/>
      <c r="VSY103" s="46"/>
      <c r="VSZ103" s="46"/>
      <c r="VTA103" s="46"/>
      <c r="VTB103" s="46"/>
      <c r="VTC103" s="46"/>
      <c r="VTD103" s="46"/>
      <c r="VTE103" s="46"/>
      <c r="VTF103" s="46"/>
      <c r="VTG103" s="46"/>
      <c r="VTH103" s="46"/>
      <c r="VTI103" s="46"/>
      <c r="VTJ103" s="46"/>
      <c r="VTK103" s="46"/>
      <c r="VTL103" s="46"/>
      <c r="VTM103" s="46"/>
      <c r="VTN103" s="46"/>
      <c r="VTO103" s="46"/>
      <c r="VTP103" s="46"/>
      <c r="VTQ103" s="46"/>
      <c r="VTR103" s="46"/>
      <c r="VTS103" s="46"/>
      <c r="VTT103" s="46"/>
      <c r="VTU103" s="46"/>
      <c r="VTV103" s="46"/>
      <c r="VTW103" s="46"/>
      <c r="VTX103" s="46"/>
      <c r="VTY103" s="46"/>
      <c r="VTZ103" s="46"/>
    </row>
    <row r="104" spans="3:60 15026:15418" s="1" customFormat="1" ht="15" hidden="1" customHeight="1" x14ac:dyDescent="0.25">
      <c r="C104" s="15"/>
      <c r="D104" s="30" t="s">
        <v>29</v>
      </c>
      <c r="E104" s="60"/>
      <c r="F104" s="1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6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L104" s="63" t="s">
        <v>29</v>
      </c>
      <c r="BH104" s="142"/>
    </row>
    <row r="105" spans="3:60 15026:15418" s="1" customFormat="1" ht="15" hidden="1" customHeight="1" x14ac:dyDescent="0.25">
      <c r="C105" s="15"/>
      <c r="D105" s="14" t="s">
        <v>49</v>
      </c>
      <c r="E105" s="60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6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L105" s="54">
        <v>0</v>
      </c>
      <c r="BH105" s="142"/>
    </row>
    <row r="106" spans="3:60 15026:15418" s="1" customFormat="1" ht="15" hidden="1" customHeight="1" x14ac:dyDescent="0.25">
      <c r="C106" s="15"/>
      <c r="D106" s="14" t="s">
        <v>48</v>
      </c>
      <c r="E106" s="60"/>
      <c r="F106" s="20" t="s">
        <v>31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6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L106" s="54">
        <v>0</v>
      </c>
      <c r="BH106" s="142"/>
    </row>
    <row r="107" spans="3:60 15026:15418" s="1" customFormat="1" ht="15" hidden="1" customHeight="1" x14ac:dyDescent="0.25">
      <c r="C107" s="15"/>
      <c r="D107" s="30" t="s">
        <v>28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6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L107" s="63" t="s">
        <v>28</v>
      </c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BH107" s="142"/>
    </row>
    <row r="108" spans="3:60 15026:15418" s="1" customFormat="1" ht="15" hidden="1" customHeight="1" x14ac:dyDescent="0.25">
      <c r="C108" s="15"/>
      <c r="D108" s="14" t="s">
        <v>49</v>
      </c>
      <c r="E108" s="60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6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/>
      <c r="AJ108" s="33">
        <v>0</v>
      </c>
      <c r="AL108" s="54">
        <v>0</v>
      </c>
      <c r="AP108" s="146"/>
      <c r="AQ108" s="142"/>
      <c r="AR108" s="142"/>
      <c r="AS108" s="142"/>
      <c r="AT108" s="149"/>
      <c r="AU108" s="142"/>
      <c r="AV108" s="142"/>
      <c r="AW108" s="142"/>
      <c r="AX108" s="142"/>
      <c r="AY108" s="142"/>
      <c r="BH108" s="142"/>
    </row>
    <row r="109" spans="3:60 15026:15418" s="1" customFormat="1" ht="15" hidden="1" customHeight="1" x14ac:dyDescent="0.25">
      <c r="C109" s="15"/>
      <c r="D109" s="14" t="s">
        <v>48</v>
      </c>
      <c r="E109" s="60"/>
      <c r="F109" s="20" t="s">
        <v>28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196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>
        <v>0</v>
      </c>
      <c r="AG109" s="33">
        <v>0</v>
      </c>
      <c r="AH109" s="33">
        <v>0</v>
      </c>
      <c r="AI109" s="33"/>
      <c r="AJ109" s="33">
        <v>0</v>
      </c>
      <c r="AL109" s="54">
        <v>0</v>
      </c>
      <c r="AP109" s="141"/>
      <c r="AQ109" s="142"/>
      <c r="AR109" s="142"/>
      <c r="AS109" s="142"/>
      <c r="AT109" s="142"/>
      <c r="AU109" s="142"/>
      <c r="AV109" s="142"/>
      <c r="AW109" s="142"/>
      <c r="AX109" s="142"/>
      <c r="AY109" s="142"/>
      <c r="BH109" s="142"/>
    </row>
    <row r="110" spans="3:60 15026:15418" ht="15" hidden="1" customHeight="1" x14ac:dyDescent="0.25">
      <c r="C110" s="8"/>
      <c r="D110" s="47" t="s">
        <v>30</v>
      </c>
      <c r="E110" s="48"/>
      <c r="F110" s="49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1966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3"/>
      <c r="AL110" s="78" t="s">
        <v>131</v>
      </c>
      <c r="AP110" s="141"/>
      <c r="AQ110" s="141"/>
      <c r="AR110" s="141"/>
      <c r="AS110" s="141"/>
      <c r="AT110" s="141"/>
      <c r="AU110" s="141"/>
      <c r="AV110" s="141"/>
      <c r="AW110" s="141"/>
      <c r="AX110" s="141"/>
      <c r="AY110" s="141"/>
    </row>
    <row r="111" spans="3:60 15026:15418" s="1" customFormat="1" ht="15" hidden="1" customHeight="1" x14ac:dyDescent="0.25">
      <c r="C111" s="15"/>
      <c r="D111" s="30" t="s">
        <v>29</v>
      </c>
      <c r="E111" s="60"/>
      <c r="F111" s="1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6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L111" s="63" t="s">
        <v>29</v>
      </c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BH111" s="142"/>
    </row>
    <row r="112" spans="3:60 15026:15418" s="1" customFormat="1" ht="15" hidden="1" customHeight="1" x14ac:dyDescent="0.25">
      <c r="C112" s="15"/>
      <c r="D112" s="14" t="s">
        <v>49</v>
      </c>
      <c r="E112" s="126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64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/>
      <c r="AJ112" s="34" t="e">
        <v>#DIV/0!</v>
      </c>
      <c r="AL112" s="58" t="e">
        <v>#DIV/0!</v>
      </c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BH112" s="142"/>
    </row>
    <row r="113" spans="3:60 15026:15418" s="1" customFormat="1" ht="15" hidden="1" customHeight="1" x14ac:dyDescent="0.25">
      <c r="C113" s="15"/>
      <c r="D113" s="14" t="s">
        <v>48</v>
      </c>
      <c r="E113" s="126">
        <v>0.3</v>
      </c>
      <c r="F113" s="20" t="s">
        <v>25</v>
      </c>
      <c r="G113" s="34" t="e">
        <v>#DIV/0!</v>
      </c>
      <c r="H113" s="34" t="e">
        <v>#DIV/0!</v>
      </c>
      <c r="I113" s="34" t="e">
        <v>#DIV/0!</v>
      </c>
      <c r="J113" s="34" t="e">
        <v>#DIV/0!</v>
      </c>
      <c r="K113" s="34" t="e">
        <v>#DIV/0!</v>
      </c>
      <c r="L113" s="34" t="e">
        <v>#DIV/0!</v>
      </c>
      <c r="M113" s="34" t="e">
        <v>#DIV/0!</v>
      </c>
      <c r="N113" s="34" t="e">
        <v>#DIV/0!</v>
      </c>
      <c r="O113" s="34" t="e">
        <v>#DIV/0!</v>
      </c>
      <c r="P113" s="34" t="e">
        <v>#DIV/0!</v>
      </c>
      <c r="Q113" s="34" t="e">
        <v>#DIV/0!</v>
      </c>
      <c r="R113" s="34" t="e">
        <v>#DIV/0!</v>
      </c>
      <c r="S113" s="1964" t="e">
        <v>#DIV/0!</v>
      </c>
      <c r="T113" s="34" t="e">
        <v>#DIV/0!</v>
      </c>
      <c r="U113" s="34" t="e">
        <v>#DIV/0!</v>
      </c>
      <c r="V113" s="34" t="e">
        <v>#DIV/0!</v>
      </c>
      <c r="W113" s="34" t="e">
        <v>#DIV/0!</v>
      </c>
      <c r="X113" s="34" t="e">
        <v>#DIV/0!</v>
      </c>
      <c r="Y113" s="34" t="e">
        <v>#DIV/0!</v>
      </c>
      <c r="Z113" s="34" t="e">
        <v>#DIV/0!</v>
      </c>
      <c r="AA113" s="34" t="e">
        <v>#DIV/0!</v>
      </c>
      <c r="AB113" s="34" t="e">
        <v>#DIV/0!</v>
      </c>
      <c r="AC113" s="34" t="e">
        <v>#DIV/0!</v>
      </c>
      <c r="AD113" s="34" t="e">
        <v>#DIV/0!</v>
      </c>
      <c r="AE113" s="34" t="e">
        <v>#DIV/0!</v>
      </c>
      <c r="AF113" s="34" t="e">
        <v>#DIV/0!</v>
      </c>
      <c r="AG113" s="34" t="e">
        <v>#DIV/0!</v>
      </c>
      <c r="AH113" s="34" t="e">
        <v>#DIV/0!</v>
      </c>
      <c r="AI113" s="34"/>
      <c r="AJ113" s="34" t="e">
        <v>#DIV/0!</v>
      </c>
      <c r="AL113" s="58" t="e">
        <v>#DIV/0!</v>
      </c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BH113" s="142"/>
    </row>
    <row r="114" spans="3:60 15026:15418" s="1" customFormat="1" ht="15" hidden="1" customHeight="1" x14ac:dyDescent="0.25">
      <c r="C114" s="15"/>
      <c r="D114" s="30" t="s">
        <v>28</v>
      </c>
      <c r="E114" s="126"/>
      <c r="F114" s="13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196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L114" s="63" t="s">
        <v>28</v>
      </c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BH114" s="142"/>
    </row>
    <row r="115" spans="3:60 15026:15418" s="1" customFormat="1" ht="15" hidden="1" customHeight="1" x14ac:dyDescent="0.25">
      <c r="C115" s="15"/>
      <c r="D115" s="14" t="s">
        <v>49</v>
      </c>
      <c r="E115" s="126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64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 t="e">
        <v>#DIV/0!</v>
      </c>
      <c r="AL115" s="58" t="e">
        <v>#DIV/0!</v>
      </c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BH115" s="142"/>
    </row>
    <row r="116" spans="3:60 15026:15418" s="1" customFormat="1" ht="15.75" hidden="1" customHeight="1" thickBot="1" x14ac:dyDescent="0.3">
      <c r="C116" s="19"/>
      <c r="D116" s="14" t="s">
        <v>48</v>
      </c>
      <c r="E116" s="126">
        <v>0.5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64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 t="e">
        <v>#DIV/0!</v>
      </c>
      <c r="AL116" s="58" t="e">
        <v>#DIV/0!</v>
      </c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BH116" s="142"/>
    </row>
    <row r="117" spans="3:60 15026:15418" s="1" customFormat="1" ht="15" hidden="1" customHeight="1" x14ac:dyDescent="0.25">
      <c r="C117" s="8">
        <v>5</v>
      </c>
      <c r="D117" s="47" t="s">
        <v>47</v>
      </c>
      <c r="E117" s="48"/>
      <c r="F117" s="49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1966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3"/>
      <c r="AL117" s="78" t="s">
        <v>130</v>
      </c>
      <c r="AP117" s="141"/>
      <c r="AQ117" s="141"/>
      <c r="AR117" s="142"/>
      <c r="AS117" s="142"/>
      <c r="AT117" s="141"/>
      <c r="AU117" s="142"/>
      <c r="AV117" s="141"/>
      <c r="AW117" s="141"/>
      <c r="AX117" s="141"/>
      <c r="AY117" s="141"/>
      <c r="BH117" s="141"/>
      <c r="VEX117" s="46"/>
      <c r="VEY117" s="46"/>
      <c r="VEZ117" s="46"/>
      <c r="VFA117" s="46"/>
      <c r="VFB117" s="46"/>
      <c r="VFC117" s="46"/>
      <c r="VFD117" s="46"/>
      <c r="VFE117" s="46"/>
      <c r="VFF117" s="46"/>
      <c r="VFG117" s="46"/>
      <c r="VFH117" s="46"/>
      <c r="VFI117" s="46"/>
      <c r="VFJ117" s="46"/>
      <c r="VFK117" s="46"/>
      <c r="VFL117" s="46"/>
      <c r="VFM117" s="46"/>
      <c r="VFN117" s="46"/>
      <c r="VFO117" s="46"/>
      <c r="VFP117" s="46"/>
      <c r="VFQ117" s="46"/>
      <c r="VFR117" s="46"/>
      <c r="VFS117" s="46"/>
      <c r="VFT117" s="46"/>
      <c r="VFU117" s="46"/>
      <c r="VFV117" s="46"/>
      <c r="VFW117" s="46"/>
      <c r="VFX117" s="46"/>
      <c r="VFY117" s="46"/>
      <c r="VFZ117" s="46"/>
      <c r="VGA117" s="46"/>
      <c r="VGB117" s="46"/>
      <c r="VGC117" s="46"/>
      <c r="VGD117" s="46"/>
      <c r="VGE117" s="46"/>
      <c r="VGF117" s="46"/>
      <c r="VGG117" s="46"/>
      <c r="VGH117" s="46"/>
      <c r="VGI117" s="46"/>
      <c r="VGJ117" s="46"/>
      <c r="VGK117" s="46"/>
      <c r="VGL117" s="46"/>
      <c r="VGM117" s="46"/>
      <c r="VGN117" s="46"/>
      <c r="VGO117" s="46"/>
      <c r="VGP117" s="46"/>
      <c r="VGQ117" s="46"/>
      <c r="VGR117" s="46"/>
      <c r="VGS117" s="46"/>
      <c r="VGT117" s="46"/>
      <c r="VGU117" s="46"/>
      <c r="VGV117" s="46"/>
      <c r="VGW117" s="46"/>
      <c r="VGX117" s="46"/>
      <c r="VGY117" s="46"/>
      <c r="VGZ117" s="46"/>
      <c r="VHA117" s="46"/>
      <c r="VHB117" s="46"/>
      <c r="VHC117" s="46"/>
      <c r="VHD117" s="46"/>
      <c r="VHE117" s="46"/>
      <c r="VHF117" s="46"/>
      <c r="VHG117" s="46"/>
      <c r="VHH117" s="46"/>
      <c r="VHI117" s="46"/>
      <c r="VHJ117" s="46"/>
      <c r="VHK117" s="46"/>
      <c r="VHL117" s="46"/>
      <c r="VHM117" s="46"/>
      <c r="VHN117" s="46"/>
      <c r="VHO117" s="46"/>
      <c r="VHP117" s="46"/>
      <c r="VHQ117" s="46"/>
      <c r="VHR117" s="46"/>
      <c r="VHS117" s="46"/>
      <c r="VHT117" s="46"/>
      <c r="VHU117" s="46"/>
      <c r="VHV117" s="46"/>
      <c r="VHW117" s="46"/>
      <c r="VHX117" s="46"/>
      <c r="VHY117" s="46"/>
      <c r="VHZ117" s="46"/>
      <c r="VIA117" s="46"/>
      <c r="VIB117" s="46"/>
      <c r="VIC117" s="46"/>
      <c r="VID117" s="46"/>
      <c r="VIE117" s="46"/>
      <c r="VIF117" s="46"/>
      <c r="VIG117" s="46"/>
      <c r="VIH117" s="46"/>
      <c r="VII117" s="46"/>
      <c r="VIJ117" s="46"/>
      <c r="VIK117" s="46"/>
      <c r="VIL117" s="46"/>
      <c r="VIM117" s="46"/>
      <c r="VIN117" s="46"/>
      <c r="VIO117" s="46"/>
      <c r="VIP117" s="46"/>
      <c r="VIQ117" s="46"/>
      <c r="VIR117" s="46"/>
      <c r="VIS117" s="46"/>
      <c r="VIT117" s="46"/>
      <c r="VIU117" s="46"/>
      <c r="VIV117" s="46"/>
      <c r="VIW117" s="46"/>
      <c r="VIX117" s="46"/>
      <c r="VIY117" s="46"/>
      <c r="VIZ117" s="46"/>
      <c r="VJA117" s="46"/>
      <c r="VJB117" s="46"/>
      <c r="VJC117" s="46"/>
      <c r="VJD117" s="46"/>
      <c r="VJE117" s="46"/>
      <c r="VJF117" s="46"/>
      <c r="VJG117" s="46"/>
      <c r="VJH117" s="46"/>
      <c r="VJI117" s="46"/>
      <c r="VJJ117" s="46"/>
      <c r="VJK117" s="46"/>
      <c r="VJL117" s="46"/>
      <c r="VJM117" s="46"/>
      <c r="VJN117" s="46"/>
      <c r="VJO117" s="46"/>
      <c r="VJP117" s="46"/>
      <c r="VJQ117" s="46"/>
      <c r="VJR117" s="46"/>
      <c r="VJS117" s="46"/>
      <c r="VJT117" s="46"/>
      <c r="VJU117" s="46"/>
      <c r="VJV117" s="46"/>
      <c r="VJW117" s="46"/>
      <c r="VJX117" s="46"/>
      <c r="VJY117" s="46"/>
      <c r="VJZ117" s="46"/>
      <c r="VKA117" s="46"/>
      <c r="VKB117" s="46"/>
      <c r="VKC117" s="46"/>
      <c r="VKD117" s="46"/>
      <c r="VKE117" s="46"/>
      <c r="VKF117" s="46"/>
      <c r="VKG117" s="46"/>
      <c r="VKH117" s="46"/>
      <c r="VKI117" s="46"/>
      <c r="VKJ117" s="46"/>
      <c r="VKK117" s="46"/>
      <c r="VKL117" s="46"/>
      <c r="VKM117" s="46"/>
      <c r="VKN117" s="46"/>
      <c r="VKO117" s="46"/>
      <c r="VKP117" s="46"/>
      <c r="VKQ117" s="46"/>
      <c r="VKR117" s="46"/>
      <c r="VKS117" s="46"/>
      <c r="VKT117" s="46"/>
      <c r="VKU117" s="46"/>
      <c r="VKV117" s="46"/>
      <c r="VKW117" s="46"/>
      <c r="VKX117" s="46"/>
      <c r="VKY117" s="46"/>
      <c r="VKZ117" s="46"/>
      <c r="VLA117" s="46"/>
      <c r="VLB117" s="46"/>
      <c r="VLC117" s="46"/>
      <c r="VLD117" s="46"/>
      <c r="VLE117" s="46"/>
      <c r="VLF117" s="46"/>
      <c r="VLG117" s="46"/>
      <c r="VLH117" s="46"/>
      <c r="VLI117" s="46"/>
      <c r="VLJ117" s="46"/>
      <c r="VLK117" s="46"/>
      <c r="VLL117" s="46"/>
      <c r="VLM117" s="46"/>
      <c r="VLN117" s="46"/>
      <c r="VLO117" s="46"/>
      <c r="VLP117" s="46"/>
      <c r="VLQ117" s="46"/>
      <c r="VLR117" s="46"/>
      <c r="VLS117" s="46"/>
      <c r="VLT117" s="46"/>
      <c r="VLU117" s="46"/>
      <c r="VLV117" s="46"/>
      <c r="VLW117" s="46"/>
      <c r="VLX117" s="46"/>
      <c r="VLY117" s="46"/>
      <c r="VLZ117" s="46"/>
      <c r="VMA117" s="46"/>
      <c r="VMB117" s="46"/>
      <c r="VMC117" s="46"/>
      <c r="VMD117" s="46"/>
      <c r="VME117" s="46"/>
      <c r="VMF117" s="46"/>
      <c r="VMG117" s="46"/>
      <c r="VMH117" s="46"/>
      <c r="VMI117" s="46"/>
      <c r="VMJ117" s="46"/>
      <c r="VMK117" s="46"/>
      <c r="VML117" s="46"/>
      <c r="VMM117" s="46"/>
      <c r="VMN117" s="46"/>
      <c r="VMO117" s="46"/>
      <c r="VMP117" s="46"/>
      <c r="VMQ117" s="46"/>
      <c r="VMR117" s="46"/>
      <c r="VMS117" s="46"/>
      <c r="VMT117" s="46"/>
      <c r="VMU117" s="46"/>
      <c r="VMV117" s="46"/>
      <c r="VMW117" s="46"/>
      <c r="VMX117" s="46"/>
      <c r="VMY117" s="46"/>
      <c r="VMZ117" s="46"/>
      <c r="VNA117" s="46"/>
      <c r="VNB117" s="46"/>
      <c r="VNC117" s="46"/>
      <c r="VND117" s="46"/>
      <c r="VNE117" s="46"/>
      <c r="VNF117" s="46"/>
      <c r="VNG117" s="46"/>
      <c r="VNH117" s="46"/>
      <c r="VNI117" s="46"/>
      <c r="VNJ117" s="46"/>
      <c r="VNK117" s="46"/>
      <c r="VNL117" s="46"/>
      <c r="VNM117" s="46"/>
      <c r="VNN117" s="46"/>
      <c r="VNO117" s="46"/>
      <c r="VNP117" s="46"/>
      <c r="VNQ117" s="46"/>
      <c r="VNR117" s="46"/>
      <c r="VNS117" s="46"/>
      <c r="VNT117" s="46"/>
      <c r="VNU117" s="46"/>
      <c r="VNV117" s="46"/>
      <c r="VNW117" s="46"/>
      <c r="VNX117" s="46"/>
      <c r="VNY117" s="46"/>
      <c r="VNZ117" s="46"/>
      <c r="VOA117" s="46"/>
      <c r="VOB117" s="46"/>
      <c r="VOC117" s="46"/>
      <c r="VOD117" s="46"/>
      <c r="VOE117" s="46"/>
      <c r="VOF117" s="46"/>
      <c r="VOG117" s="46"/>
      <c r="VOH117" s="46"/>
      <c r="VOI117" s="46"/>
      <c r="VOJ117" s="46"/>
      <c r="VOK117" s="46"/>
      <c r="VOL117" s="46"/>
      <c r="VOM117" s="46"/>
      <c r="VON117" s="46"/>
      <c r="VOO117" s="46"/>
      <c r="VOP117" s="46"/>
      <c r="VOQ117" s="46"/>
      <c r="VOR117" s="46"/>
      <c r="VOS117" s="46"/>
      <c r="VOT117" s="46"/>
      <c r="VOU117" s="46"/>
      <c r="VOV117" s="46"/>
      <c r="VOW117" s="46"/>
      <c r="VOX117" s="46"/>
      <c r="VOY117" s="46"/>
      <c r="VOZ117" s="46"/>
      <c r="VPA117" s="46"/>
      <c r="VPB117" s="46"/>
      <c r="VPC117" s="46"/>
      <c r="VPD117" s="46"/>
      <c r="VPE117" s="46"/>
      <c r="VPF117" s="46"/>
      <c r="VPG117" s="46"/>
      <c r="VPH117" s="46"/>
      <c r="VPI117" s="46"/>
      <c r="VPJ117" s="46"/>
      <c r="VPK117" s="46"/>
      <c r="VPL117" s="46"/>
      <c r="VPM117" s="46"/>
      <c r="VPN117" s="46"/>
      <c r="VPO117" s="46"/>
      <c r="VPP117" s="46"/>
      <c r="VPQ117" s="46"/>
      <c r="VPR117" s="46"/>
      <c r="VPS117" s="46"/>
      <c r="VPT117" s="46"/>
      <c r="VPU117" s="46"/>
      <c r="VPV117" s="46"/>
      <c r="VPW117" s="46"/>
      <c r="VPX117" s="46"/>
      <c r="VPY117" s="46"/>
      <c r="VPZ117" s="46"/>
      <c r="VQA117" s="46"/>
      <c r="VQB117" s="46"/>
      <c r="VQC117" s="46"/>
      <c r="VQD117" s="46"/>
      <c r="VQE117" s="46"/>
      <c r="VQF117" s="46"/>
      <c r="VQG117" s="46"/>
      <c r="VQH117" s="46"/>
      <c r="VQI117" s="46"/>
      <c r="VQJ117" s="46"/>
      <c r="VQK117" s="46"/>
      <c r="VQL117" s="46"/>
      <c r="VQM117" s="46"/>
      <c r="VQN117" s="46"/>
      <c r="VQO117" s="46"/>
      <c r="VQP117" s="46"/>
      <c r="VQQ117" s="46"/>
      <c r="VQR117" s="46"/>
      <c r="VQS117" s="46"/>
      <c r="VQT117" s="46"/>
      <c r="VQU117" s="46"/>
      <c r="VQV117" s="46"/>
      <c r="VQW117" s="46"/>
      <c r="VQX117" s="46"/>
      <c r="VQY117" s="46"/>
      <c r="VQZ117" s="46"/>
      <c r="VRA117" s="46"/>
      <c r="VRB117" s="46"/>
      <c r="VRC117" s="46"/>
      <c r="VRD117" s="46"/>
      <c r="VRE117" s="46"/>
      <c r="VRF117" s="46"/>
      <c r="VRG117" s="46"/>
      <c r="VRH117" s="46"/>
      <c r="VRI117" s="46"/>
      <c r="VRJ117" s="46"/>
      <c r="VRK117" s="46"/>
      <c r="VRL117" s="46"/>
      <c r="VRM117" s="46"/>
      <c r="VRN117" s="46"/>
      <c r="VRO117" s="46"/>
      <c r="VRP117" s="46"/>
      <c r="VRQ117" s="46"/>
      <c r="VRR117" s="46"/>
      <c r="VRS117" s="46"/>
      <c r="VRT117" s="46"/>
      <c r="VRU117" s="46"/>
      <c r="VRV117" s="46"/>
      <c r="VRW117" s="46"/>
      <c r="VRX117" s="46"/>
      <c r="VRY117" s="46"/>
      <c r="VRZ117" s="46"/>
      <c r="VSA117" s="46"/>
      <c r="VSB117" s="46"/>
      <c r="VSC117" s="46"/>
      <c r="VSD117" s="46"/>
      <c r="VSE117" s="46"/>
      <c r="VSF117" s="46"/>
      <c r="VSG117" s="46"/>
      <c r="VSH117" s="46"/>
      <c r="VSI117" s="46"/>
      <c r="VSJ117" s="46"/>
      <c r="VSK117" s="46"/>
      <c r="VSL117" s="46"/>
      <c r="VSM117" s="46"/>
      <c r="VSN117" s="46"/>
      <c r="VSO117" s="46"/>
      <c r="VSP117" s="46"/>
      <c r="VSQ117" s="46"/>
      <c r="VSR117" s="46"/>
      <c r="VSS117" s="46"/>
      <c r="VST117" s="46"/>
      <c r="VSU117" s="46"/>
      <c r="VSV117" s="46"/>
      <c r="VSW117" s="46"/>
      <c r="VSX117" s="46"/>
      <c r="VSY117" s="46"/>
      <c r="VSZ117" s="46"/>
      <c r="VTA117" s="46"/>
      <c r="VTB117" s="46"/>
      <c r="VTC117" s="46"/>
      <c r="VTD117" s="46"/>
      <c r="VTE117" s="46"/>
      <c r="VTF117" s="46"/>
      <c r="VTG117" s="46"/>
      <c r="VTH117" s="46"/>
      <c r="VTI117" s="46"/>
      <c r="VTJ117" s="46"/>
      <c r="VTK117" s="46"/>
      <c r="VTL117" s="46"/>
      <c r="VTM117" s="46"/>
      <c r="VTN117" s="46"/>
      <c r="VTO117" s="46"/>
      <c r="VTP117" s="46"/>
      <c r="VTQ117" s="46"/>
      <c r="VTR117" s="46"/>
      <c r="VTS117" s="46"/>
      <c r="VTT117" s="46"/>
      <c r="VTU117" s="46"/>
      <c r="VTV117" s="46"/>
      <c r="VTW117" s="46"/>
      <c r="VTX117" s="46"/>
      <c r="VTY117" s="46"/>
      <c r="VTZ117" s="46"/>
    </row>
    <row r="118" spans="3:60 15026:15418" s="1" customFormat="1" ht="15" hidden="1" customHeight="1" x14ac:dyDescent="0.25">
      <c r="C118" s="15"/>
      <c r="D118" s="28" t="s">
        <v>46</v>
      </c>
      <c r="E118" s="90"/>
      <c r="F118" s="20" t="s">
        <v>14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196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2"/>
      <c r="AL118" s="89">
        <v>0</v>
      </c>
      <c r="AP118" s="141"/>
      <c r="AQ118" s="142"/>
      <c r="AR118" s="142"/>
      <c r="AS118" s="142"/>
      <c r="AT118" s="141"/>
      <c r="AU118" s="142"/>
      <c r="AV118" s="142"/>
      <c r="AW118" s="142"/>
      <c r="AX118" s="142"/>
      <c r="AY118" s="142"/>
      <c r="BH118" s="142"/>
    </row>
    <row r="119" spans="3:60 15026:15418" s="1" customFormat="1" ht="15" hidden="1" customHeight="1" x14ac:dyDescent="0.25">
      <c r="C119" s="15"/>
      <c r="D119" s="30" t="s">
        <v>39</v>
      </c>
      <c r="E119" s="60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64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/>
      <c r="AJ119" s="34">
        <v>0</v>
      </c>
      <c r="AL119" s="58">
        <v>0</v>
      </c>
      <c r="AP119" s="150"/>
      <c r="AQ119" s="146"/>
      <c r="AR119" s="146"/>
      <c r="AS119" s="146"/>
      <c r="AT119" s="146"/>
      <c r="AU119" s="146"/>
      <c r="AV119" s="142"/>
      <c r="AW119" s="142"/>
      <c r="AX119" s="142"/>
      <c r="AY119" s="142"/>
      <c r="BH119" s="142"/>
    </row>
    <row r="120" spans="3:60 15026:15418" s="1" customFormat="1" ht="15" hidden="1" customHeight="1" x14ac:dyDescent="0.25">
      <c r="C120" s="15"/>
      <c r="D120" s="30" t="s">
        <v>38</v>
      </c>
      <c r="E120" s="60"/>
      <c r="F120" s="20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64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/>
      <c r="AJ120" s="34">
        <v>0</v>
      </c>
      <c r="AL120" s="58">
        <v>0</v>
      </c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BH120" s="142"/>
    </row>
    <row r="121" spans="3:60 15026:15418" s="1" customFormat="1" ht="15" hidden="1" customHeight="1" x14ac:dyDescent="0.25">
      <c r="C121" s="15"/>
      <c r="D121" s="30" t="s">
        <v>50</v>
      </c>
      <c r="E121" s="60"/>
      <c r="F121" s="13" t="s">
        <v>14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1964">
        <v>0</v>
      </c>
      <c r="T121" s="34">
        <v>0</v>
      </c>
      <c r="U121" s="34">
        <v>0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4">
        <v>0</v>
      </c>
      <c r="AH121" s="34">
        <v>0</v>
      </c>
      <c r="AI121" s="34"/>
      <c r="AJ121" s="34">
        <v>0</v>
      </c>
      <c r="AL121" s="58">
        <v>0</v>
      </c>
      <c r="BH121" s="142"/>
    </row>
    <row r="122" spans="3:60 15026:15418" s="1" customFormat="1" ht="15" hidden="1" customHeight="1" x14ac:dyDescent="0.25">
      <c r="C122" s="15"/>
      <c r="D122" s="30" t="s">
        <v>29</v>
      </c>
      <c r="E122" s="60"/>
      <c r="F122" s="1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6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L122" s="63" t="s">
        <v>29</v>
      </c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BH122" s="142"/>
    </row>
    <row r="123" spans="3:60 15026:15418" s="16" customFormat="1" ht="15" hidden="1" customHeight="1" x14ac:dyDescent="0.25">
      <c r="C123" s="17"/>
      <c r="D123" s="11" t="s">
        <v>45</v>
      </c>
      <c r="E123" s="53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6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L123" s="91">
        <v>0</v>
      </c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BH123" s="148"/>
    </row>
    <row r="124" spans="3:60 15026:15418" s="16" customFormat="1" ht="15" hidden="1" customHeight="1" x14ac:dyDescent="0.25">
      <c r="C124" s="17"/>
      <c r="D124" s="11" t="s">
        <v>44</v>
      </c>
      <c r="E124" s="53"/>
      <c r="F124" s="32" t="s">
        <v>31</v>
      </c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6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L124" s="91">
        <v>0</v>
      </c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BH124" s="148"/>
    </row>
    <row r="125" spans="3:60 15026:15418" s="1" customFormat="1" ht="15" hidden="1" customHeight="1" x14ac:dyDescent="0.25">
      <c r="C125" s="15"/>
      <c r="D125" s="30" t="s">
        <v>28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6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L125" s="63" t="s">
        <v>28</v>
      </c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BH125" s="142"/>
    </row>
    <row r="126" spans="3:60 15026:15418" s="1" customFormat="1" ht="15" hidden="1" customHeight="1" x14ac:dyDescent="0.25">
      <c r="C126" s="15"/>
      <c r="D126" s="11" t="s">
        <v>45</v>
      </c>
      <c r="E126" s="60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63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/>
      <c r="AJ126" s="33">
        <v>0</v>
      </c>
      <c r="AL126" s="54">
        <v>0</v>
      </c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BH126" s="142"/>
    </row>
    <row r="127" spans="3:60 15026:15418" s="1" customFormat="1" ht="15" hidden="1" customHeight="1" x14ac:dyDescent="0.25">
      <c r="C127" s="15"/>
      <c r="D127" s="11" t="s">
        <v>44</v>
      </c>
      <c r="E127" s="60"/>
      <c r="F127" s="20" t="s">
        <v>28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6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/>
      <c r="AJ127" s="33">
        <v>0</v>
      </c>
      <c r="AL127" s="54">
        <v>0</v>
      </c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BH127" s="142"/>
    </row>
    <row r="128" spans="3:60 15026:15418" s="1" customFormat="1" ht="15" hidden="1" customHeight="1" x14ac:dyDescent="0.25">
      <c r="C128" s="15"/>
      <c r="D128" s="30" t="s">
        <v>36</v>
      </c>
      <c r="E128" s="60"/>
      <c r="F128" s="20" t="s">
        <v>35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6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/>
      <c r="AJ128" s="33">
        <v>0</v>
      </c>
      <c r="AL128" s="54">
        <v>0</v>
      </c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BH128" s="142"/>
    </row>
    <row r="129" spans="3:60 15026:15418" s="1" customFormat="1" ht="15" hidden="1" customHeight="1" x14ac:dyDescent="0.25">
      <c r="C129" s="15"/>
      <c r="D129" s="30" t="s">
        <v>34</v>
      </c>
      <c r="E129" s="60"/>
      <c r="F129" s="20" t="s">
        <v>33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6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>
        <v>0</v>
      </c>
      <c r="AL129" s="54">
        <v>0</v>
      </c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BH129" s="142"/>
    </row>
    <row r="130" spans="3:60 15026:15418" s="1" customFormat="1" ht="15" hidden="1" customHeight="1" x14ac:dyDescent="0.25">
      <c r="C130" s="8"/>
      <c r="D130" s="47" t="s">
        <v>32</v>
      </c>
      <c r="E130" s="48"/>
      <c r="F130" s="49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1966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3"/>
      <c r="AL130" s="78" t="s">
        <v>131</v>
      </c>
      <c r="AP130" s="141"/>
      <c r="AQ130" s="141"/>
      <c r="AR130" s="141"/>
      <c r="AS130" s="141"/>
      <c r="AT130" s="141"/>
      <c r="AU130" s="141"/>
      <c r="AV130" s="141"/>
      <c r="AW130" s="141"/>
      <c r="AX130" s="141"/>
      <c r="AY130" s="141"/>
      <c r="BH130" s="141"/>
      <c r="VEX130" s="46"/>
      <c r="VEY130" s="46"/>
      <c r="VEZ130" s="46"/>
      <c r="VFA130" s="46"/>
      <c r="VFB130" s="46"/>
      <c r="VFC130" s="46"/>
      <c r="VFD130" s="46"/>
      <c r="VFE130" s="46"/>
      <c r="VFF130" s="46"/>
      <c r="VFG130" s="46"/>
      <c r="VFH130" s="46"/>
      <c r="VFI130" s="46"/>
      <c r="VFJ130" s="46"/>
      <c r="VFK130" s="46"/>
      <c r="VFL130" s="46"/>
      <c r="VFM130" s="46"/>
      <c r="VFN130" s="46"/>
      <c r="VFO130" s="46"/>
      <c r="VFP130" s="46"/>
      <c r="VFQ130" s="46"/>
      <c r="VFR130" s="46"/>
      <c r="VFS130" s="46"/>
      <c r="VFT130" s="46"/>
      <c r="VFU130" s="46"/>
      <c r="VFV130" s="46"/>
      <c r="VFW130" s="46"/>
      <c r="VFX130" s="46"/>
      <c r="VFY130" s="46"/>
      <c r="VFZ130" s="46"/>
      <c r="VGA130" s="46"/>
      <c r="VGB130" s="46"/>
      <c r="VGC130" s="46"/>
      <c r="VGD130" s="46"/>
      <c r="VGE130" s="46"/>
      <c r="VGF130" s="46"/>
      <c r="VGG130" s="46"/>
      <c r="VGH130" s="46"/>
      <c r="VGI130" s="46"/>
      <c r="VGJ130" s="46"/>
      <c r="VGK130" s="46"/>
      <c r="VGL130" s="46"/>
      <c r="VGM130" s="46"/>
      <c r="VGN130" s="46"/>
      <c r="VGO130" s="46"/>
      <c r="VGP130" s="46"/>
      <c r="VGQ130" s="46"/>
      <c r="VGR130" s="46"/>
      <c r="VGS130" s="46"/>
      <c r="VGT130" s="46"/>
      <c r="VGU130" s="46"/>
      <c r="VGV130" s="46"/>
      <c r="VGW130" s="46"/>
      <c r="VGX130" s="46"/>
      <c r="VGY130" s="46"/>
      <c r="VGZ130" s="46"/>
      <c r="VHA130" s="46"/>
      <c r="VHB130" s="46"/>
      <c r="VHC130" s="46"/>
      <c r="VHD130" s="46"/>
      <c r="VHE130" s="46"/>
      <c r="VHF130" s="46"/>
      <c r="VHG130" s="46"/>
      <c r="VHH130" s="46"/>
      <c r="VHI130" s="46"/>
      <c r="VHJ130" s="46"/>
      <c r="VHK130" s="46"/>
      <c r="VHL130" s="46"/>
      <c r="VHM130" s="46"/>
      <c r="VHN130" s="46"/>
      <c r="VHO130" s="46"/>
      <c r="VHP130" s="46"/>
      <c r="VHQ130" s="46"/>
      <c r="VHR130" s="46"/>
      <c r="VHS130" s="46"/>
      <c r="VHT130" s="46"/>
      <c r="VHU130" s="46"/>
      <c r="VHV130" s="46"/>
      <c r="VHW130" s="46"/>
      <c r="VHX130" s="46"/>
      <c r="VHY130" s="46"/>
      <c r="VHZ130" s="46"/>
      <c r="VIA130" s="46"/>
      <c r="VIB130" s="46"/>
      <c r="VIC130" s="46"/>
      <c r="VID130" s="46"/>
      <c r="VIE130" s="46"/>
      <c r="VIF130" s="46"/>
      <c r="VIG130" s="46"/>
      <c r="VIH130" s="46"/>
      <c r="VII130" s="46"/>
      <c r="VIJ130" s="46"/>
      <c r="VIK130" s="46"/>
      <c r="VIL130" s="46"/>
      <c r="VIM130" s="46"/>
      <c r="VIN130" s="46"/>
      <c r="VIO130" s="46"/>
      <c r="VIP130" s="46"/>
      <c r="VIQ130" s="46"/>
      <c r="VIR130" s="46"/>
      <c r="VIS130" s="46"/>
      <c r="VIT130" s="46"/>
      <c r="VIU130" s="46"/>
      <c r="VIV130" s="46"/>
      <c r="VIW130" s="46"/>
      <c r="VIX130" s="46"/>
      <c r="VIY130" s="46"/>
      <c r="VIZ130" s="46"/>
      <c r="VJA130" s="46"/>
      <c r="VJB130" s="46"/>
      <c r="VJC130" s="46"/>
      <c r="VJD130" s="46"/>
      <c r="VJE130" s="46"/>
      <c r="VJF130" s="46"/>
      <c r="VJG130" s="46"/>
      <c r="VJH130" s="46"/>
      <c r="VJI130" s="46"/>
      <c r="VJJ130" s="46"/>
      <c r="VJK130" s="46"/>
      <c r="VJL130" s="46"/>
      <c r="VJM130" s="46"/>
      <c r="VJN130" s="46"/>
      <c r="VJO130" s="46"/>
      <c r="VJP130" s="46"/>
      <c r="VJQ130" s="46"/>
      <c r="VJR130" s="46"/>
      <c r="VJS130" s="46"/>
      <c r="VJT130" s="46"/>
      <c r="VJU130" s="46"/>
      <c r="VJV130" s="46"/>
      <c r="VJW130" s="46"/>
      <c r="VJX130" s="46"/>
      <c r="VJY130" s="46"/>
      <c r="VJZ130" s="46"/>
      <c r="VKA130" s="46"/>
      <c r="VKB130" s="46"/>
      <c r="VKC130" s="46"/>
      <c r="VKD130" s="46"/>
      <c r="VKE130" s="46"/>
      <c r="VKF130" s="46"/>
      <c r="VKG130" s="46"/>
      <c r="VKH130" s="46"/>
      <c r="VKI130" s="46"/>
      <c r="VKJ130" s="46"/>
      <c r="VKK130" s="46"/>
      <c r="VKL130" s="46"/>
      <c r="VKM130" s="46"/>
      <c r="VKN130" s="46"/>
      <c r="VKO130" s="46"/>
      <c r="VKP130" s="46"/>
      <c r="VKQ130" s="46"/>
      <c r="VKR130" s="46"/>
      <c r="VKS130" s="46"/>
      <c r="VKT130" s="46"/>
      <c r="VKU130" s="46"/>
      <c r="VKV130" s="46"/>
      <c r="VKW130" s="46"/>
      <c r="VKX130" s="46"/>
      <c r="VKY130" s="46"/>
      <c r="VKZ130" s="46"/>
      <c r="VLA130" s="46"/>
      <c r="VLB130" s="46"/>
      <c r="VLC130" s="46"/>
      <c r="VLD130" s="46"/>
      <c r="VLE130" s="46"/>
      <c r="VLF130" s="46"/>
      <c r="VLG130" s="46"/>
      <c r="VLH130" s="46"/>
      <c r="VLI130" s="46"/>
      <c r="VLJ130" s="46"/>
      <c r="VLK130" s="46"/>
      <c r="VLL130" s="46"/>
      <c r="VLM130" s="46"/>
      <c r="VLN130" s="46"/>
      <c r="VLO130" s="46"/>
      <c r="VLP130" s="46"/>
      <c r="VLQ130" s="46"/>
      <c r="VLR130" s="46"/>
      <c r="VLS130" s="46"/>
      <c r="VLT130" s="46"/>
      <c r="VLU130" s="46"/>
      <c r="VLV130" s="46"/>
      <c r="VLW130" s="46"/>
      <c r="VLX130" s="46"/>
      <c r="VLY130" s="46"/>
      <c r="VLZ130" s="46"/>
      <c r="VMA130" s="46"/>
      <c r="VMB130" s="46"/>
      <c r="VMC130" s="46"/>
      <c r="VMD130" s="46"/>
      <c r="VME130" s="46"/>
      <c r="VMF130" s="46"/>
      <c r="VMG130" s="46"/>
      <c r="VMH130" s="46"/>
      <c r="VMI130" s="46"/>
      <c r="VMJ130" s="46"/>
      <c r="VMK130" s="46"/>
      <c r="VML130" s="46"/>
      <c r="VMM130" s="46"/>
      <c r="VMN130" s="46"/>
      <c r="VMO130" s="46"/>
      <c r="VMP130" s="46"/>
      <c r="VMQ130" s="46"/>
      <c r="VMR130" s="46"/>
      <c r="VMS130" s="46"/>
      <c r="VMT130" s="46"/>
      <c r="VMU130" s="46"/>
      <c r="VMV130" s="46"/>
      <c r="VMW130" s="46"/>
      <c r="VMX130" s="46"/>
      <c r="VMY130" s="46"/>
      <c r="VMZ130" s="46"/>
      <c r="VNA130" s="46"/>
      <c r="VNB130" s="46"/>
      <c r="VNC130" s="46"/>
      <c r="VND130" s="46"/>
      <c r="VNE130" s="46"/>
      <c r="VNF130" s="46"/>
      <c r="VNG130" s="46"/>
      <c r="VNH130" s="46"/>
      <c r="VNI130" s="46"/>
      <c r="VNJ130" s="46"/>
      <c r="VNK130" s="46"/>
      <c r="VNL130" s="46"/>
      <c r="VNM130" s="46"/>
      <c r="VNN130" s="46"/>
      <c r="VNO130" s="46"/>
      <c r="VNP130" s="46"/>
      <c r="VNQ130" s="46"/>
      <c r="VNR130" s="46"/>
      <c r="VNS130" s="46"/>
      <c r="VNT130" s="46"/>
      <c r="VNU130" s="46"/>
      <c r="VNV130" s="46"/>
      <c r="VNW130" s="46"/>
      <c r="VNX130" s="46"/>
      <c r="VNY130" s="46"/>
      <c r="VNZ130" s="46"/>
      <c r="VOA130" s="46"/>
      <c r="VOB130" s="46"/>
      <c r="VOC130" s="46"/>
      <c r="VOD130" s="46"/>
      <c r="VOE130" s="46"/>
      <c r="VOF130" s="46"/>
      <c r="VOG130" s="46"/>
      <c r="VOH130" s="46"/>
      <c r="VOI130" s="46"/>
      <c r="VOJ130" s="46"/>
      <c r="VOK130" s="46"/>
      <c r="VOL130" s="46"/>
      <c r="VOM130" s="46"/>
      <c r="VON130" s="46"/>
      <c r="VOO130" s="46"/>
      <c r="VOP130" s="46"/>
      <c r="VOQ130" s="46"/>
      <c r="VOR130" s="46"/>
      <c r="VOS130" s="46"/>
      <c r="VOT130" s="46"/>
      <c r="VOU130" s="46"/>
      <c r="VOV130" s="46"/>
      <c r="VOW130" s="46"/>
      <c r="VOX130" s="46"/>
      <c r="VOY130" s="46"/>
      <c r="VOZ130" s="46"/>
      <c r="VPA130" s="46"/>
      <c r="VPB130" s="46"/>
      <c r="VPC130" s="46"/>
      <c r="VPD130" s="46"/>
      <c r="VPE130" s="46"/>
      <c r="VPF130" s="46"/>
      <c r="VPG130" s="46"/>
      <c r="VPH130" s="46"/>
      <c r="VPI130" s="46"/>
      <c r="VPJ130" s="46"/>
      <c r="VPK130" s="46"/>
      <c r="VPL130" s="46"/>
      <c r="VPM130" s="46"/>
      <c r="VPN130" s="46"/>
      <c r="VPO130" s="46"/>
      <c r="VPP130" s="46"/>
      <c r="VPQ130" s="46"/>
      <c r="VPR130" s="46"/>
      <c r="VPS130" s="46"/>
      <c r="VPT130" s="46"/>
      <c r="VPU130" s="46"/>
      <c r="VPV130" s="46"/>
      <c r="VPW130" s="46"/>
      <c r="VPX130" s="46"/>
      <c r="VPY130" s="46"/>
      <c r="VPZ130" s="46"/>
      <c r="VQA130" s="46"/>
      <c r="VQB130" s="46"/>
      <c r="VQC130" s="46"/>
      <c r="VQD130" s="46"/>
      <c r="VQE130" s="46"/>
      <c r="VQF130" s="46"/>
      <c r="VQG130" s="46"/>
      <c r="VQH130" s="46"/>
      <c r="VQI130" s="46"/>
      <c r="VQJ130" s="46"/>
      <c r="VQK130" s="46"/>
      <c r="VQL130" s="46"/>
      <c r="VQM130" s="46"/>
      <c r="VQN130" s="46"/>
      <c r="VQO130" s="46"/>
      <c r="VQP130" s="46"/>
      <c r="VQQ130" s="46"/>
      <c r="VQR130" s="46"/>
      <c r="VQS130" s="46"/>
      <c r="VQT130" s="46"/>
      <c r="VQU130" s="46"/>
      <c r="VQV130" s="46"/>
      <c r="VQW130" s="46"/>
      <c r="VQX130" s="46"/>
      <c r="VQY130" s="46"/>
      <c r="VQZ130" s="46"/>
      <c r="VRA130" s="46"/>
      <c r="VRB130" s="46"/>
      <c r="VRC130" s="46"/>
      <c r="VRD130" s="46"/>
      <c r="VRE130" s="46"/>
      <c r="VRF130" s="46"/>
      <c r="VRG130" s="46"/>
      <c r="VRH130" s="46"/>
      <c r="VRI130" s="46"/>
      <c r="VRJ130" s="46"/>
      <c r="VRK130" s="46"/>
      <c r="VRL130" s="46"/>
      <c r="VRM130" s="46"/>
      <c r="VRN130" s="46"/>
      <c r="VRO130" s="46"/>
      <c r="VRP130" s="46"/>
      <c r="VRQ130" s="46"/>
      <c r="VRR130" s="46"/>
      <c r="VRS130" s="46"/>
      <c r="VRT130" s="46"/>
      <c r="VRU130" s="46"/>
      <c r="VRV130" s="46"/>
      <c r="VRW130" s="46"/>
      <c r="VRX130" s="46"/>
      <c r="VRY130" s="46"/>
      <c r="VRZ130" s="46"/>
      <c r="VSA130" s="46"/>
      <c r="VSB130" s="46"/>
      <c r="VSC130" s="46"/>
      <c r="VSD130" s="46"/>
      <c r="VSE130" s="46"/>
      <c r="VSF130" s="46"/>
      <c r="VSG130" s="46"/>
      <c r="VSH130" s="46"/>
      <c r="VSI130" s="46"/>
      <c r="VSJ130" s="46"/>
      <c r="VSK130" s="46"/>
      <c r="VSL130" s="46"/>
      <c r="VSM130" s="46"/>
      <c r="VSN130" s="46"/>
      <c r="VSO130" s="46"/>
      <c r="VSP130" s="46"/>
      <c r="VSQ130" s="46"/>
      <c r="VSR130" s="46"/>
      <c r="VSS130" s="46"/>
      <c r="VST130" s="46"/>
      <c r="VSU130" s="46"/>
      <c r="VSV130" s="46"/>
      <c r="VSW130" s="46"/>
      <c r="VSX130" s="46"/>
      <c r="VSY130" s="46"/>
      <c r="VSZ130" s="46"/>
      <c r="VTA130" s="46"/>
      <c r="VTB130" s="46"/>
      <c r="VTC130" s="46"/>
      <c r="VTD130" s="46"/>
      <c r="VTE130" s="46"/>
      <c r="VTF130" s="46"/>
      <c r="VTG130" s="46"/>
      <c r="VTH130" s="46"/>
      <c r="VTI130" s="46"/>
      <c r="VTJ130" s="46"/>
      <c r="VTK130" s="46"/>
      <c r="VTL130" s="46"/>
      <c r="VTM130" s="46"/>
      <c r="VTN130" s="46"/>
      <c r="VTO130" s="46"/>
      <c r="VTP130" s="46"/>
      <c r="VTQ130" s="46"/>
      <c r="VTR130" s="46"/>
      <c r="VTS130" s="46"/>
      <c r="VTT130" s="46"/>
      <c r="VTU130" s="46"/>
      <c r="VTV130" s="46"/>
      <c r="VTW130" s="46"/>
      <c r="VTX130" s="46"/>
      <c r="VTY130" s="46"/>
      <c r="VTZ130" s="46"/>
    </row>
    <row r="131" spans="3:60 15026:15418" s="1" customFormat="1" ht="15" hidden="1" customHeight="1" x14ac:dyDescent="0.25">
      <c r="C131" s="15"/>
      <c r="D131" s="30" t="s">
        <v>29</v>
      </c>
      <c r="E131" s="60"/>
      <c r="F131" s="1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6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L131" s="63" t="s">
        <v>29</v>
      </c>
      <c r="BH131" s="142"/>
    </row>
    <row r="132" spans="3:60 15026:15418" s="1" customFormat="1" ht="15" hidden="1" customHeight="1" x14ac:dyDescent="0.25">
      <c r="C132" s="15"/>
      <c r="D132" s="11" t="s">
        <v>45</v>
      </c>
      <c r="E132" s="60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6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L132" s="54">
        <v>0</v>
      </c>
      <c r="BH132" s="142"/>
    </row>
    <row r="133" spans="3:60 15026:15418" s="1" customFormat="1" ht="15" hidden="1" customHeight="1" x14ac:dyDescent="0.25">
      <c r="C133" s="15"/>
      <c r="D133" s="11" t="s">
        <v>44</v>
      </c>
      <c r="E133" s="60"/>
      <c r="F133" s="20" t="s">
        <v>31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6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L133" s="54">
        <v>0</v>
      </c>
      <c r="BH133" s="142"/>
    </row>
    <row r="134" spans="3:60 15026:15418" s="1" customFormat="1" ht="15" hidden="1" customHeight="1" x14ac:dyDescent="0.25">
      <c r="C134" s="15"/>
      <c r="D134" s="30" t="s">
        <v>28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6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L134" s="63" t="s">
        <v>28</v>
      </c>
      <c r="BH134" s="142"/>
    </row>
    <row r="135" spans="3:60 15026:15418" s="1" customFormat="1" ht="15" hidden="1" customHeight="1" x14ac:dyDescent="0.25">
      <c r="C135" s="15"/>
      <c r="D135" s="11" t="s">
        <v>45</v>
      </c>
      <c r="E135" s="60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63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/>
      <c r="AJ135" s="33">
        <v>0</v>
      </c>
      <c r="AL135" s="54">
        <v>0</v>
      </c>
      <c r="BH135" s="142"/>
    </row>
    <row r="136" spans="3:60 15026:15418" s="1" customFormat="1" ht="15" hidden="1" customHeight="1" x14ac:dyDescent="0.25">
      <c r="C136" s="15"/>
      <c r="D136" s="11" t="s">
        <v>44</v>
      </c>
      <c r="E136" s="60"/>
      <c r="F136" s="20" t="s">
        <v>28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1963">
        <v>0</v>
      </c>
      <c r="T136" s="33">
        <v>0</v>
      </c>
      <c r="U136" s="33">
        <v>0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>
        <v>0</v>
      </c>
      <c r="AI136" s="33"/>
      <c r="AJ136" s="33">
        <v>0</v>
      </c>
      <c r="AL136" s="54">
        <v>0</v>
      </c>
      <c r="BH136" s="142"/>
    </row>
    <row r="137" spans="3:60 15026:15418" s="1" customFormat="1" ht="15" hidden="1" customHeight="1" x14ac:dyDescent="0.25">
      <c r="C137" s="8"/>
      <c r="D137" s="47" t="s">
        <v>30</v>
      </c>
      <c r="E137" s="48"/>
      <c r="F137" s="49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1966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3"/>
      <c r="AL137" s="78" t="s">
        <v>131</v>
      </c>
      <c r="BH137" s="141"/>
      <c r="VEX137" s="46"/>
      <c r="VEY137" s="46"/>
      <c r="VEZ137" s="46"/>
      <c r="VFA137" s="46"/>
      <c r="VFB137" s="46"/>
      <c r="VFC137" s="46"/>
      <c r="VFD137" s="46"/>
      <c r="VFE137" s="46"/>
      <c r="VFF137" s="46"/>
      <c r="VFG137" s="46"/>
      <c r="VFH137" s="46"/>
      <c r="VFI137" s="46"/>
      <c r="VFJ137" s="46"/>
      <c r="VFK137" s="46"/>
      <c r="VFL137" s="46"/>
      <c r="VFM137" s="46"/>
      <c r="VFN137" s="46"/>
      <c r="VFO137" s="46"/>
      <c r="VFP137" s="46"/>
      <c r="VFQ137" s="46"/>
      <c r="VFR137" s="46"/>
      <c r="VFS137" s="46"/>
      <c r="VFT137" s="46"/>
      <c r="VFU137" s="46"/>
      <c r="VFV137" s="46"/>
      <c r="VFW137" s="46"/>
      <c r="VFX137" s="46"/>
      <c r="VFY137" s="46"/>
      <c r="VFZ137" s="46"/>
      <c r="VGA137" s="46"/>
      <c r="VGB137" s="46"/>
      <c r="VGC137" s="46"/>
      <c r="VGD137" s="46"/>
      <c r="VGE137" s="46"/>
      <c r="VGF137" s="46"/>
      <c r="VGG137" s="46"/>
      <c r="VGH137" s="46"/>
      <c r="VGI137" s="46"/>
      <c r="VGJ137" s="46"/>
      <c r="VGK137" s="46"/>
      <c r="VGL137" s="46"/>
      <c r="VGM137" s="46"/>
      <c r="VGN137" s="46"/>
      <c r="VGO137" s="46"/>
      <c r="VGP137" s="46"/>
      <c r="VGQ137" s="46"/>
      <c r="VGR137" s="46"/>
      <c r="VGS137" s="46"/>
      <c r="VGT137" s="46"/>
      <c r="VGU137" s="46"/>
      <c r="VGV137" s="46"/>
      <c r="VGW137" s="46"/>
      <c r="VGX137" s="46"/>
      <c r="VGY137" s="46"/>
      <c r="VGZ137" s="46"/>
      <c r="VHA137" s="46"/>
      <c r="VHB137" s="46"/>
      <c r="VHC137" s="46"/>
      <c r="VHD137" s="46"/>
      <c r="VHE137" s="46"/>
      <c r="VHF137" s="46"/>
      <c r="VHG137" s="46"/>
      <c r="VHH137" s="46"/>
      <c r="VHI137" s="46"/>
      <c r="VHJ137" s="46"/>
      <c r="VHK137" s="46"/>
      <c r="VHL137" s="46"/>
      <c r="VHM137" s="46"/>
      <c r="VHN137" s="46"/>
      <c r="VHO137" s="46"/>
      <c r="VHP137" s="46"/>
      <c r="VHQ137" s="46"/>
      <c r="VHR137" s="46"/>
      <c r="VHS137" s="46"/>
      <c r="VHT137" s="46"/>
      <c r="VHU137" s="46"/>
      <c r="VHV137" s="46"/>
      <c r="VHW137" s="46"/>
      <c r="VHX137" s="46"/>
      <c r="VHY137" s="46"/>
      <c r="VHZ137" s="46"/>
      <c r="VIA137" s="46"/>
      <c r="VIB137" s="46"/>
      <c r="VIC137" s="46"/>
      <c r="VID137" s="46"/>
      <c r="VIE137" s="46"/>
      <c r="VIF137" s="46"/>
      <c r="VIG137" s="46"/>
      <c r="VIH137" s="46"/>
      <c r="VII137" s="46"/>
      <c r="VIJ137" s="46"/>
      <c r="VIK137" s="46"/>
      <c r="VIL137" s="46"/>
      <c r="VIM137" s="46"/>
      <c r="VIN137" s="46"/>
      <c r="VIO137" s="46"/>
      <c r="VIP137" s="46"/>
      <c r="VIQ137" s="46"/>
      <c r="VIR137" s="46"/>
      <c r="VIS137" s="46"/>
      <c r="VIT137" s="46"/>
      <c r="VIU137" s="46"/>
      <c r="VIV137" s="46"/>
      <c r="VIW137" s="46"/>
      <c r="VIX137" s="46"/>
      <c r="VIY137" s="46"/>
      <c r="VIZ137" s="46"/>
      <c r="VJA137" s="46"/>
      <c r="VJB137" s="46"/>
      <c r="VJC137" s="46"/>
      <c r="VJD137" s="46"/>
      <c r="VJE137" s="46"/>
      <c r="VJF137" s="46"/>
      <c r="VJG137" s="46"/>
      <c r="VJH137" s="46"/>
      <c r="VJI137" s="46"/>
      <c r="VJJ137" s="46"/>
      <c r="VJK137" s="46"/>
      <c r="VJL137" s="46"/>
      <c r="VJM137" s="46"/>
      <c r="VJN137" s="46"/>
      <c r="VJO137" s="46"/>
      <c r="VJP137" s="46"/>
      <c r="VJQ137" s="46"/>
      <c r="VJR137" s="46"/>
      <c r="VJS137" s="46"/>
      <c r="VJT137" s="46"/>
      <c r="VJU137" s="46"/>
      <c r="VJV137" s="46"/>
      <c r="VJW137" s="46"/>
      <c r="VJX137" s="46"/>
      <c r="VJY137" s="46"/>
      <c r="VJZ137" s="46"/>
      <c r="VKA137" s="46"/>
      <c r="VKB137" s="46"/>
      <c r="VKC137" s="46"/>
      <c r="VKD137" s="46"/>
      <c r="VKE137" s="46"/>
      <c r="VKF137" s="46"/>
      <c r="VKG137" s="46"/>
      <c r="VKH137" s="46"/>
      <c r="VKI137" s="46"/>
      <c r="VKJ137" s="46"/>
      <c r="VKK137" s="46"/>
      <c r="VKL137" s="46"/>
      <c r="VKM137" s="46"/>
      <c r="VKN137" s="46"/>
      <c r="VKO137" s="46"/>
      <c r="VKP137" s="46"/>
      <c r="VKQ137" s="46"/>
      <c r="VKR137" s="46"/>
      <c r="VKS137" s="46"/>
      <c r="VKT137" s="46"/>
      <c r="VKU137" s="46"/>
      <c r="VKV137" s="46"/>
      <c r="VKW137" s="46"/>
      <c r="VKX137" s="46"/>
      <c r="VKY137" s="46"/>
      <c r="VKZ137" s="46"/>
      <c r="VLA137" s="46"/>
      <c r="VLB137" s="46"/>
      <c r="VLC137" s="46"/>
      <c r="VLD137" s="46"/>
      <c r="VLE137" s="46"/>
      <c r="VLF137" s="46"/>
      <c r="VLG137" s="46"/>
      <c r="VLH137" s="46"/>
      <c r="VLI137" s="46"/>
      <c r="VLJ137" s="46"/>
      <c r="VLK137" s="46"/>
      <c r="VLL137" s="46"/>
      <c r="VLM137" s="46"/>
      <c r="VLN137" s="46"/>
      <c r="VLO137" s="46"/>
      <c r="VLP137" s="46"/>
      <c r="VLQ137" s="46"/>
      <c r="VLR137" s="46"/>
      <c r="VLS137" s="46"/>
      <c r="VLT137" s="46"/>
      <c r="VLU137" s="46"/>
      <c r="VLV137" s="46"/>
      <c r="VLW137" s="46"/>
      <c r="VLX137" s="46"/>
      <c r="VLY137" s="46"/>
      <c r="VLZ137" s="46"/>
      <c r="VMA137" s="46"/>
      <c r="VMB137" s="46"/>
      <c r="VMC137" s="46"/>
      <c r="VMD137" s="46"/>
      <c r="VME137" s="46"/>
      <c r="VMF137" s="46"/>
      <c r="VMG137" s="46"/>
      <c r="VMH137" s="46"/>
      <c r="VMI137" s="46"/>
      <c r="VMJ137" s="46"/>
      <c r="VMK137" s="46"/>
      <c r="VML137" s="46"/>
      <c r="VMM137" s="46"/>
      <c r="VMN137" s="46"/>
      <c r="VMO137" s="46"/>
      <c r="VMP137" s="46"/>
      <c r="VMQ137" s="46"/>
      <c r="VMR137" s="46"/>
      <c r="VMS137" s="46"/>
      <c r="VMT137" s="46"/>
      <c r="VMU137" s="46"/>
      <c r="VMV137" s="46"/>
      <c r="VMW137" s="46"/>
      <c r="VMX137" s="46"/>
      <c r="VMY137" s="46"/>
      <c r="VMZ137" s="46"/>
      <c r="VNA137" s="46"/>
      <c r="VNB137" s="46"/>
      <c r="VNC137" s="46"/>
      <c r="VND137" s="46"/>
      <c r="VNE137" s="46"/>
      <c r="VNF137" s="46"/>
      <c r="VNG137" s="46"/>
      <c r="VNH137" s="46"/>
      <c r="VNI137" s="46"/>
      <c r="VNJ137" s="46"/>
      <c r="VNK137" s="46"/>
      <c r="VNL137" s="46"/>
      <c r="VNM137" s="46"/>
      <c r="VNN137" s="46"/>
      <c r="VNO137" s="46"/>
      <c r="VNP137" s="46"/>
      <c r="VNQ137" s="46"/>
      <c r="VNR137" s="46"/>
      <c r="VNS137" s="46"/>
      <c r="VNT137" s="46"/>
      <c r="VNU137" s="46"/>
      <c r="VNV137" s="46"/>
      <c r="VNW137" s="46"/>
      <c r="VNX137" s="46"/>
      <c r="VNY137" s="46"/>
      <c r="VNZ137" s="46"/>
      <c r="VOA137" s="46"/>
      <c r="VOB137" s="46"/>
      <c r="VOC137" s="46"/>
      <c r="VOD137" s="46"/>
      <c r="VOE137" s="46"/>
      <c r="VOF137" s="46"/>
      <c r="VOG137" s="46"/>
      <c r="VOH137" s="46"/>
      <c r="VOI137" s="46"/>
      <c r="VOJ137" s="46"/>
      <c r="VOK137" s="46"/>
      <c r="VOL137" s="46"/>
      <c r="VOM137" s="46"/>
      <c r="VON137" s="46"/>
      <c r="VOO137" s="46"/>
      <c r="VOP137" s="46"/>
      <c r="VOQ137" s="46"/>
      <c r="VOR137" s="46"/>
      <c r="VOS137" s="46"/>
      <c r="VOT137" s="46"/>
      <c r="VOU137" s="46"/>
      <c r="VOV137" s="46"/>
      <c r="VOW137" s="46"/>
      <c r="VOX137" s="46"/>
      <c r="VOY137" s="46"/>
      <c r="VOZ137" s="46"/>
      <c r="VPA137" s="46"/>
      <c r="VPB137" s="46"/>
      <c r="VPC137" s="46"/>
      <c r="VPD137" s="46"/>
      <c r="VPE137" s="46"/>
      <c r="VPF137" s="46"/>
      <c r="VPG137" s="46"/>
      <c r="VPH137" s="46"/>
      <c r="VPI137" s="46"/>
      <c r="VPJ137" s="46"/>
      <c r="VPK137" s="46"/>
      <c r="VPL137" s="46"/>
      <c r="VPM137" s="46"/>
      <c r="VPN137" s="46"/>
      <c r="VPO137" s="46"/>
      <c r="VPP137" s="46"/>
      <c r="VPQ137" s="46"/>
      <c r="VPR137" s="46"/>
      <c r="VPS137" s="46"/>
      <c r="VPT137" s="46"/>
      <c r="VPU137" s="46"/>
      <c r="VPV137" s="46"/>
      <c r="VPW137" s="46"/>
      <c r="VPX137" s="46"/>
      <c r="VPY137" s="46"/>
      <c r="VPZ137" s="46"/>
      <c r="VQA137" s="46"/>
      <c r="VQB137" s="46"/>
      <c r="VQC137" s="46"/>
      <c r="VQD137" s="46"/>
      <c r="VQE137" s="46"/>
      <c r="VQF137" s="46"/>
      <c r="VQG137" s="46"/>
      <c r="VQH137" s="46"/>
      <c r="VQI137" s="46"/>
      <c r="VQJ137" s="46"/>
      <c r="VQK137" s="46"/>
      <c r="VQL137" s="46"/>
      <c r="VQM137" s="46"/>
      <c r="VQN137" s="46"/>
      <c r="VQO137" s="46"/>
      <c r="VQP137" s="46"/>
      <c r="VQQ137" s="46"/>
      <c r="VQR137" s="46"/>
      <c r="VQS137" s="46"/>
      <c r="VQT137" s="46"/>
      <c r="VQU137" s="46"/>
      <c r="VQV137" s="46"/>
      <c r="VQW137" s="46"/>
      <c r="VQX137" s="46"/>
      <c r="VQY137" s="46"/>
      <c r="VQZ137" s="46"/>
      <c r="VRA137" s="46"/>
      <c r="VRB137" s="46"/>
      <c r="VRC137" s="46"/>
      <c r="VRD137" s="46"/>
      <c r="VRE137" s="46"/>
      <c r="VRF137" s="46"/>
      <c r="VRG137" s="46"/>
      <c r="VRH137" s="46"/>
      <c r="VRI137" s="46"/>
      <c r="VRJ137" s="46"/>
      <c r="VRK137" s="46"/>
      <c r="VRL137" s="46"/>
      <c r="VRM137" s="46"/>
      <c r="VRN137" s="46"/>
      <c r="VRO137" s="46"/>
      <c r="VRP137" s="46"/>
      <c r="VRQ137" s="46"/>
      <c r="VRR137" s="46"/>
      <c r="VRS137" s="46"/>
      <c r="VRT137" s="46"/>
      <c r="VRU137" s="46"/>
      <c r="VRV137" s="46"/>
      <c r="VRW137" s="46"/>
      <c r="VRX137" s="46"/>
      <c r="VRY137" s="46"/>
      <c r="VRZ137" s="46"/>
      <c r="VSA137" s="46"/>
      <c r="VSB137" s="46"/>
      <c r="VSC137" s="46"/>
      <c r="VSD137" s="46"/>
      <c r="VSE137" s="46"/>
      <c r="VSF137" s="46"/>
      <c r="VSG137" s="46"/>
      <c r="VSH137" s="46"/>
      <c r="VSI137" s="46"/>
      <c r="VSJ137" s="46"/>
      <c r="VSK137" s="46"/>
      <c r="VSL137" s="46"/>
      <c r="VSM137" s="46"/>
      <c r="VSN137" s="46"/>
      <c r="VSO137" s="46"/>
      <c r="VSP137" s="46"/>
      <c r="VSQ137" s="46"/>
      <c r="VSR137" s="46"/>
      <c r="VSS137" s="46"/>
      <c r="VST137" s="46"/>
      <c r="VSU137" s="46"/>
      <c r="VSV137" s="46"/>
      <c r="VSW137" s="46"/>
      <c r="VSX137" s="46"/>
      <c r="VSY137" s="46"/>
      <c r="VSZ137" s="46"/>
      <c r="VTA137" s="46"/>
      <c r="VTB137" s="46"/>
      <c r="VTC137" s="46"/>
      <c r="VTD137" s="46"/>
      <c r="VTE137" s="46"/>
      <c r="VTF137" s="46"/>
      <c r="VTG137" s="46"/>
      <c r="VTH137" s="46"/>
      <c r="VTI137" s="46"/>
      <c r="VTJ137" s="46"/>
      <c r="VTK137" s="46"/>
      <c r="VTL137" s="46"/>
      <c r="VTM137" s="46"/>
      <c r="VTN137" s="46"/>
      <c r="VTO137" s="46"/>
      <c r="VTP137" s="46"/>
      <c r="VTQ137" s="46"/>
      <c r="VTR137" s="46"/>
      <c r="VTS137" s="46"/>
      <c r="VTT137" s="46"/>
      <c r="VTU137" s="46"/>
      <c r="VTV137" s="46"/>
      <c r="VTW137" s="46"/>
      <c r="VTX137" s="46"/>
      <c r="VTY137" s="46"/>
      <c r="VTZ137" s="46"/>
    </row>
    <row r="138" spans="3:60 15026:15418" s="1" customFormat="1" ht="15" hidden="1" customHeight="1" x14ac:dyDescent="0.25">
      <c r="C138" s="15"/>
      <c r="D138" s="30" t="s">
        <v>29</v>
      </c>
      <c r="E138" s="60"/>
      <c r="F138" s="1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6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L138" s="63" t="s">
        <v>29</v>
      </c>
      <c r="BH138" s="142"/>
    </row>
    <row r="139" spans="3:60 15026:15418" s="1" customFormat="1" ht="15" hidden="1" customHeight="1" x14ac:dyDescent="0.25">
      <c r="C139" s="15"/>
      <c r="D139" s="11" t="s">
        <v>45</v>
      </c>
      <c r="E139" s="126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64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/>
      <c r="AJ139" s="34" t="e">
        <v>#DIV/0!</v>
      </c>
      <c r="AL139" s="58" t="e">
        <v>#DIV/0!</v>
      </c>
      <c r="BH139" s="142"/>
    </row>
    <row r="140" spans="3:60 15026:15418" s="1" customFormat="1" ht="15" hidden="1" customHeight="1" x14ac:dyDescent="0.25">
      <c r="C140" s="15"/>
      <c r="D140" s="11" t="s">
        <v>44</v>
      </c>
      <c r="E140" s="126">
        <v>0.3</v>
      </c>
      <c r="F140" s="20" t="s">
        <v>25</v>
      </c>
      <c r="G140" s="34" t="e">
        <v>#DIV/0!</v>
      </c>
      <c r="H140" s="34" t="e">
        <v>#DIV/0!</v>
      </c>
      <c r="I140" s="34" t="e">
        <v>#DIV/0!</v>
      </c>
      <c r="J140" s="34" t="e">
        <v>#DIV/0!</v>
      </c>
      <c r="K140" s="34" t="e">
        <v>#DIV/0!</v>
      </c>
      <c r="L140" s="34" t="e">
        <v>#DIV/0!</v>
      </c>
      <c r="M140" s="34" t="e">
        <v>#DIV/0!</v>
      </c>
      <c r="N140" s="34" t="e">
        <v>#DIV/0!</v>
      </c>
      <c r="O140" s="34" t="e">
        <v>#DIV/0!</v>
      </c>
      <c r="P140" s="34" t="e">
        <v>#DIV/0!</v>
      </c>
      <c r="Q140" s="34" t="e">
        <v>#DIV/0!</v>
      </c>
      <c r="R140" s="34" t="e">
        <v>#DIV/0!</v>
      </c>
      <c r="S140" s="1964" t="e">
        <v>#DIV/0!</v>
      </c>
      <c r="T140" s="34" t="e">
        <v>#DIV/0!</v>
      </c>
      <c r="U140" s="34" t="e">
        <v>#DIV/0!</v>
      </c>
      <c r="V140" s="34" t="e">
        <v>#DIV/0!</v>
      </c>
      <c r="W140" s="34" t="e">
        <v>#DIV/0!</v>
      </c>
      <c r="X140" s="34" t="e">
        <v>#DIV/0!</v>
      </c>
      <c r="Y140" s="34" t="e">
        <v>#DIV/0!</v>
      </c>
      <c r="Z140" s="34" t="e">
        <v>#DIV/0!</v>
      </c>
      <c r="AA140" s="34" t="e">
        <v>#DIV/0!</v>
      </c>
      <c r="AB140" s="34" t="e">
        <v>#DIV/0!</v>
      </c>
      <c r="AC140" s="34" t="e">
        <v>#DIV/0!</v>
      </c>
      <c r="AD140" s="34" t="e">
        <v>#DIV/0!</v>
      </c>
      <c r="AE140" s="34" t="e">
        <v>#DIV/0!</v>
      </c>
      <c r="AF140" s="34" t="e">
        <v>#DIV/0!</v>
      </c>
      <c r="AG140" s="34" t="e">
        <v>#DIV/0!</v>
      </c>
      <c r="AH140" s="34" t="e">
        <v>#DIV/0!</v>
      </c>
      <c r="AI140" s="34"/>
      <c r="AJ140" s="34" t="e">
        <v>#DIV/0!</v>
      </c>
      <c r="AL140" s="58" t="e">
        <v>#DIV/0!</v>
      </c>
      <c r="BH140" s="142"/>
    </row>
    <row r="141" spans="3:60 15026:15418" s="1" customFormat="1" ht="15" hidden="1" customHeight="1" x14ac:dyDescent="0.25">
      <c r="C141" s="15"/>
      <c r="D141" s="30" t="s">
        <v>28</v>
      </c>
      <c r="E141" s="126"/>
      <c r="F141" s="13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196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L141" s="63" t="s">
        <v>28</v>
      </c>
      <c r="BH141" s="142"/>
    </row>
    <row r="142" spans="3:60 15026:15418" s="1" customFormat="1" ht="15" hidden="1" customHeight="1" x14ac:dyDescent="0.25">
      <c r="C142" s="15"/>
      <c r="D142" s="11" t="s">
        <v>45</v>
      </c>
      <c r="E142" s="126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64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 t="e">
        <v>#DIV/0!</v>
      </c>
      <c r="AL142" s="58" t="e">
        <v>#DIV/0!</v>
      </c>
      <c r="BH142" s="142"/>
    </row>
    <row r="143" spans="3:60 15026:15418" s="1" customFormat="1" ht="15" hidden="1" customHeight="1" x14ac:dyDescent="0.25">
      <c r="C143" s="15"/>
      <c r="D143" s="11" t="s">
        <v>44</v>
      </c>
      <c r="E143" s="126">
        <v>0.5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64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 t="e">
        <v>#DIV/0!</v>
      </c>
      <c r="AL143" s="58" t="e">
        <v>#DIV/0!</v>
      </c>
      <c r="BH143" s="142"/>
    </row>
    <row r="144" spans="3:60 15026:15418" s="1" customFormat="1" ht="15" hidden="1" customHeight="1" x14ac:dyDescent="0.25">
      <c r="C144" s="15"/>
      <c r="D144" s="47" t="s">
        <v>43</v>
      </c>
      <c r="E144" s="127"/>
      <c r="F144" s="92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1978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18"/>
      <c r="AL144" s="78" t="s">
        <v>130</v>
      </c>
    </row>
    <row r="145" spans="3:38" s="1" customFormat="1" ht="15" hidden="1" customHeight="1" x14ac:dyDescent="0.25">
      <c r="C145" s="15"/>
      <c r="D145" s="28" t="s">
        <v>114</v>
      </c>
      <c r="E145" s="126"/>
      <c r="F145" s="20" t="s">
        <v>14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1965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35"/>
      <c r="AL145" s="89">
        <v>0</v>
      </c>
    </row>
    <row r="146" spans="3:38" s="1" customFormat="1" ht="15" hidden="1" customHeight="1" x14ac:dyDescent="0.25">
      <c r="C146" s="15"/>
      <c r="D146" s="28" t="s">
        <v>115</v>
      </c>
      <c r="E146" s="126"/>
      <c r="F146" s="20" t="s">
        <v>14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196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6"/>
      <c r="AL146" s="93">
        <v>0</v>
      </c>
    </row>
    <row r="147" spans="3:38" s="1" customFormat="1" ht="15" hidden="1" customHeight="1" x14ac:dyDescent="0.25">
      <c r="C147" s="15"/>
      <c r="D147" s="30" t="s">
        <v>39</v>
      </c>
      <c r="E147" s="126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6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/>
      <c r="AJ147" s="34">
        <v>0</v>
      </c>
      <c r="AK147" s="18"/>
      <c r="AL147" s="58">
        <v>0</v>
      </c>
    </row>
    <row r="148" spans="3:38" s="1" customFormat="1" ht="15" hidden="1" customHeight="1" x14ac:dyDescent="0.25">
      <c r="C148" s="15"/>
      <c r="D148" s="30" t="s">
        <v>38</v>
      </c>
      <c r="E148" s="126"/>
      <c r="F148" s="20" t="s">
        <v>14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1964">
        <v>0</v>
      </c>
      <c r="T148" s="34">
        <v>0</v>
      </c>
      <c r="U148" s="34">
        <v>0</v>
      </c>
      <c r="V148" s="34">
        <v>0</v>
      </c>
      <c r="W148" s="34">
        <v>0</v>
      </c>
      <c r="X148" s="34">
        <v>0</v>
      </c>
      <c r="Y148" s="34">
        <v>0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34">
        <v>0</v>
      </c>
      <c r="AI148" s="34"/>
      <c r="AJ148" s="34">
        <v>0</v>
      </c>
      <c r="AK148" s="18"/>
      <c r="AL148" s="58">
        <v>0</v>
      </c>
    </row>
    <row r="149" spans="3:38" s="1" customFormat="1" ht="15" hidden="1" customHeight="1" x14ac:dyDescent="0.25">
      <c r="C149" s="15"/>
      <c r="D149" s="30" t="s">
        <v>29</v>
      </c>
      <c r="E149" s="126"/>
      <c r="F149" s="1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6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6"/>
      <c r="AL149" s="63" t="s">
        <v>29</v>
      </c>
    </row>
    <row r="150" spans="3:38" s="1" customFormat="1" ht="15" hidden="1" customHeight="1" x14ac:dyDescent="0.2">
      <c r="C150" s="15"/>
      <c r="D150" s="11" t="s">
        <v>42</v>
      </c>
      <c r="E150" s="126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6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7"/>
      <c r="AL150" s="91">
        <v>0</v>
      </c>
    </row>
    <row r="151" spans="3:38" s="1" customFormat="1" ht="15" hidden="1" customHeight="1" x14ac:dyDescent="0.2">
      <c r="C151" s="15"/>
      <c r="D151" s="11" t="s">
        <v>41</v>
      </c>
      <c r="E151" s="126"/>
      <c r="F151" s="32" t="s">
        <v>31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6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7"/>
      <c r="AL151" s="91">
        <v>0</v>
      </c>
    </row>
    <row r="152" spans="3:38" s="1" customFormat="1" ht="15" hidden="1" customHeight="1" x14ac:dyDescent="0.25">
      <c r="C152" s="15"/>
      <c r="D152" s="30" t="s">
        <v>28</v>
      </c>
      <c r="E152" s="126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6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6"/>
      <c r="AL152" s="63" t="s">
        <v>28</v>
      </c>
    </row>
    <row r="153" spans="3:38" s="1" customFormat="1" ht="15" hidden="1" customHeight="1" x14ac:dyDescent="0.25">
      <c r="C153" s="15"/>
      <c r="D153" s="11" t="s">
        <v>42</v>
      </c>
      <c r="E153" s="126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6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/>
      <c r="AJ153" s="33">
        <v>0</v>
      </c>
      <c r="AK153" s="6"/>
      <c r="AL153" s="54">
        <v>0</v>
      </c>
    </row>
    <row r="154" spans="3:38" s="1" customFormat="1" ht="15" hidden="1" customHeight="1" x14ac:dyDescent="0.25">
      <c r="C154" s="15"/>
      <c r="D154" s="11" t="s">
        <v>41</v>
      </c>
      <c r="E154" s="126"/>
      <c r="F154" s="20" t="s">
        <v>28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6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/>
      <c r="AJ154" s="33">
        <v>0</v>
      </c>
      <c r="AK154" s="6"/>
      <c r="AL154" s="54">
        <v>0</v>
      </c>
    </row>
    <row r="155" spans="3:38" s="1" customFormat="1" ht="15" hidden="1" customHeight="1" x14ac:dyDescent="0.25">
      <c r="C155" s="15"/>
      <c r="D155" s="30" t="s">
        <v>36</v>
      </c>
      <c r="E155" s="126"/>
      <c r="F155" s="20" t="s">
        <v>35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6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/>
      <c r="AJ155" s="33">
        <v>0</v>
      </c>
      <c r="AK155" s="6"/>
      <c r="AL155" s="54">
        <v>0</v>
      </c>
    </row>
    <row r="156" spans="3:38" s="1" customFormat="1" ht="15" hidden="1" customHeight="1" x14ac:dyDescent="0.25">
      <c r="C156" s="15"/>
      <c r="D156" s="30" t="s">
        <v>34</v>
      </c>
      <c r="E156" s="126"/>
      <c r="F156" s="20" t="s">
        <v>33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63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>
        <v>0</v>
      </c>
      <c r="AK156" s="6"/>
      <c r="AL156" s="54">
        <v>0</v>
      </c>
    </row>
    <row r="157" spans="3:38" s="1" customFormat="1" ht="15" hidden="1" customHeight="1" x14ac:dyDescent="0.25">
      <c r="C157" s="15"/>
      <c r="D157" s="47" t="s">
        <v>32</v>
      </c>
      <c r="E157" s="127"/>
      <c r="F157" s="49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1966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18"/>
      <c r="AL157" s="78" t="s">
        <v>131</v>
      </c>
    </row>
    <row r="158" spans="3:38" s="1" customFormat="1" ht="15" hidden="1" customHeight="1" x14ac:dyDescent="0.25">
      <c r="C158" s="15"/>
      <c r="D158" s="30" t="s">
        <v>29</v>
      </c>
      <c r="E158" s="126"/>
      <c r="F158" s="1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6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18"/>
      <c r="AL158" s="63" t="s">
        <v>29</v>
      </c>
    </row>
    <row r="159" spans="3:38" s="1" customFormat="1" ht="15" hidden="1" customHeight="1" x14ac:dyDescent="0.25">
      <c r="C159" s="15"/>
      <c r="D159" s="11" t="s">
        <v>42</v>
      </c>
      <c r="E159" s="126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6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18"/>
      <c r="AL159" s="54">
        <v>0</v>
      </c>
    </row>
    <row r="160" spans="3:38" s="1" customFormat="1" ht="15" hidden="1" customHeight="1" x14ac:dyDescent="0.25">
      <c r="C160" s="15"/>
      <c r="D160" s="11" t="s">
        <v>41</v>
      </c>
      <c r="E160" s="126"/>
      <c r="F160" s="20" t="s">
        <v>31</v>
      </c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6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18"/>
      <c r="AL160" s="54">
        <v>0</v>
      </c>
    </row>
    <row r="161" spans="3:60 15026:15418" s="1" customFormat="1" ht="15" hidden="1" customHeight="1" x14ac:dyDescent="0.25">
      <c r="C161" s="15"/>
      <c r="D161" s="30" t="s">
        <v>28</v>
      </c>
      <c r="E161" s="126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6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18"/>
      <c r="AL161" s="63" t="s">
        <v>28</v>
      </c>
    </row>
    <row r="162" spans="3:60 15026:15418" s="1" customFormat="1" ht="15" hidden="1" customHeight="1" x14ac:dyDescent="0.25">
      <c r="C162" s="15"/>
      <c r="D162" s="11" t="s">
        <v>42</v>
      </c>
      <c r="E162" s="126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6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>
        <v>0</v>
      </c>
      <c r="AK162" s="18"/>
      <c r="AL162" s="54">
        <v>0</v>
      </c>
    </row>
    <row r="163" spans="3:60 15026:15418" s="1" customFormat="1" ht="15" hidden="1" customHeight="1" x14ac:dyDescent="0.25">
      <c r="C163" s="15"/>
      <c r="D163" s="11" t="s">
        <v>41</v>
      </c>
      <c r="E163" s="126"/>
      <c r="F163" s="20" t="s">
        <v>28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196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  <c r="AH163" s="33">
        <v>0</v>
      </c>
      <c r="AI163" s="33"/>
      <c r="AJ163" s="33">
        <v>0</v>
      </c>
      <c r="AK163" s="18"/>
      <c r="AL163" s="54">
        <v>0</v>
      </c>
    </row>
    <row r="164" spans="3:60 15026:15418" s="1" customFormat="1" ht="15" hidden="1" customHeight="1" x14ac:dyDescent="0.25">
      <c r="C164" s="15"/>
      <c r="D164" s="47" t="s">
        <v>30</v>
      </c>
      <c r="E164" s="127"/>
      <c r="F164" s="92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1966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18"/>
      <c r="AL164" s="95"/>
    </row>
    <row r="165" spans="3:60 15026:15418" s="1" customFormat="1" ht="15" hidden="1" customHeight="1" x14ac:dyDescent="0.25">
      <c r="C165" s="15"/>
      <c r="D165" s="30" t="s">
        <v>29</v>
      </c>
      <c r="E165" s="126"/>
      <c r="F165" s="20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6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18"/>
      <c r="AL165" s="54"/>
    </row>
    <row r="166" spans="3:60 15026:15418" s="1" customFormat="1" ht="15" hidden="1" customHeight="1" x14ac:dyDescent="0.25">
      <c r="C166" s="15"/>
      <c r="D166" s="11" t="s">
        <v>42</v>
      </c>
      <c r="E166" s="126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63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/>
      <c r="AJ166" s="33" t="e">
        <v>#DIV/0!</v>
      </c>
      <c r="AK166" s="37"/>
      <c r="AL166" s="54" t="e">
        <v>#DIV/0!</v>
      </c>
    </row>
    <row r="167" spans="3:60 15026:15418" s="1" customFormat="1" ht="15" hidden="1" customHeight="1" x14ac:dyDescent="0.25">
      <c r="C167" s="15"/>
      <c r="D167" s="11" t="s">
        <v>91</v>
      </c>
      <c r="E167" s="126"/>
      <c r="F167" s="20" t="s">
        <v>25</v>
      </c>
      <c r="G167" s="33" t="e">
        <v>#DIV/0!</v>
      </c>
      <c r="H167" s="33" t="e">
        <v>#DIV/0!</v>
      </c>
      <c r="I167" s="33" t="e">
        <v>#DIV/0!</v>
      </c>
      <c r="J167" s="33" t="e">
        <v>#DIV/0!</v>
      </c>
      <c r="K167" s="33" t="e">
        <v>#DIV/0!</v>
      </c>
      <c r="L167" s="33" t="e">
        <v>#DIV/0!</v>
      </c>
      <c r="M167" s="33" t="e">
        <v>#DIV/0!</v>
      </c>
      <c r="N167" s="33" t="e">
        <v>#DIV/0!</v>
      </c>
      <c r="O167" s="33" t="e">
        <v>#DIV/0!</v>
      </c>
      <c r="P167" s="33" t="e">
        <v>#DIV/0!</v>
      </c>
      <c r="Q167" s="33" t="e">
        <v>#DIV/0!</v>
      </c>
      <c r="R167" s="33" t="e">
        <v>#DIV/0!</v>
      </c>
      <c r="S167" s="1963" t="e">
        <v>#DIV/0!</v>
      </c>
      <c r="T167" s="33" t="e">
        <v>#DIV/0!</v>
      </c>
      <c r="U167" s="33" t="e">
        <v>#DIV/0!</v>
      </c>
      <c r="V167" s="33" t="e">
        <v>#DIV/0!</v>
      </c>
      <c r="W167" s="33" t="e">
        <v>#DIV/0!</v>
      </c>
      <c r="X167" s="33" t="e">
        <v>#DIV/0!</v>
      </c>
      <c r="Y167" s="33" t="e">
        <v>#DIV/0!</v>
      </c>
      <c r="Z167" s="33" t="e">
        <v>#DIV/0!</v>
      </c>
      <c r="AA167" s="33" t="e">
        <v>#DIV/0!</v>
      </c>
      <c r="AB167" s="33" t="e">
        <v>#DIV/0!</v>
      </c>
      <c r="AC167" s="33" t="e">
        <v>#DIV/0!</v>
      </c>
      <c r="AD167" s="33" t="e">
        <v>#DIV/0!</v>
      </c>
      <c r="AE167" s="33" t="e">
        <v>#DIV/0!</v>
      </c>
      <c r="AF167" s="33" t="e">
        <v>#DIV/0!</v>
      </c>
      <c r="AG167" s="33" t="e">
        <v>#DIV/0!</v>
      </c>
      <c r="AH167" s="33" t="e">
        <v>#DIV/0!</v>
      </c>
      <c r="AI167" s="33"/>
      <c r="AJ167" s="33" t="e">
        <v>#DIV/0!</v>
      </c>
      <c r="AK167" s="37"/>
      <c r="AL167" s="54" t="e">
        <v>#DIV/0!</v>
      </c>
    </row>
    <row r="168" spans="3:60 15026:15418" s="1" customFormat="1" ht="15" hidden="1" customHeight="1" x14ac:dyDescent="0.25">
      <c r="C168" s="15"/>
      <c r="D168" s="30" t="s">
        <v>28</v>
      </c>
      <c r="E168" s="126"/>
      <c r="F168" s="1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6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7"/>
      <c r="AL168" s="54"/>
    </row>
    <row r="169" spans="3:60 15026:15418" s="1" customFormat="1" ht="15" hidden="1" customHeight="1" x14ac:dyDescent="0.25">
      <c r="C169" s="15"/>
      <c r="D169" s="11" t="s">
        <v>42</v>
      </c>
      <c r="E169" s="126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63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 t="e">
        <v>#DIV/0!</v>
      </c>
      <c r="AK169" s="37"/>
      <c r="AL169" s="54" t="e">
        <v>#DIV/0!</v>
      </c>
    </row>
    <row r="170" spans="3:60 15026:15418" s="1" customFormat="1" ht="15.75" hidden="1" customHeight="1" thickBot="1" x14ac:dyDescent="0.3">
      <c r="C170" s="19"/>
      <c r="D170" s="11" t="s">
        <v>91</v>
      </c>
      <c r="E170" s="126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63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 t="e">
        <v>#DIV/0!</v>
      </c>
      <c r="AK170" s="37"/>
      <c r="AL170" s="54" t="e">
        <v>#DIV/0!</v>
      </c>
    </row>
    <row r="171" spans="3:60 15026:15418" s="1" customFormat="1" ht="15" hidden="1" customHeight="1" x14ac:dyDescent="0.25">
      <c r="C171" s="8">
        <v>6</v>
      </c>
      <c r="D171" s="47" t="s">
        <v>40</v>
      </c>
      <c r="E171" s="48"/>
      <c r="F171" s="49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1966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3"/>
      <c r="AL171" s="78" t="s">
        <v>130</v>
      </c>
      <c r="BH171" s="141"/>
      <c r="VEX171" s="46"/>
      <c r="VEY171" s="46"/>
      <c r="VEZ171" s="46"/>
      <c r="VFA171" s="46"/>
      <c r="VFB171" s="46"/>
      <c r="VFC171" s="46"/>
      <c r="VFD171" s="46"/>
      <c r="VFE171" s="46"/>
      <c r="VFF171" s="46"/>
      <c r="VFG171" s="46"/>
      <c r="VFH171" s="46"/>
      <c r="VFI171" s="46"/>
      <c r="VFJ171" s="46"/>
      <c r="VFK171" s="46"/>
      <c r="VFL171" s="46"/>
      <c r="VFM171" s="46"/>
      <c r="VFN171" s="46"/>
      <c r="VFO171" s="46"/>
      <c r="VFP171" s="46"/>
      <c r="VFQ171" s="46"/>
      <c r="VFR171" s="46"/>
      <c r="VFS171" s="46"/>
      <c r="VFT171" s="46"/>
      <c r="VFU171" s="46"/>
      <c r="VFV171" s="46"/>
      <c r="VFW171" s="46"/>
      <c r="VFX171" s="46"/>
      <c r="VFY171" s="46"/>
      <c r="VFZ171" s="46"/>
      <c r="VGA171" s="46"/>
      <c r="VGB171" s="46"/>
      <c r="VGC171" s="46"/>
      <c r="VGD171" s="46"/>
      <c r="VGE171" s="46"/>
      <c r="VGF171" s="46"/>
      <c r="VGG171" s="46"/>
      <c r="VGH171" s="46"/>
      <c r="VGI171" s="46"/>
      <c r="VGJ171" s="46"/>
      <c r="VGK171" s="46"/>
      <c r="VGL171" s="46"/>
      <c r="VGM171" s="46"/>
      <c r="VGN171" s="46"/>
      <c r="VGO171" s="46"/>
      <c r="VGP171" s="46"/>
      <c r="VGQ171" s="46"/>
      <c r="VGR171" s="46"/>
      <c r="VGS171" s="46"/>
      <c r="VGT171" s="46"/>
      <c r="VGU171" s="46"/>
      <c r="VGV171" s="46"/>
      <c r="VGW171" s="46"/>
      <c r="VGX171" s="46"/>
      <c r="VGY171" s="46"/>
      <c r="VGZ171" s="46"/>
      <c r="VHA171" s="46"/>
      <c r="VHB171" s="46"/>
      <c r="VHC171" s="46"/>
      <c r="VHD171" s="46"/>
      <c r="VHE171" s="46"/>
      <c r="VHF171" s="46"/>
      <c r="VHG171" s="46"/>
      <c r="VHH171" s="46"/>
      <c r="VHI171" s="46"/>
      <c r="VHJ171" s="46"/>
      <c r="VHK171" s="46"/>
      <c r="VHL171" s="46"/>
      <c r="VHM171" s="46"/>
      <c r="VHN171" s="46"/>
      <c r="VHO171" s="46"/>
      <c r="VHP171" s="46"/>
      <c r="VHQ171" s="46"/>
      <c r="VHR171" s="46"/>
      <c r="VHS171" s="46"/>
      <c r="VHT171" s="46"/>
      <c r="VHU171" s="46"/>
      <c r="VHV171" s="46"/>
      <c r="VHW171" s="46"/>
      <c r="VHX171" s="46"/>
      <c r="VHY171" s="46"/>
      <c r="VHZ171" s="46"/>
      <c r="VIA171" s="46"/>
      <c r="VIB171" s="46"/>
      <c r="VIC171" s="46"/>
      <c r="VID171" s="46"/>
      <c r="VIE171" s="46"/>
      <c r="VIF171" s="46"/>
      <c r="VIG171" s="46"/>
      <c r="VIH171" s="46"/>
      <c r="VII171" s="46"/>
      <c r="VIJ171" s="46"/>
      <c r="VIK171" s="46"/>
      <c r="VIL171" s="46"/>
      <c r="VIM171" s="46"/>
      <c r="VIN171" s="46"/>
      <c r="VIO171" s="46"/>
      <c r="VIP171" s="46"/>
      <c r="VIQ171" s="46"/>
      <c r="VIR171" s="46"/>
      <c r="VIS171" s="46"/>
      <c r="VIT171" s="46"/>
      <c r="VIU171" s="46"/>
      <c r="VIV171" s="46"/>
      <c r="VIW171" s="46"/>
      <c r="VIX171" s="46"/>
      <c r="VIY171" s="46"/>
      <c r="VIZ171" s="46"/>
      <c r="VJA171" s="46"/>
      <c r="VJB171" s="46"/>
      <c r="VJC171" s="46"/>
      <c r="VJD171" s="46"/>
      <c r="VJE171" s="46"/>
      <c r="VJF171" s="46"/>
      <c r="VJG171" s="46"/>
      <c r="VJH171" s="46"/>
      <c r="VJI171" s="46"/>
      <c r="VJJ171" s="46"/>
      <c r="VJK171" s="46"/>
      <c r="VJL171" s="46"/>
      <c r="VJM171" s="46"/>
      <c r="VJN171" s="46"/>
      <c r="VJO171" s="46"/>
      <c r="VJP171" s="46"/>
      <c r="VJQ171" s="46"/>
      <c r="VJR171" s="46"/>
      <c r="VJS171" s="46"/>
      <c r="VJT171" s="46"/>
      <c r="VJU171" s="46"/>
      <c r="VJV171" s="46"/>
      <c r="VJW171" s="46"/>
      <c r="VJX171" s="46"/>
      <c r="VJY171" s="46"/>
      <c r="VJZ171" s="46"/>
      <c r="VKA171" s="46"/>
      <c r="VKB171" s="46"/>
      <c r="VKC171" s="46"/>
      <c r="VKD171" s="46"/>
      <c r="VKE171" s="46"/>
      <c r="VKF171" s="46"/>
      <c r="VKG171" s="46"/>
      <c r="VKH171" s="46"/>
      <c r="VKI171" s="46"/>
      <c r="VKJ171" s="46"/>
      <c r="VKK171" s="46"/>
      <c r="VKL171" s="46"/>
      <c r="VKM171" s="46"/>
      <c r="VKN171" s="46"/>
      <c r="VKO171" s="46"/>
      <c r="VKP171" s="46"/>
      <c r="VKQ171" s="46"/>
      <c r="VKR171" s="46"/>
      <c r="VKS171" s="46"/>
      <c r="VKT171" s="46"/>
      <c r="VKU171" s="46"/>
      <c r="VKV171" s="46"/>
      <c r="VKW171" s="46"/>
      <c r="VKX171" s="46"/>
      <c r="VKY171" s="46"/>
      <c r="VKZ171" s="46"/>
      <c r="VLA171" s="46"/>
      <c r="VLB171" s="46"/>
      <c r="VLC171" s="46"/>
      <c r="VLD171" s="46"/>
      <c r="VLE171" s="46"/>
      <c r="VLF171" s="46"/>
      <c r="VLG171" s="46"/>
      <c r="VLH171" s="46"/>
      <c r="VLI171" s="46"/>
      <c r="VLJ171" s="46"/>
      <c r="VLK171" s="46"/>
      <c r="VLL171" s="46"/>
      <c r="VLM171" s="46"/>
      <c r="VLN171" s="46"/>
      <c r="VLO171" s="46"/>
      <c r="VLP171" s="46"/>
      <c r="VLQ171" s="46"/>
      <c r="VLR171" s="46"/>
      <c r="VLS171" s="46"/>
      <c r="VLT171" s="46"/>
      <c r="VLU171" s="46"/>
      <c r="VLV171" s="46"/>
      <c r="VLW171" s="46"/>
      <c r="VLX171" s="46"/>
      <c r="VLY171" s="46"/>
      <c r="VLZ171" s="46"/>
      <c r="VMA171" s="46"/>
      <c r="VMB171" s="46"/>
      <c r="VMC171" s="46"/>
      <c r="VMD171" s="46"/>
      <c r="VME171" s="46"/>
      <c r="VMF171" s="46"/>
      <c r="VMG171" s="46"/>
      <c r="VMH171" s="46"/>
      <c r="VMI171" s="46"/>
      <c r="VMJ171" s="46"/>
      <c r="VMK171" s="46"/>
      <c r="VML171" s="46"/>
      <c r="VMM171" s="46"/>
      <c r="VMN171" s="46"/>
      <c r="VMO171" s="46"/>
      <c r="VMP171" s="46"/>
      <c r="VMQ171" s="46"/>
      <c r="VMR171" s="46"/>
      <c r="VMS171" s="46"/>
      <c r="VMT171" s="46"/>
      <c r="VMU171" s="46"/>
      <c r="VMV171" s="46"/>
      <c r="VMW171" s="46"/>
      <c r="VMX171" s="46"/>
      <c r="VMY171" s="46"/>
      <c r="VMZ171" s="46"/>
      <c r="VNA171" s="46"/>
      <c r="VNB171" s="46"/>
      <c r="VNC171" s="46"/>
      <c r="VND171" s="46"/>
      <c r="VNE171" s="46"/>
      <c r="VNF171" s="46"/>
      <c r="VNG171" s="46"/>
      <c r="VNH171" s="46"/>
      <c r="VNI171" s="46"/>
      <c r="VNJ171" s="46"/>
      <c r="VNK171" s="46"/>
      <c r="VNL171" s="46"/>
      <c r="VNM171" s="46"/>
      <c r="VNN171" s="46"/>
      <c r="VNO171" s="46"/>
      <c r="VNP171" s="46"/>
      <c r="VNQ171" s="46"/>
      <c r="VNR171" s="46"/>
      <c r="VNS171" s="46"/>
      <c r="VNT171" s="46"/>
      <c r="VNU171" s="46"/>
      <c r="VNV171" s="46"/>
      <c r="VNW171" s="46"/>
      <c r="VNX171" s="46"/>
      <c r="VNY171" s="46"/>
      <c r="VNZ171" s="46"/>
      <c r="VOA171" s="46"/>
      <c r="VOB171" s="46"/>
      <c r="VOC171" s="46"/>
      <c r="VOD171" s="46"/>
      <c r="VOE171" s="46"/>
      <c r="VOF171" s="46"/>
      <c r="VOG171" s="46"/>
      <c r="VOH171" s="46"/>
      <c r="VOI171" s="46"/>
      <c r="VOJ171" s="46"/>
      <c r="VOK171" s="46"/>
      <c r="VOL171" s="46"/>
      <c r="VOM171" s="46"/>
      <c r="VON171" s="46"/>
      <c r="VOO171" s="46"/>
      <c r="VOP171" s="46"/>
      <c r="VOQ171" s="46"/>
      <c r="VOR171" s="46"/>
      <c r="VOS171" s="46"/>
      <c r="VOT171" s="46"/>
      <c r="VOU171" s="46"/>
      <c r="VOV171" s="46"/>
      <c r="VOW171" s="46"/>
      <c r="VOX171" s="46"/>
      <c r="VOY171" s="46"/>
      <c r="VOZ171" s="46"/>
      <c r="VPA171" s="46"/>
      <c r="VPB171" s="46"/>
      <c r="VPC171" s="46"/>
      <c r="VPD171" s="46"/>
      <c r="VPE171" s="46"/>
      <c r="VPF171" s="46"/>
      <c r="VPG171" s="46"/>
      <c r="VPH171" s="46"/>
      <c r="VPI171" s="46"/>
      <c r="VPJ171" s="46"/>
      <c r="VPK171" s="46"/>
      <c r="VPL171" s="46"/>
      <c r="VPM171" s="46"/>
      <c r="VPN171" s="46"/>
      <c r="VPO171" s="46"/>
      <c r="VPP171" s="46"/>
      <c r="VPQ171" s="46"/>
      <c r="VPR171" s="46"/>
      <c r="VPS171" s="46"/>
      <c r="VPT171" s="46"/>
      <c r="VPU171" s="46"/>
      <c r="VPV171" s="46"/>
      <c r="VPW171" s="46"/>
      <c r="VPX171" s="46"/>
      <c r="VPY171" s="46"/>
      <c r="VPZ171" s="46"/>
      <c r="VQA171" s="46"/>
      <c r="VQB171" s="46"/>
      <c r="VQC171" s="46"/>
      <c r="VQD171" s="46"/>
      <c r="VQE171" s="46"/>
      <c r="VQF171" s="46"/>
      <c r="VQG171" s="46"/>
      <c r="VQH171" s="46"/>
      <c r="VQI171" s="46"/>
      <c r="VQJ171" s="46"/>
      <c r="VQK171" s="46"/>
      <c r="VQL171" s="46"/>
      <c r="VQM171" s="46"/>
      <c r="VQN171" s="46"/>
      <c r="VQO171" s="46"/>
      <c r="VQP171" s="46"/>
      <c r="VQQ171" s="46"/>
      <c r="VQR171" s="46"/>
      <c r="VQS171" s="46"/>
      <c r="VQT171" s="46"/>
      <c r="VQU171" s="46"/>
      <c r="VQV171" s="46"/>
      <c r="VQW171" s="46"/>
      <c r="VQX171" s="46"/>
      <c r="VQY171" s="46"/>
      <c r="VQZ171" s="46"/>
      <c r="VRA171" s="46"/>
      <c r="VRB171" s="46"/>
      <c r="VRC171" s="46"/>
      <c r="VRD171" s="46"/>
      <c r="VRE171" s="46"/>
      <c r="VRF171" s="46"/>
      <c r="VRG171" s="46"/>
      <c r="VRH171" s="46"/>
      <c r="VRI171" s="46"/>
      <c r="VRJ171" s="46"/>
      <c r="VRK171" s="46"/>
      <c r="VRL171" s="46"/>
      <c r="VRM171" s="46"/>
      <c r="VRN171" s="46"/>
      <c r="VRO171" s="46"/>
      <c r="VRP171" s="46"/>
      <c r="VRQ171" s="46"/>
      <c r="VRR171" s="46"/>
      <c r="VRS171" s="46"/>
      <c r="VRT171" s="46"/>
      <c r="VRU171" s="46"/>
      <c r="VRV171" s="46"/>
      <c r="VRW171" s="46"/>
      <c r="VRX171" s="46"/>
      <c r="VRY171" s="46"/>
      <c r="VRZ171" s="46"/>
      <c r="VSA171" s="46"/>
      <c r="VSB171" s="46"/>
      <c r="VSC171" s="46"/>
      <c r="VSD171" s="46"/>
      <c r="VSE171" s="46"/>
      <c r="VSF171" s="46"/>
      <c r="VSG171" s="46"/>
      <c r="VSH171" s="46"/>
      <c r="VSI171" s="46"/>
      <c r="VSJ171" s="46"/>
      <c r="VSK171" s="46"/>
      <c r="VSL171" s="46"/>
      <c r="VSM171" s="46"/>
      <c r="VSN171" s="46"/>
      <c r="VSO171" s="46"/>
      <c r="VSP171" s="46"/>
      <c r="VSQ171" s="46"/>
      <c r="VSR171" s="46"/>
      <c r="VSS171" s="46"/>
      <c r="VST171" s="46"/>
      <c r="VSU171" s="46"/>
      <c r="VSV171" s="46"/>
      <c r="VSW171" s="46"/>
      <c r="VSX171" s="46"/>
      <c r="VSY171" s="46"/>
      <c r="VSZ171" s="46"/>
      <c r="VTA171" s="46"/>
      <c r="VTB171" s="46"/>
      <c r="VTC171" s="46"/>
      <c r="VTD171" s="46"/>
      <c r="VTE171" s="46"/>
      <c r="VTF171" s="46"/>
      <c r="VTG171" s="46"/>
      <c r="VTH171" s="46"/>
      <c r="VTI171" s="46"/>
      <c r="VTJ171" s="46"/>
      <c r="VTK171" s="46"/>
      <c r="VTL171" s="46"/>
      <c r="VTM171" s="46"/>
      <c r="VTN171" s="46"/>
      <c r="VTO171" s="46"/>
      <c r="VTP171" s="46"/>
      <c r="VTQ171" s="46"/>
      <c r="VTR171" s="46"/>
      <c r="VTS171" s="46"/>
      <c r="VTT171" s="46"/>
      <c r="VTU171" s="46"/>
      <c r="VTV171" s="46"/>
      <c r="VTW171" s="46"/>
      <c r="VTX171" s="46"/>
      <c r="VTY171" s="46"/>
      <c r="VTZ171" s="46"/>
    </row>
    <row r="172" spans="3:60 15026:15418" s="1" customFormat="1" ht="15" hidden="1" customHeight="1" x14ac:dyDescent="0.25">
      <c r="C172" s="15"/>
      <c r="D172" s="28" t="s">
        <v>115</v>
      </c>
      <c r="E172" s="90"/>
      <c r="F172" s="20" t="s">
        <v>14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1965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2"/>
      <c r="AL172" s="89">
        <v>0</v>
      </c>
      <c r="BH172" s="142"/>
    </row>
    <row r="173" spans="3:60 15026:15418" s="1" customFormat="1" ht="15" hidden="1" customHeight="1" x14ac:dyDescent="0.25">
      <c r="C173" s="15"/>
      <c r="D173" s="30" t="s">
        <v>39</v>
      </c>
      <c r="E173" s="60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64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/>
      <c r="AJ173" s="34">
        <v>0</v>
      </c>
      <c r="AL173" s="58">
        <v>0</v>
      </c>
      <c r="BH173" s="142"/>
    </row>
    <row r="174" spans="3:60 15026:15418" s="1" customFormat="1" ht="15" hidden="1" customHeight="1" x14ac:dyDescent="0.25">
      <c r="C174" s="15"/>
      <c r="D174" s="30" t="s">
        <v>38</v>
      </c>
      <c r="E174" s="60"/>
      <c r="F174" s="20" t="s">
        <v>14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1964">
        <v>0</v>
      </c>
      <c r="T174" s="34">
        <v>0</v>
      </c>
      <c r="U174" s="34">
        <v>0</v>
      </c>
      <c r="V174" s="34">
        <v>0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4">
        <v>0</v>
      </c>
      <c r="AH174" s="34">
        <v>0</v>
      </c>
      <c r="AI174" s="34"/>
      <c r="AJ174" s="34">
        <v>0</v>
      </c>
      <c r="AL174" s="58">
        <v>0</v>
      </c>
      <c r="BH174" s="142"/>
    </row>
    <row r="175" spans="3:60 15026:15418" s="1" customFormat="1" ht="15" hidden="1" customHeight="1" x14ac:dyDescent="0.25">
      <c r="C175" s="15"/>
      <c r="D175" s="30" t="s">
        <v>29</v>
      </c>
      <c r="E175" s="60"/>
      <c r="F175" s="1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6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L175" s="63" t="s">
        <v>29</v>
      </c>
      <c r="BH175" s="142"/>
    </row>
    <row r="176" spans="3:60 15026:15418" s="1" customFormat="1" ht="15" hidden="1" customHeight="1" x14ac:dyDescent="0.2">
      <c r="C176" s="15"/>
      <c r="D176" s="11" t="s">
        <v>116</v>
      </c>
      <c r="E176" s="60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6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L176" s="91">
        <v>0</v>
      </c>
      <c r="BH176" s="142"/>
    </row>
    <row r="177" spans="3:60 15026:15418" s="16" customFormat="1" ht="15" hidden="1" customHeight="1" x14ac:dyDescent="0.25">
      <c r="C177" s="17"/>
      <c r="D177" s="11" t="s">
        <v>27</v>
      </c>
      <c r="E177" s="53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6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L177" s="91">
        <v>0</v>
      </c>
      <c r="BH177" s="148"/>
    </row>
    <row r="178" spans="3:60 15026:15418" s="16" customFormat="1" ht="15" hidden="1" customHeight="1" x14ac:dyDescent="0.25">
      <c r="C178" s="17"/>
      <c r="D178" s="11" t="s">
        <v>26</v>
      </c>
      <c r="E178" s="53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L178" s="91">
        <v>0</v>
      </c>
      <c r="BH178" s="148"/>
    </row>
    <row r="179" spans="3:60 15026:15418" s="16" customFormat="1" ht="15" hidden="1" customHeight="1" x14ac:dyDescent="0.25">
      <c r="C179" s="17"/>
      <c r="D179" s="11" t="s">
        <v>37</v>
      </c>
      <c r="E179" s="53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L179" s="91">
        <v>0</v>
      </c>
      <c r="BH179" s="148"/>
    </row>
    <row r="180" spans="3:60 15026:15418" s="1" customFormat="1" ht="15" hidden="1" customHeight="1" x14ac:dyDescent="0.25">
      <c r="C180" s="15"/>
      <c r="D180" s="30" t="s">
        <v>28</v>
      </c>
      <c r="E180" s="60"/>
      <c r="F180" s="1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6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L180" s="63" t="s">
        <v>28</v>
      </c>
      <c r="BH180" s="142"/>
    </row>
    <row r="181" spans="3:60 15026:15418" s="1" customFormat="1" ht="15" hidden="1" customHeight="1" x14ac:dyDescent="0.25">
      <c r="C181" s="15"/>
      <c r="D181" s="11" t="s">
        <v>116</v>
      </c>
      <c r="E181" s="60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6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/>
      <c r="AJ181" s="33">
        <v>0</v>
      </c>
      <c r="AL181" s="63"/>
      <c r="BH181" s="142"/>
    </row>
    <row r="182" spans="3:60 15026:15418" s="1" customFormat="1" ht="15" hidden="1" customHeight="1" x14ac:dyDescent="0.25">
      <c r="C182" s="15"/>
      <c r="D182" s="11" t="s">
        <v>27</v>
      </c>
      <c r="E182" s="60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6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/>
      <c r="AJ182" s="33">
        <v>0</v>
      </c>
      <c r="AL182" s="54">
        <v>0</v>
      </c>
      <c r="BH182" s="142"/>
    </row>
    <row r="183" spans="3:60 15026:15418" s="1" customFormat="1" ht="15" hidden="1" customHeight="1" x14ac:dyDescent="0.25">
      <c r="C183" s="15"/>
      <c r="D183" s="11" t="s">
        <v>26</v>
      </c>
      <c r="E183" s="60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6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/>
      <c r="AJ183" s="33">
        <v>0</v>
      </c>
      <c r="AL183" s="54">
        <v>0</v>
      </c>
      <c r="BH183" s="142"/>
    </row>
    <row r="184" spans="3:60 15026:15418" s="1" customFormat="1" ht="15" hidden="1" customHeight="1" x14ac:dyDescent="0.25">
      <c r="C184" s="15"/>
      <c r="D184" s="11" t="s">
        <v>37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6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>
        <v>0</v>
      </c>
      <c r="AL184" s="54">
        <v>0</v>
      </c>
      <c r="BH184" s="142"/>
    </row>
    <row r="185" spans="3:60 15026:15418" s="1" customFormat="1" ht="15" hidden="1" customHeight="1" x14ac:dyDescent="0.25">
      <c r="C185" s="15"/>
      <c r="D185" s="30" t="s">
        <v>36</v>
      </c>
      <c r="E185" s="60"/>
      <c r="F185" s="20" t="s">
        <v>35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6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>
        <v>0</v>
      </c>
      <c r="AL185" s="54">
        <v>0</v>
      </c>
      <c r="BH185" s="142"/>
    </row>
    <row r="186" spans="3:60 15026:15418" s="1" customFormat="1" ht="15" hidden="1" customHeight="1" x14ac:dyDescent="0.25">
      <c r="C186" s="15"/>
      <c r="D186" s="30" t="s">
        <v>34</v>
      </c>
      <c r="E186" s="60"/>
      <c r="F186" s="20" t="s">
        <v>33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6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>
        <v>0</v>
      </c>
      <c r="AL186" s="54">
        <v>0</v>
      </c>
      <c r="BH186" s="142"/>
    </row>
    <row r="187" spans="3:60 15026:15418" s="1" customFormat="1" ht="15" hidden="1" customHeight="1" x14ac:dyDescent="0.25">
      <c r="C187" s="8"/>
      <c r="D187" s="47" t="s">
        <v>32</v>
      </c>
      <c r="E187" s="48"/>
      <c r="F187" s="49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1966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3"/>
      <c r="AL187" s="78" t="s">
        <v>131</v>
      </c>
      <c r="BH187" s="141"/>
      <c r="VEX187" s="46"/>
      <c r="VEY187" s="46"/>
      <c r="VEZ187" s="46"/>
      <c r="VFA187" s="46"/>
      <c r="VFB187" s="46"/>
      <c r="VFC187" s="46"/>
      <c r="VFD187" s="46"/>
      <c r="VFE187" s="46"/>
      <c r="VFF187" s="46"/>
      <c r="VFG187" s="46"/>
      <c r="VFH187" s="46"/>
      <c r="VFI187" s="46"/>
      <c r="VFJ187" s="46"/>
      <c r="VFK187" s="46"/>
      <c r="VFL187" s="46"/>
      <c r="VFM187" s="46"/>
      <c r="VFN187" s="46"/>
      <c r="VFO187" s="46"/>
      <c r="VFP187" s="46"/>
      <c r="VFQ187" s="46"/>
      <c r="VFR187" s="46"/>
      <c r="VFS187" s="46"/>
      <c r="VFT187" s="46"/>
      <c r="VFU187" s="46"/>
      <c r="VFV187" s="46"/>
      <c r="VFW187" s="46"/>
      <c r="VFX187" s="46"/>
      <c r="VFY187" s="46"/>
      <c r="VFZ187" s="46"/>
      <c r="VGA187" s="46"/>
      <c r="VGB187" s="46"/>
      <c r="VGC187" s="46"/>
      <c r="VGD187" s="46"/>
      <c r="VGE187" s="46"/>
      <c r="VGF187" s="46"/>
      <c r="VGG187" s="46"/>
      <c r="VGH187" s="46"/>
      <c r="VGI187" s="46"/>
      <c r="VGJ187" s="46"/>
      <c r="VGK187" s="46"/>
      <c r="VGL187" s="46"/>
      <c r="VGM187" s="46"/>
      <c r="VGN187" s="46"/>
      <c r="VGO187" s="46"/>
      <c r="VGP187" s="46"/>
      <c r="VGQ187" s="46"/>
      <c r="VGR187" s="46"/>
      <c r="VGS187" s="46"/>
      <c r="VGT187" s="46"/>
      <c r="VGU187" s="46"/>
      <c r="VGV187" s="46"/>
      <c r="VGW187" s="46"/>
      <c r="VGX187" s="46"/>
      <c r="VGY187" s="46"/>
      <c r="VGZ187" s="46"/>
      <c r="VHA187" s="46"/>
      <c r="VHB187" s="46"/>
      <c r="VHC187" s="46"/>
      <c r="VHD187" s="46"/>
      <c r="VHE187" s="46"/>
      <c r="VHF187" s="46"/>
      <c r="VHG187" s="46"/>
      <c r="VHH187" s="46"/>
      <c r="VHI187" s="46"/>
      <c r="VHJ187" s="46"/>
      <c r="VHK187" s="46"/>
      <c r="VHL187" s="46"/>
      <c r="VHM187" s="46"/>
      <c r="VHN187" s="46"/>
      <c r="VHO187" s="46"/>
      <c r="VHP187" s="46"/>
      <c r="VHQ187" s="46"/>
      <c r="VHR187" s="46"/>
      <c r="VHS187" s="46"/>
      <c r="VHT187" s="46"/>
      <c r="VHU187" s="46"/>
      <c r="VHV187" s="46"/>
      <c r="VHW187" s="46"/>
      <c r="VHX187" s="46"/>
      <c r="VHY187" s="46"/>
      <c r="VHZ187" s="46"/>
      <c r="VIA187" s="46"/>
      <c r="VIB187" s="46"/>
      <c r="VIC187" s="46"/>
      <c r="VID187" s="46"/>
      <c r="VIE187" s="46"/>
      <c r="VIF187" s="46"/>
      <c r="VIG187" s="46"/>
      <c r="VIH187" s="46"/>
      <c r="VII187" s="46"/>
      <c r="VIJ187" s="46"/>
      <c r="VIK187" s="46"/>
      <c r="VIL187" s="46"/>
      <c r="VIM187" s="46"/>
      <c r="VIN187" s="46"/>
      <c r="VIO187" s="46"/>
      <c r="VIP187" s="46"/>
      <c r="VIQ187" s="46"/>
      <c r="VIR187" s="46"/>
      <c r="VIS187" s="46"/>
      <c r="VIT187" s="46"/>
      <c r="VIU187" s="46"/>
      <c r="VIV187" s="46"/>
      <c r="VIW187" s="46"/>
      <c r="VIX187" s="46"/>
      <c r="VIY187" s="46"/>
      <c r="VIZ187" s="46"/>
      <c r="VJA187" s="46"/>
      <c r="VJB187" s="46"/>
      <c r="VJC187" s="46"/>
      <c r="VJD187" s="46"/>
      <c r="VJE187" s="46"/>
      <c r="VJF187" s="46"/>
      <c r="VJG187" s="46"/>
      <c r="VJH187" s="46"/>
      <c r="VJI187" s="46"/>
      <c r="VJJ187" s="46"/>
      <c r="VJK187" s="46"/>
      <c r="VJL187" s="46"/>
      <c r="VJM187" s="46"/>
      <c r="VJN187" s="46"/>
      <c r="VJO187" s="46"/>
      <c r="VJP187" s="46"/>
      <c r="VJQ187" s="46"/>
      <c r="VJR187" s="46"/>
      <c r="VJS187" s="46"/>
      <c r="VJT187" s="46"/>
      <c r="VJU187" s="46"/>
      <c r="VJV187" s="46"/>
      <c r="VJW187" s="46"/>
      <c r="VJX187" s="46"/>
      <c r="VJY187" s="46"/>
      <c r="VJZ187" s="46"/>
      <c r="VKA187" s="46"/>
      <c r="VKB187" s="46"/>
      <c r="VKC187" s="46"/>
      <c r="VKD187" s="46"/>
      <c r="VKE187" s="46"/>
      <c r="VKF187" s="46"/>
      <c r="VKG187" s="46"/>
      <c r="VKH187" s="46"/>
      <c r="VKI187" s="46"/>
      <c r="VKJ187" s="46"/>
      <c r="VKK187" s="46"/>
      <c r="VKL187" s="46"/>
      <c r="VKM187" s="46"/>
      <c r="VKN187" s="46"/>
      <c r="VKO187" s="46"/>
      <c r="VKP187" s="46"/>
      <c r="VKQ187" s="46"/>
      <c r="VKR187" s="46"/>
      <c r="VKS187" s="46"/>
      <c r="VKT187" s="46"/>
      <c r="VKU187" s="46"/>
      <c r="VKV187" s="46"/>
      <c r="VKW187" s="46"/>
      <c r="VKX187" s="46"/>
      <c r="VKY187" s="46"/>
      <c r="VKZ187" s="46"/>
      <c r="VLA187" s="46"/>
      <c r="VLB187" s="46"/>
      <c r="VLC187" s="46"/>
      <c r="VLD187" s="46"/>
      <c r="VLE187" s="46"/>
      <c r="VLF187" s="46"/>
      <c r="VLG187" s="46"/>
      <c r="VLH187" s="46"/>
      <c r="VLI187" s="46"/>
      <c r="VLJ187" s="46"/>
      <c r="VLK187" s="46"/>
      <c r="VLL187" s="46"/>
      <c r="VLM187" s="46"/>
      <c r="VLN187" s="46"/>
      <c r="VLO187" s="46"/>
      <c r="VLP187" s="46"/>
      <c r="VLQ187" s="46"/>
      <c r="VLR187" s="46"/>
      <c r="VLS187" s="46"/>
      <c r="VLT187" s="46"/>
      <c r="VLU187" s="46"/>
      <c r="VLV187" s="46"/>
      <c r="VLW187" s="46"/>
      <c r="VLX187" s="46"/>
      <c r="VLY187" s="46"/>
      <c r="VLZ187" s="46"/>
      <c r="VMA187" s="46"/>
      <c r="VMB187" s="46"/>
      <c r="VMC187" s="46"/>
      <c r="VMD187" s="46"/>
      <c r="VME187" s="46"/>
      <c r="VMF187" s="46"/>
      <c r="VMG187" s="46"/>
      <c r="VMH187" s="46"/>
      <c r="VMI187" s="46"/>
      <c r="VMJ187" s="46"/>
      <c r="VMK187" s="46"/>
      <c r="VML187" s="46"/>
      <c r="VMM187" s="46"/>
      <c r="VMN187" s="46"/>
      <c r="VMO187" s="46"/>
      <c r="VMP187" s="46"/>
      <c r="VMQ187" s="46"/>
      <c r="VMR187" s="46"/>
      <c r="VMS187" s="46"/>
      <c r="VMT187" s="46"/>
      <c r="VMU187" s="46"/>
      <c r="VMV187" s="46"/>
      <c r="VMW187" s="46"/>
      <c r="VMX187" s="46"/>
      <c r="VMY187" s="46"/>
      <c r="VMZ187" s="46"/>
      <c r="VNA187" s="46"/>
      <c r="VNB187" s="46"/>
      <c r="VNC187" s="46"/>
      <c r="VND187" s="46"/>
      <c r="VNE187" s="46"/>
      <c r="VNF187" s="46"/>
      <c r="VNG187" s="46"/>
      <c r="VNH187" s="46"/>
      <c r="VNI187" s="46"/>
      <c r="VNJ187" s="46"/>
      <c r="VNK187" s="46"/>
      <c r="VNL187" s="46"/>
      <c r="VNM187" s="46"/>
      <c r="VNN187" s="46"/>
      <c r="VNO187" s="46"/>
      <c r="VNP187" s="46"/>
      <c r="VNQ187" s="46"/>
      <c r="VNR187" s="46"/>
      <c r="VNS187" s="46"/>
      <c r="VNT187" s="46"/>
      <c r="VNU187" s="46"/>
      <c r="VNV187" s="46"/>
      <c r="VNW187" s="46"/>
      <c r="VNX187" s="46"/>
      <c r="VNY187" s="46"/>
      <c r="VNZ187" s="46"/>
      <c r="VOA187" s="46"/>
      <c r="VOB187" s="46"/>
      <c r="VOC187" s="46"/>
      <c r="VOD187" s="46"/>
      <c r="VOE187" s="46"/>
      <c r="VOF187" s="46"/>
      <c r="VOG187" s="46"/>
      <c r="VOH187" s="46"/>
      <c r="VOI187" s="46"/>
      <c r="VOJ187" s="46"/>
      <c r="VOK187" s="46"/>
      <c r="VOL187" s="46"/>
      <c r="VOM187" s="46"/>
      <c r="VON187" s="46"/>
      <c r="VOO187" s="46"/>
      <c r="VOP187" s="46"/>
      <c r="VOQ187" s="46"/>
      <c r="VOR187" s="46"/>
      <c r="VOS187" s="46"/>
      <c r="VOT187" s="46"/>
      <c r="VOU187" s="46"/>
      <c r="VOV187" s="46"/>
      <c r="VOW187" s="46"/>
      <c r="VOX187" s="46"/>
      <c r="VOY187" s="46"/>
      <c r="VOZ187" s="46"/>
      <c r="VPA187" s="46"/>
      <c r="VPB187" s="46"/>
      <c r="VPC187" s="46"/>
      <c r="VPD187" s="46"/>
      <c r="VPE187" s="46"/>
      <c r="VPF187" s="46"/>
      <c r="VPG187" s="46"/>
      <c r="VPH187" s="46"/>
      <c r="VPI187" s="46"/>
      <c r="VPJ187" s="46"/>
      <c r="VPK187" s="46"/>
      <c r="VPL187" s="46"/>
      <c r="VPM187" s="46"/>
      <c r="VPN187" s="46"/>
      <c r="VPO187" s="46"/>
      <c r="VPP187" s="46"/>
      <c r="VPQ187" s="46"/>
      <c r="VPR187" s="46"/>
      <c r="VPS187" s="46"/>
      <c r="VPT187" s="46"/>
      <c r="VPU187" s="46"/>
      <c r="VPV187" s="46"/>
      <c r="VPW187" s="46"/>
      <c r="VPX187" s="46"/>
      <c r="VPY187" s="46"/>
      <c r="VPZ187" s="46"/>
      <c r="VQA187" s="46"/>
      <c r="VQB187" s="46"/>
      <c r="VQC187" s="46"/>
      <c r="VQD187" s="46"/>
      <c r="VQE187" s="46"/>
      <c r="VQF187" s="46"/>
      <c r="VQG187" s="46"/>
      <c r="VQH187" s="46"/>
      <c r="VQI187" s="46"/>
      <c r="VQJ187" s="46"/>
      <c r="VQK187" s="46"/>
      <c r="VQL187" s="46"/>
      <c r="VQM187" s="46"/>
      <c r="VQN187" s="46"/>
      <c r="VQO187" s="46"/>
      <c r="VQP187" s="46"/>
      <c r="VQQ187" s="46"/>
      <c r="VQR187" s="46"/>
      <c r="VQS187" s="46"/>
      <c r="VQT187" s="46"/>
      <c r="VQU187" s="46"/>
      <c r="VQV187" s="46"/>
      <c r="VQW187" s="46"/>
      <c r="VQX187" s="46"/>
      <c r="VQY187" s="46"/>
      <c r="VQZ187" s="46"/>
      <c r="VRA187" s="46"/>
      <c r="VRB187" s="46"/>
      <c r="VRC187" s="46"/>
      <c r="VRD187" s="46"/>
      <c r="VRE187" s="46"/>
      <c r="VRF187" s="46"/>
      <c r="VRG187" s="46"/>
      <c r="VRH187" s="46"/>
      <c r="VRI187" s="46"/>
      <c r="VRJ187" s="46"/>
      <c r="VRK187" s="46"/>
      <c r="VRL187" s="46"/>
      <c r="VRM187" s="46"/>
      <c r="VRN187" s="46"/>
      <c r="VRO187" s="46"/>
      <c r="VRP187" s="46"/>
      <c r="VRQ187" s="46"/>
      <c r="VRR187" s="46"/>
      <c r="VRS187" s="46"/>
      <c r="VRT187" s="46"/>
      <c r="VRU187" s="46"/>
      <c r="VRV187" s="46"/>
      <c r="VRW187" s="46"/>
      <c r="VRX187" s="46"/>
      <c r="VRY187" s="46"/>
      <c r="VRZ187" s="46"/>
      <c r="VSA187" s="46"/>
      <c r="VSB187" s="46"/>
      <c r="VSC187" s="46"/>
      <c r="VSD187" s="46"/>
      <c r="VSE187" s="46"/>
      <c r="VSF187" s="46"/>
      <c r="VSG187" s="46"/>
      <c r="VSH187" s="46"/>
      <c r="VSI187" s="46"/>
      <c r="VSJ187" s="46"/>
      <c r="VSK187" s="46"/>
      <c r="VSL187" s="46"/>
      <c r="VSM187" s="46"/>
      <c r="VSN187" s="46"/>
      <c r="VSO187" s="46"/>
      <c r="VSP187" s="46"/>
      <c r="VSQ187" s="46"/>
      <c r="VSR187" s="46"/>
      <c r="VSS187" s="46"/>
      <c r="VST187" s="46"/>
      <c r="VSU187" s="46"/>
      <c r="VSV187" s="46"/>
      <c r="VSW187" s="46"/>
      <c r="VSX187" s="46"/>
      <c r="VSY187" s="46"/>
      <c r="VSZ187" s="46"/>
      <c r="VTA187" s="46"/>
      <c r="VTB187" s="46"/>
      <c r="VTC187" s="46"/>
      <c r="VTD187" s="46"/>
      <c r="VTE187" s="46"/>
      <c r="VTF187" s="46"/>
      <c r="VTG187" s="46"/>
      <c r="VTH187" s="46"/>
      <c r="VTI187" s="46"/>
      <c r="VTJ187" s="46"/>
      <c r="VTK187" s="46"/>
      <c r="VTL187" s="46"/>
      <c r="VTM187" s="46"/>
      <c r="VTN187" s="46"/>
      <c r="VTO187" s="46"/>
      <c r="VTP187" s="46"/>
      <c r="VTQ187" s="46"/>
      <c r="VTR187" s="46"/>
      <c r="VTS187" s="46"/>
      <c r="VTT187" s="46"/>
      <c r="VTU187" s="46"/>
      <c r="VTV187" s="46"/>
      <c r="VTW187" s="46"/>
      <c r="VTX187" s="46"/>
      <c r="VTY187" s="46"/>
      <c r="VTZ187" s="46"/>
    </row>
    <row r="188" spans="3:60 15026:15418" s="1" customFormat="1" ht="15" hidden="1" customHeight="1" x14ac:dyDescent="0.25">
      <c r="C188" s="15"/>
      <c r="D188" s="30" t="s">
        <v>29</v>
      </c>
      <c r="E188" s="60"/>
      <c r="F188" s="1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6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L188" s="63" t="s">
        <v>29</v>
      </c>
      <c r="BH188" s="142"/>
    </row>
    <row r="189" spans="3:60 15026:15418" s="1" customFormat="1" ht="15" hidden="1" customHeight="1" x14ac:dyDescent="0.25">
      <c r="C189" s="15"/>
      <c r="D189" s="11" t="s">
        <v>116</v>
      </c>
      <c r="E189" s="60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63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>
        <v>0</v>
      </c>
      <c r="AL189" s="63"/>
      <c r="BH189" s="142"/>
    </row>
    <row r="190" spans="3:60 15026:15418" s="1" customFormat="1" ht="15" hidden="1" customHeight="1" x14ac:dyDescent="0.25">
      <c r="C190" s="15"/>
      <c r="D190" s="11" t="s">
        <v>27</v>
      </c>
      <c r="E190" s="60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63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/>
      <c r="AJ190" s="33">
        <v>0</v>
      </c>
      <c r="AL190" s="54">
        <v>0</v>
      </c>
      <c r="BH190" s="142"/>
    </row>
    <row r="191" spans="3:60 15026:15418" s="1" customFormat="1" ht="15" hidden="1" customHeight="1" x14ac:dyDescent="0.25">
      <c r="C191" s="15"/>
      <c r="D191" s="11" t="s">
        <v>26</v>
      </c>
      <c r="E191" s="60"/>
      <c r="F191" s="20" t="s">
        <v>31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196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Z191" s="33">
        <v>0</v>
      </c>
      <c r="AA191" s="33">
        <v>0</v>
      </c>
      <c r="AB191" s="33">
        <v>0</v>
      </c>
      <c r="AC191" s="33">
        <v>0</v>
      </c>
      <c r="AD191" s="33">
        <v>0</v>
      </c>
      <c r="AE191" s="33">
        <v>0</v>
      </c>
      <c r="AF191" s="33">
        <v>0</v>
      </c>
      <c r="AG191" s="33">
        <v>0</v>
      </c>
      <c r="AH191" s="33">
        <v>0</v>
      </c>
      <c r="AI191" s="33"/>
      <c r="AJ191" s="33">
        <v>0</v>
      </c>
      <c r="AL191" s="54">
        <v>0</v>
      </c>
      <c r="BH191" s="142"/>
    </row>
    <row r="192" spans="3:60 15026:15418" s="1" customFormat="1" ht="15" hidden="1" customHeight="1" x14ac:dyDescent="0.25">
      <c r="C192" s="15"/>
      <c r="D192" s="30" t="s">
        <v>28</v>
      </c>
      <c r="E192" s="60"/>
      <c r="F192" s="1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6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L192" s="63" t="s">
        <v>28</v>
      </c>
      <c r="BH192" s="142"/>
    </row>
    <row r="193" spans="3:60 15026:15418" s="1" customFormat="1" ht="15" hidden="1" customHeight="1" x14ac:dyDescent="0.25">
      <c r="C193" s="15"/>
      <c r="D193" s="11" t="s">
        <v>116</v>
      </c>
      <c r="E193" s="60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63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>
        <v>0</v>
      </c>
      <c r="AL193" s="63"/>
      <c r="BH193" s="142"/>
    </row>
    <row r="194" spans="3:60 15026:15418" s="1" customFormat="1" ht="15" hidden="1" customHeight="1" x14ac:dyDescent="0.25">
      <c r="C194" s="15"/>
      <c r="D194" s="11" t="s">
        <v>27</v>
      </c>
      <c r="E194" s="60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6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>
        <v>0</v>
      </c>
      <c r="AL194" s="54">
        <v>0</v>
      </c>
      <c r="BH194" s="142"/>
    </row>
    <row r="195" spans="3:60 15026:15418" s="1" customFormat="1" ht="15" hidden="1" customHeight="1" x14ac:dyDescent="0.25">
      <c r="C195" s="15"/>
      <c r="D195" s="11" t="s">
        <v>26</v>
      </c>
      <c r="E195" s="60"/>
      <c r="F195" s="20" t="s">
        <v>28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1963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/>
      <c r="AJ195" s="33">
        <v>0</v>
      </c>
      <c r="AL195" s="54">
        <v>0</v>
      </c>
      <c r="BH195" s="142"/>
    </row>
    <row r="196" spans="3:60 15026:15418" s="1" customFormat="1" ht="15" hidden="1" customHeight="1" x14ac:dyDescent="0.25">
      <c r="C196" s="8"/>
      <c r="D196" s="47" t="s">
        <v>30</v>
      </c>
      <c r="E196" s="48"/>
      <c r="F196" s="49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1966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3"/>
      <c r="AL196" s="78" t="s">
        <v>131</v>
      </c>
      <c r="BH196" s="141"/>
      <c r="VEX196" s="46"/>
      <c r="VEY196" s="46"/>
      <c r="VEZ196" s="46"/>
      <c r="VFA196" s="46"/>
      <c r="VFB196" s="46"/>
      <c r="VFC196" s="46"/>
      <c r="VFD196" s="46"/>
      <c r="VFE196" s="46"/>
      <c r="VFF196" s="46"/>
      <c r="VFG196" s="46"/>
      <c r="VFH196" s="46"/>
      <c r="VFI196" s="46"/>
      <c r="VFJ196" s="46"/>
      <c r="VFK196" s="46"/>
      <c r="VFL196" s="46"/>
      <c r="VFM196" s="46"/>
      <c r="VFN196" s="46"/>
      <c r="VFO196" s="46"/>
      <c r="VFP196" s="46"/>
      <c r="VFQ196" s="46"/>
      <c r="VFR196" s="46"/>
      <c r="VFS196" s="46"/>
      <c r="VFT196" s="46"/>
      <c r="VFU196" s="46"/>
      <c r="VFV196" s="46"/>
      <c r="VFW196" s="46"/>
      <c r="VFX196" s="46"/>
      <c r="VFY196" s="46"/>
      <c r="VFZ196" s="46"/>
      <c r="VGA196" s="46"/>
      <c r="VGB196" s="46"/>
      <c r="VGC196" s="46"/>
      <c r="VGD196" s="46"/>
      <c r="VGE196" s="46"/>
      <c r="VGF196" s="46"/>
      <c r="VGG196" s="46"/>
      <c r="VGH196" s="46"/>
      <c r="VGI196" s="46"/>
      <c r="VGJ196" s="46"/>
      <c r="VGK196" s="46"/>
      <c r="VGL196" s="46"/>
      <c r="VGM196" s="46"/>
      <c r="VGN196" s="46"/>
      <c r="VGO196" s="46"/>
      <c r="VGP196" s="46"/>
      <c r="VGQ196" s="46"/>
      <c r="VGR196" s="46"/>
      <c r="VGS196" s="46"/>
      <c r="VGT196" s="46"/>
      <c r="VGU196" s="46"/>
      <c r="VGV196" s="46"/>
      <c r="VGW196" s="46"/>
      <c r="VGX196" s="46"/>
      <c r="VGY196" s="46"/>
      <c r="VGZ196" s="46"/>
      <c r="VHA196" s="46"/>
      <c r="VHB196" s="46"/>
      <c r="VHC196" s="46"/>
      <c r="VHD196" s="46"/>
      <c r="VHE196" s="46"/>
      <c r="VHF196" s="46"/>
      <c r="VHG196" s="46"/>
      <c r="VHH196" s="46"/>
      <c r="VHI196" s="46"/>
      <c r="VHJ196" s="46"/>
      <c r="VHK196" s="46"/>
      <c r="VHL196" s="46"/>
      <c r="VHM196" s="46"/>
      <c r="VHN196" s="46"/>
      <c r="VHO196" s="46"/>
      <c r="VHP196" s="46"/>
      <c r="VHQ196" s="46"/>
      <c r="VHR196" s="46"/>
      <c r="VHS196" s="46"/>
      <c r="VHT196" s="46"/>
      <c r="VHU196" s="46"/>
      <c r="VHV196" s="46"/>
      <c r="VHW196" s="46"/>
      <c r="VHX196" s="46"/>
      <c r="VHY196" s="46"/>
      <c r="VHZ196" s="46"/>
      <c r="VIA196" s="46"/>
      <c r="VIB196" s="46"/>
      <c r="VIC196" s="46"/>
      <c r="VID196" s="46"/>
      <c r="VIE196" s="46"/>
      <c r="VIF196" s="46"/>
      <c r="VIG196" s="46"/>
      <c r="VIH196" s="46"/>
      <c r="VII196" s="46"/>
      <c r="VIJ196" s="46"/>
      <c r="VIK196" s="46"/>
      <c r="VIL196" s="46"/>
      <c r="VIM196" s="46"/>
      <c r="VIN196" s="46"/>
      <c r="VIO196" s="46"/>
      <c r="VIP196" s="46"/>
      <c r="VIQ196" s="46"/>
      <c r="VIR196" s="46"/>
      <c r="VIS196" s="46"/>
      <c r="VIT196" s="46"/>
      <c r="VIU196" s="46"/>
      <c r="VIV196" s="46"/>
      <c r="VIW196" s="46"/>
      <c r="VIX196" s="46"/>
      <c r="VIY196" s="46"/>
      <c r="VIZ196" s="46"/>
      <c r="VJA196" s="46"/>
      <c r="VJB196" s="46"/>
      <c r="VJC196" s="46"/>
      <c r="VJD196" s="46"/>
      <c r="VJE196" s="46"/>
      <c r="VJF196" s="46"/>
      <c r="VJG196" s="46"/>
      <c r="VJH196" s="46"/>
      <c r="VJI196" s="46"/>
      <c r="VJJ196" s="46"/>
      <c r="VJK196" s="46"/>
      <c r="VJL196" s="46"/>
      <c r="VJM196" s="46"/>
      <c r="VJN196" s="46"/>
      <c r="VJO196" s="46"/>
      <c r="VJP196" s="46"/>
      <c r="VJQ196" s="46"/>
      <c r="VJR196" s="46"/>
      <c r="VJS196" s="46"/>
      <c r="VJT196" s="46"/>
      <c r="VJU196" s="46"/>
      <c r="VJV196" s="46"/>
      <c r="VJW196" s="46"/>
      <c r="VJX196" s="46"/>
      <c r="VJY196" s="46"/>
      <c r="VJZ196" s="46"/>
      <c r="VKA196" s="46"/>
      <c r="VKB196" s="46"/>
      <c r="VKC196" s="46"/>
      <c r="VKD196" s="46"/>
      <c r="VKE196" s="46"/>
      <c r="VKF196" s="46"/>
      <c r="VKG196" s="46"/>
      <c r="VKH196" s="46"/>
      <c r="VKI196" s="46"/>
      <c r="VKJ196" s="46"/>
      <c r="VKK196" s="46"/>
      <c r="VKL196" s="46"/>
      <c r="VKM196" s="46"/>
      <c r="VKN196" s="46"/>
      <c r="VKO196" s="46"/>
      <c r="VKP196" s="46"/>
      <c r="VKQ196" s="46"/>
      <c r="VKR196" s="46"/>
      <c r="VKS196" s="46"/>
      <c r="VKT196" s="46"/>
      <c r="VKU196" s="46"/>
      <c r="VKV196" s="46"/>
      <c r="VKW196" s="46"/>
      <c r="VKX196" s="46"/>
      <c r="VKY196" s="46"/>
      <c r="VKZ196" s="46"/>
      <c r="VLA196" s="46"/>
      <c r="VLB196" s="46"/>
      <c r="VLC196" s="46"/>
      <c r="VLD196" s="46"/>
      <c r="VLE196" s="46"/>
      <c r="VLF196" s="46"/>
      <c r="VLG196" s="46"/>
      <c r="VLH196" s="46"/>
      <c r="VLI196" s="46"/>
      <c r="VLJ196" s="46"/>
      <c r="VLK196" s="46"/>
      <c r="VLL196" s="46"/>
      <c r="VLM196" s="46"/>
      <c r="VLN196" s="46"/>
      <c r="VLO196" s="46"/>
      <c r="VLP196" s="46"/>
      <c r="VLQ196" s="46"/>
      <c r="VLR196" s="46"/>
      <c r="VLS196" s="46"/>
      <c r="VLT196" s="46"/>
      <c r="VLU196" s="46"/>
      <c r="VLV196" s="46"/>
      <c r="VLW196" s="46"/>
      <c r="VLX196" s="46"/>
      <c r="VLY196" s="46"/>
      <c r="VLZ196" s="46"/>
      <c r="VMA196" s="46"/>
      <c r="VMB196" s="46"/>
      <c r="VMC196" s="46"/>
      <c r="VMD196" s="46"/>
      <c r="VME196" s="46"/>
      <c r="VMF196" s="46"/>
      <c r="VMG196" s="46"/>
      <c r="VMH196" s="46"/>
      <c r="VMI196" s="46"/>
      <c r="VMJ196" s="46"/>
      <c r="VMK196" s="46"/>
      <c r="VML196" s="46"/>
      <c r="VMM196" s="46"/>
      <c r="VMN196" s="46"/>
      <c r="VMO196" s="46"/>
      <c r="VMP196" s="46"/>
      <c r="VMQ196" s="46"/>
      <c r="VMR196" s="46"/>
      <c r="VMS196" s="46"/>
      <c r="VMT196" s="46"/>
      <c r="VMU196" s="46"/>
      <c r="VMV196" s="46"/>
      <c r="VMW196" s="46"/>
      <c r="VMX196" s="46"/>
      <c r="VMY196" s="46"/>
      <c r="VMZ196" s="46"/>
      <c r="VNA196" s="46"/>
      <c r="VNB196" s="46"/>
      <c r="VNC196" s="46"/>
      <c r="VND196" s="46"/>
      <c r="VNE196" s="46"/>
      <c r="VNF196" s="46"/>
      <c r="VNG196" s="46"/>
      <c r="VNH196" s="46"/>
      <c r="VNI196" s="46"/>
      <c r="VNJ196" s="46"/>
      <c r="VNK196" s="46"/>
      <c r="VNL196" s="46"/>
      <c r="VNM196" s="46"/>
      <c r="VNN196" s="46"/>
      <c r="VNO196" s="46"/>
      <c r="VNP196" s="46"/>
      <c r="VNQ196" s="46"/>
      <c r="VNR196" s="46"/>
      <c r="VNS196" s="46"/>
      <c r="VNT196" s="46"/>
      <c r="VNU196" s="46"/>
      <c r="VNV196" s="46"/>
      <c r="VNW196" s="46"/>
      <c r="VNX196" s="46"/>
      <c r="VNY196" s="46"/>
      <c r="VNZ196" s="46"/>
      <c r="VOA196" s="46"/>
      <c r="VOB196" s="46"/>
      <c r="VOC196" s="46"/>
      <c r="VOD196" s="46"/>
      <c r="VOE196" s="46"/>
      <c r="VOF196" s="46"/>
      <c r="VOG196" s="46"/>
      <c r="VOH196" s="46"/>
      <c r="VOI196" s="46"/>
      <c r="VOJ196" s="46"/>
      <c r="VOK196" s="46"/>
      <c r="VOL196" s="46"/>
      <c r="VOM196" s="46"/>
      <c r="VON196" s="46"/>
      <c r="VOO196" s="46"/>
      <c r="VOP196" s="46"/>
      <c r="VOQ196" s="46"/>
      <c r="VOR196" s="46"/>
      <c r="VOS196" s="46"/>
      <c r="VOT196" s="46"/>
      <c r="VOU196" s="46"/>
      <c r="VOV196" s="46"/>
      <c r="VOW196" s="46"/>
      <c r="VOX196" s="46"/>
      <c r="VOY196" s="46"/>
      <c r="VOZ196" s="46"/>
      <c r="VPA196" s="46"/>
      <c r="VPB196" s="46"/>
      <c r="VPC196" s="46"/>
      <c r="VPD196" s="46"/>
      <c r="VPE196" s="46"/>
      <c r="VPF196" s="46"/>
      <c r="VPG196" s="46"/>
      <c r="VPH196" s="46"/>
      <c r="VPI196" s="46"/>
      <c r="VPJ196" s="46"/>
      <c r="VPK196" s="46"/>
      <c r="VPL196" s="46"/>
      <c r="VPM196" s="46"/>
      <c r="VPN196" s="46"/>
      <c r="VPO196" s="46"/>
      <c r="VPP196" s="46"/>
      <c r="VPQ196" s="46"/>
      <c r="VPR196" s="46"/>
      <c r="VPS196" s="46"/>
      <c r="VPT196" s="46"/>
      <c r="VPU196" s="46"/>
      <c r="VPV196" s="46"/>
      <c r="VPW196" s="46"/>
      <c r="VPX196" s="46"/>
      <c r="VPY196" s="46"/>
      <c r="VPZ196" s="46"/>
      <c r="VQA196" s="46"/>
      <c r="VQB196" s="46"/>
      <c r="VQC196" s="46"/>
      <c r="VQD196" s="46"/>
      <c r="VQE196" s="46"/>
      <c r="VQF196" s="46"/>
      <c r="VQG196" s="46"/>
      <c r="VQH196" s="46"/>
      <c r="VQI196" s="46"/>
      <c r="VQJ196" s="46"/>
      <c r="VQK196" s="46"/>
      <c r="VQL196" s="46"/>
      <c r="VQM196" s="46"/>
      <c r="VQN196" s="46"/>
      <c r="VQO196" s="46"/>
      <c r="VQP196" s="46"/>
      <c r="VQQ196" s="46"/>
      <c r="VQR196" s="46"/>
      <c r="VQS196" s="46"/>
      <c r="VQT196" s="46"/>
      <c r="VQU196" s="46"/>
      <c r="VQV196" s="46"/>
      <c r="VQW196" s="46"/>
      <c r="VQX196" s="46"/>
      <c r="VQY196" s="46"/>
      <c r="VQZ196" s="46"/>
      <c r="VRA196" s="46"/>
      <c r="VRB196" s="46"/>
      <c r="VRC196" s="46"/>
      <c r="VRD196" s="46"/>
      <c r="VRE196" s="46"/>
      <c r="VRF196" s="46"/>
      <c r="VRG196" s="46"/>
      <c r="VRH196" s="46"/>
      <c r="VRI196" s="46"/>
      <c r="VRJ196" s="46"/>
      <c r="VRK196" s="46"/>
      <c r="VRL196" s="46"/>
      <c r="VRM196" s="46"/>
      <c r="VRN196" s="46"/>
      <c r="VRO196" s="46"/>
      <c r="VRP196" s="46"/>
      <c r="VRQ196" s="46"/>
      <c r="VRR196" s="46"/>
      <c r="VRS196" s="46"/>
      <c r="VRT196" s="46"/>
      <c r="VRU196" s="46"/>
      <c r="VRV196" s="46"/>
      <c r="VRW196" s="46"/>
      <c r="VRX196" s="46"/>
      <c r="VRY196" s="46"/>
      <c r="VRZ196" s="46"/>
      <c r="VSA196" s="46"/>
      <c r="VSB196" s="46"/>
      <c r="VSC196" s="46"/>
      <c r="VSD196" s="46"/>
      <c r="VSE196" s="46"/>
      <c r="VSF196" s="46"/>
      <c r="VSG196" s="46"/>
      <c r="VSH196" s="46"/>
      <c r="VSI196" s="46"/>
      <c r="VSJ196" s="46"/>
      <c r="VSK196" s="46"/>
      <c r="VSL196" s="46"/>
      <c r="VSM196" s="46"/>
      <c r="VSN196" s="46"/>
      <c r="VSO196" s="46"/>
      <c r="VSP196" s="46"/>
      <c r="VSQ196" s="46"/>
      <c r="VSR196" s="46"/>
      <c r="VSS196" s="46"/>
      <c r="VST196" s="46"/>
      <c r="VSU196" s="46"/>
      <c r="VSV196" s="46"/>
      <c r="VSW196" s="46"/>
      <c r="VSX196" s="46"/>
      <c r="VSY196" s="46"/>
      <c r="VSZ196" s="46"/>
      <c r="VTA196" s="46"/>
      <c r="VTB196" s="46"/>
      <c r="VTC196" s="46"/>
      <c r="VTD196" s="46"/>
      <c r="VTE196" s="46"/>
      <c r="VTF196" s="46"/>
      <c r="VTG196" s="46"/>
      <c r="VTH196" s="46"/>
      <c r="VTI196" s="46"/>
      <c r="VTJ196" s="46"/>
      <c r="VTK196" s="46"/>
      <c r="VTL196" s="46"/>
      <c r="VTM196" s="46"/>
      <c r="VTN196" s="46"/>
      <c r="VTO196" s="46"/>
      <c r="VTP196" s="46"/>
      <c r="VTQ196" s="46"/>
      <c r="VTR196" s="46"/>
      <c r="VTS196" s="46"/>
      <c r="VTT196" s="46"/>
      <c r="VTU196" s="46"/>
      <c r="VTV196" s="46"/>
      <c r="VTW196" s="46"/>
      <c r="VTX196" s="46"/>
      <c r="VTY196" s="46"/>
      <c r="VTZ196" s="46"/>
    </row>
    <row r="197" spans="3:60 15026:15418" s="1" customFormat="1" ht="15" hidden="1" customHeight="1" x14ac:dyDescent="0.25">
      <c r="C197" s="15"/>
      <c r="D197" s="30" t="s">
        <v>29</v>
      </c>
      <c r="E197" s="60"/>
      <c r="F197" s="1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6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L197" s="63" t="s">
        <v>29</v>
      </c>
      <c r="BH197" s="142"/>
    </row>
    <row r="198" spans="3:60 15026:15418" s="1" customFormat="1" ht="15" hidden="1" customHeight="1" x14ac:dyDescent="0.25">
      <c r="C198" s="15"/>
      <c r="D198" s="11" t="s">
        <v>116</v>
      </c>
      <c r="E198" s="126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64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/>
      <c r="AJ198" s="34" t="e">
        <v>#DIV/0!</v>
      </c>
      <c r="AL198" s="63"/>
      <c r="BH198" s="142"/>
    </row>
    <row r="199" spans="3:60 15026:15418" s="1" customFormat="1" ht="15" hidden="1" customHeight="1" x14ac:dyDescent="0.25">
      <c r="C199" s="15"/>
      <c r="D199" s="11" t="s">
        <v>27</v>
      </c>
      <c r="E199" s="126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64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/>
      <c r="AJ199" s="34" t="e">
        <v>#DIV/0!</v>
      </c>
      <c r="AL199" s="58" t="e">
        <v>#DIV/0!</v>
      </c>
      <c r="BH199" s="142"/>
    </row>
    <row r="200" spans="3:60 15026:15418" s="1" customFormat="1" ht="15" hidden="1" customHeight="1" x14ac:dyDescent="0.25">
      <c r="C200" s="15"/>
      <c r="D200" s="11" t="s">
        <v>26</v>
      </c>
      <c r="E200" s="126">
        <v>0.3</v>
      </c>
      <c r="F200" s="20" t="s">
        <v>25</v>
      </c>
      <c r="G200" s="34" t="e">
        <v>#DIV/0!</v>
      </c>
      <c r="H200" s="34" t="e">
        <v>#DIV/0!</v>
      </c>
      <c r="I200" s="34" t="e">
        <v>#DIV/0!</v>
      </c>
      <c r="J200" s="34" t="e">
        <v>#DIV/0!</v>
      </c>
      <c r="K200" s="34" t="e">
        <v>#DIV/0!</v>
      </c>
      <c r="L200" s="34" t="e">
        <v>#DIV/0!</v>
      </c>
      <c r="M200" s="34" t="e">
        <v>#DIV/0!</v>
      </c>
      <c r="N200" s="34" t="e">
        <v>#DIV/0!</v>
      </c>
      <c r="O200" s="34" t="e">
        <v>#DIV/0!</v>
      </c>
      <c r="P200" s="34" t="e">
        <v>#DIV/0!</v>
      </c>
      <c r="Q200" s="34" t="e">
        <v>#DIV/0!</v>
      </c>
      <c r="R200" s="34" t="e">
        <v>#DIV/0!</v>
      </c>
      <c r="S200" s="1964" t="e">
        <v>#DIV/0!</v>
      </c>
      <c r="T200" s="34" t="e">
        <v>#DIV/0!</v>
      </c>
      <c r="U200" s="34" t="e">
        <v>#DIV/0!</v>
      </c>
      <c r="V200" s="34" t="e">
        <v>#DIV/0!</v>
      </c>
      <c r="W200" s="34" t="e">
        <v>#DIV/0!</v>
      </c>
      <c r="X200" s="34" t="e">
        <v>#DIV/0!</v>
      </c>
      <c r="Y200" s="34" t="e">
        <v>#DIV/0!</v>
      </c>
      <c r="Z200" s="34" t="e">
        <v>#DIV/0!</v>
      </c>
      <c r="AA200" s="34" t="e">
        <v>#DIV/0!</v>
      </c>
      <c r="AB200" s="34" t="e">
        <v>#DIV/0!</v>
      </c>
      <c r="AC200" s="34" t="e">
        <v>#DIV/0!</v>
      </c>
      <c r="AD200" s="34" t="e">
        <v>#DIV/0!</v>
      </c>
      <c r="AE200" s="34" t="e">
        <v>#DIV/0!</v>
      </c>
      <c r="AF200" s="34" t="e">
        <v>#DIV/0!</v>
      </c>
      <c r="AG200" s="34" t="e">
        <v>#DIV/0!</v>
      </c>
      <c r="AH200" s="34" t="e">
        <v>#DIV/0!</v>
      </c>
      <c r="AI200" s="34"/>
      <c r="AJ200" s="34" t="e">
        <v>#DIV/0!</v>
      </c>
      <c r="AL200" s="58" t="e">
        <v>#DIV/0!</v>
      </c>
      <c r="BH200" s="142"/>
    </row>
    <row r="201" spans="3:60 15026:15418" s="1" customFormat="1" ht="15" hidden="1" customHeight="1" x14ac:dyDescent="0.25">
      <c r="C201" s="15"/>
      <c r="D201" s="30" t="s">
        <v>28</v>
      </c>
      <c r="E201" s="126"/>
      <c r="F201" s="13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196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L201" s="63" t="s">
        <v>28</v>
      </c>
      <c r="BH201" s="142"/>
    </row>
    <row r="202" spans="3:60 15026:15418" s="1" customFormat="1" ht="15" hidden="1" customHeight="1" x14ac:dyDescent="0.25">
      <c r="C202" s="15"/>
      <c r="D202" s="11" t="s">
        <v>116</v>
      </c>
      <c r="E202" s="126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64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 t="e">
        <v>#DIV/0!</v>
      </c>
      <c r="AL202" s="63"/>
      <c r="BH202" s="142"/>
    </row>
    <row r="203" spans="3:60 15026:15418" s="1" customFormat="1" ht="15" hidden="1" customHeight="1" x14ac:dyDescent="0.25">
      <c r="C203" s="15"/>
      <c r="D203" s="11" t="s">
        <v>27</v>
      </c>
      <c r="E203" s="126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64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 t="e">
        <v>#DIV/0!</v>
      </c>
      <c r="AL203" s="58" t="e">
        <v>#DIV/0!</v>
      </c>
      <c r="BH203" s="142"/>
    </row>
    <row r="204" spans="3:60 15026:15418" s="1" customFormat="1" ht="15.75" hidden="1" customHeight="1" thickBot="1" x14ac:dyDescent="0.3">
      <c r="C204" s="19"/>
      <c r="D204" s="11" t="s">
        <v>26</v>
      </c>
      <c r="E204" s="126">
        <v>0.5</v>
      </c>
      <c r="F204" s="20" t="s">
        <v>25</v>
      </c>
      <c r="G204" s="34" t="e">
        <v>#DIV/0!</v>
      </c>
      <c r="H204" s="34" t="e">
        <v>#DIV/0!</v>
      </c>
      <c r="I204" s="34" t="e">
        <v>#DIV/0!</v>
      </c>
      <c r="J204" s="34" t="e">
        <v>#DIV/0!</v>
      </c>
      <c r="K204" s="34" t="e">
        <v>#DIV/0!</v>
      </c>
      <c r="L204" s="34" t="e">
        <v>#DIV/0!</v>
      </c>
      <c r="M204" s="34" t="e">
        <v>#DIV/0!</v>
      </c>
      <c r="N204" s="34" t="e">
        <v>#DIV/0!</v>
      </c>
      <c r="O204" s="34" t="e">
        <v>#DIV/0!</v>
      </c>
      <c r="P204" s="34" t="e">
        <v>#DIV/0!</v>
      </c>
      <c r="Q204" s="34" t="e">
        <v>#DIV/0!</v>
      </c>
      <c r="R204" s="34" t="e">
        <v>#DIV/0!</v>
      </c>
      <c r="S204" s="1964" t="e">
        <v>#DIV/0!</v>
      </c>
      <c r="T204" s="34" t="e">
        <v>#DIV/0!</v>
      </c>
      <c r="U204" s="34" t="e">
        <v>#DIV/0!</v>
      </c>
      <c r="V204" s="34" t="e">
        <v>#DIV/0!</v>
      </c>
      <c r="W204" s="34" t="e">
        <v>#DIV/0!</v>
      </c>
      <c r="X204" s="34" t="e">
        <v>#DIV/0!</v>
      </c>
      <c r="Y204" s="34" t="e">
        <v>#DIV/0!</v>
      </c>
      <c r="Z204" s="34" t="e">
        <v>#DIV/0!</v>
      </c>
      <c r="AA204" s="34" t="e">
        <v>#DIV/0!</v>
      </c>
      <c r="AB204" s="34" t="e">
        <v>#DIV/0!</v>
      </c>
      <c r="AC204" s="34" t="e">
        <v>#DIV/0!</v>
      </c>
      <c r="AD204" s="34" t="e">
        <v>#DIV/0!</v>
      </c>
      <c r="AE204" s="34" t="e">
        <v>#DIV/0!</v>
      </c>
      <c r="AF204" s="34" t="e">
        <v>#DIV/0!</v>
      </c>
      <c r="AG204" s="34" t="e">
        <v>#DIV/0!</v>
      </c>
      <c r="AH204" s="34" t="e">
        <v>#DIV/0!</v>
      </c>
      <c r="AI204" s="34"/>
      <c r="AJ204" s="34" t="e">
        <v>#DIV/0!</v>
      </c>
      <c r="AL204" s="58" t="e">
        <v>#DIV/0!</v>
      </c>
      <c r="BH204" s="142"/>
    </row>
    <row r="205" spans="3:60 15026:15418" s="1" customFormat="1" ht="15" hidden="1" customHeight="1" x14ac:dyDescent="0.25">
      <c r="C205" s="8">
        <v>7</v>
      </c>
      <c r="D205" s="47" t="s">
        <v>87</v>
      </c>
      <c r="E205" s="127"/>
      <c r="F205" s="128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1979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  <c r="AK205" s="129"/>
      <c r="AL205" s="78" t="s">
        <v>130</v>
      </c>
    </row>
    <row r="206" spans="3:60 15026:15418" s="1" customFormat="1" ht="15" hidden="1" customHeight="1" x14ac:dyDescent="0.25">
      <c r="C206" s="15"/>
      <c r="D206" s="26" t="s">
        <v>92</v>
      </c>
      <c r="E206" s="126"/>
      <c r="F206" s="20" t="s">
        <v>14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1965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18"/>
      <c r="AL206" s="89">
        <v>0</v>
      </c>
    </row>
    <row r="207" spans="3:60 15026:15418" s="1" customFormat="1" ht="15" hidden="1" customHeight="1" x14ac:dyDescent="0.25">
      <c r="C207" s="15"/>
      <c r="D207" s="11" t="s">
        <v>93</v>
      </c>
      <c r="E207" s="126"/>
      <c r="F207" s="20" t="s">
        <v>14</v>
      </c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196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18"/>
      <c r="AL207" s="89">
        <v>0</v>
      </c>
    </row>
    <row r="208" spans="3:60 15026:15418" s="1" customFormat="1" ht="15" hidden="1" customHeight="1" x14ac:dyDescent="0.25">
      <c r="C208" s="15"/>
      <c r="D208" s="11" t="s">
        <v>39</v>
      </c>
      <c r="E208" s="126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64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/>
      <c r="AJ208" s="34">
        <v>0</v>
      </c>
      <c r="AK208" s="18"/>
      <c r="AL208" s="89">
        <v>0</v>
      </c>
    </row>
    <row r="209" spans="3:38" s="1" customFormat="1" ht="15" hidden="1" customHeight="1" x14ac:dyDescent="0.25">
      <c r="C209" s="15"/>
      <c r="D209" s="11" t="s">
        <v>38</v>
      </c>
      <c r="E209" s="126"/>
      <c r="F209" s="20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64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/>
      <c r="AJ209" s="34">
        <v>0</v>
      </c>
      <c r="AK209" s="18"/>
      <c r="AL209" s="89">
        <v>0</v>
      </c>
    </row>
    <row r="210" spans="3:38" s="1" customFormat="1" ht="15" hidden="1" customHeight="1" x14ac:dyDescent="0.25">
      <c r="C210" s="15"/>
      <c r="D210" s="30" t="s">
        <v>50</v>
      </c>
      <c r="E210" s="126"/>
      <c r="F210" s="13" t="s">
        <v>14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1964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4">
        <v>0</v>
      </c>
      <c r="AH210" s="34">
        <v>0</v>
      </c>
      <c r="AI210" s="34"/>
      <c r="AJ210" s="34">
        <v>0</v>
      </c>
      <c r="AK210" s="18"/>
      <c r="AL210" s="58">
        <v>0</v>
      </c>
    </row>
    <row r="211" spans="3:38" s="1" customFormat="1" ht="15" hidden="1" customHeight="1" x14ac:dyDescent="0.25">
      <c r="C211" s="15"/>
      <c r="D211" s="11" t="s">
        <v>29</v>
      </c>
      <c r="E211" s="126"/>
      <c r="F211" s="20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196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18"/>
      <c r="AL211" s="58" t="s">
        <v>29</v>
      </c>
    </row>
    <row r="212" spans="3:38" s="1" customFormat="1" ht="15" hidden="1" customHeight="1" x14ac:dyDescent="0.25">
      <c r="C212" s="15"/>
      <c r="D212" s="11" t="s">
        <v>88</v>
      </c>
      <c r="E212" s="126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6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18"/>
      <c r="AL212" s="91">
        <v>0</v>
      </c>
    </row>
    <row r="213" spans="3:38" s="1" customFormat="1" ht="15" hidden="1" customHeight="1" x14ac:dyDescent="0.25">
      <c r="C213" s="15"/>
      <c r="D213" s="11" t="s">
        <v>117</v>
      </c>
      <c r="E213" s="126"/>
      <c r="F213" s="20" t="s">
        <v>31</v>
      </c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196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18"/>
      <c r="AL213" s="91">
        <v>0</v>
      </c>
    </row>
    <row r="214" spans="3:38" s="1" customFormat="1" ht="15" hidden="1" customHeight="1" x14ac:dyDescent="0.25">
      <c r="C214" s="15"/>
      <c r="D214" s="38" t="s">
        <v>28</v>
      </c>
      <c r="E214" s="126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6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18"/>
      <c r="AL214" s="58" t="s">
        <v>28</v>
      </c>
    </row>
    <row r="215" spans="3:38" s="1" customFormat="1" ht="15" hidden="1" customHeight="1" x14ac:dyDescent="0.25">
      <c r="C215" s="15"/>
      <c r="D215" s="11" t="s">
        <v>88</v>
      </c>
      <c r="E215" s="126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63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/>
      <c r="AJ215" s="33">
        <v>0</v>
      </c>
      <c r="AK215" s="6"/>
      <c r="AL215" s="54">
        <v>0</v>
      </c>
    </row>
    <row r="216" spans="3:38" s="1" customFormat="1" ht="15" hidden="1" customHeight="1" x14ac:dyDescent="0.25">
      <c r="C216" s="15"/>
      <c r="D216" s="11" t="s">
        <v>117</v>
      </c>
      <c r="E216" s="126"/>
      <c r="F216" s="20" t="s">
        <v>28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63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/>
      <c r="AJ216" s="33">
        <v>0</v>
      </c>
      <c r="AK216" s="6"/>
      <c r="AL216" s="54"/>
    </row>
    <row r="217" spans="3:38" s="1" customFormat="1" ht="15" hidden="1" customHeight="1" x14ac:dyDescent="0.25">
      <c r="C217" s="15"/>
      <c r="D217" s="11" t="s">
        <v>36</v>
      </c>
      <c r="E217" s="126"/>
      <c r="F217" s="20" t="s">
        <v>35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6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/>
      <c r="AJ217" s="33">
        <v>0</v>
      </c>
      <c r="AK217" s="6"/>
      <c r="AL217" s="54">
        <v>0</v>
      </c>
    </row>
    <row r="218" spans="3:38" s="1" customFormat="1" ht="15" hidden="1" customHeight="1" x14ac:dyDescent="0.25">
      <c r="C218" s="15"/>
      <c r="D218" s="11" t="s">
        <v>34</v>
      </c>
      <c r="E218" s="126"/>
      <c r="F218" s="20" t="s">
        <v>33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6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>
        <v>0</v>
      </c>
      <c r="AK218" s="6"/>
      <c r="AL218" s="96">
        <v>0</v>
      </c>
    </row>
    <row r="219" spans="3:38" s="1" customFormat="1" ht="15" hidden="1" customHeight="1" x14ac:dyDescent="0.25">
      <c r="C219" s="15"/>
      <c r="D219" s="47" t="s">
        <v>32</v>
      </c>
      <c r="E219" s="127"/>
      <c r="F219" s="92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  <c r="AG219" s="287"/>
      <c r="AH219" s="287"/>
      <c r="AI219" s="287"/>
      <c r="AJ219" s="287"/>
      <c r="AK219" s="97"/>
      <c r="AL219" s="98" t="s">
        <v>131</v>
      </c>
    </row>
    <row r="220" spans="3:38" s="1" customFormat="1" ht="15" hidden="1" customHeight="1" x14ac:dyDescent="0.25">
      <c r="C220" s="15"/>
      <c r="D220" s="11" t="s">
        <v>29</v>
      </c>
      <c r="E220" s="126"/>
      <c r="F220" s="20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196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18"/>
      <c r="AL220" s="58"/>
    </row>
    <row r="221" spans="3:38" s="1" customFormat="1" ht="15" hidden="1" customHeight="1" x14ac:dyDescent="0.25">
      <c r="C221" s="15"/>
      <c r="D221" s="11" t="s">
        <v>88</v>
      </c>
      <c r="E221" s="126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6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18"/>
      <c r="AL221" s="91">
        <v>0</v>
      </c>
    </row>
    <row r="222" spans="3:38" s="1" customFormat="1" ht="15" hidden="1" customHeight="1" x14ac:dyDescent="0.25">
      <c r="C222" s="15"/>
      <c r="D222" s="11" t="s">
        <v>117</v>
      </c>
      <c r="E222" s="126"/>
      <c r="F222" s="20" t="s">
        <v>31</v>
      </c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196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18"/>
      <c r="AL222" s="91">
        <v>0</v>
      </c>
    </row>
    <row r="223" spans="3:38" s="1" customFormat="1" ht="15" hidden="1" customHeight="1" x14ac:dyDescent="0.25">
      <c r="C223" s="15"/>
      <c r="D223" s="11" t="s">
        <v>28</v>
      </c>
      <c r="E223" s="126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6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18"/>
      <c r="AL223" s="58"/>
    </row>
    <row r="224" spans="3:38" s="1" customFormat="1" ht="15" hidden="1" customHeight="1" x14ac:dyDescent="0.25">
      <c r="C224" s="15"/>
      <c r="D224" s="11" t="s">
        <v>88</v>
      </c>
      <c r="E224" s="126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6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/>
      <c r="AJ224" s="33">
        <v>0</v>
      </c>
      <c r="AK224" s="18"/>
      <c r="AL224" s="91">
        <v>0</v>
      </c>
    </row>
    <row r="225" spans="3:60 15026:15418" s="1" customFormat="1" ht="15" hidden="1" customHeight="1" x14ac:dyDescent="0.25">
      <c r="C225" s="15"/>
      <c r="D225" s="11" t="s">
        <v>117</v>
      </c>
      <c r="E225" s="126"/>
      <c r="F225" s="20" t="s">
        <v>28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1963">
        <v>0</v>
      </c>
      <c r="T225" s="33">
        <v>0</v>
      </c>
      <c r="U225" s="33">
        <v>0</v>
      </c>
      <c r="V225" s="33">
        <v>0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0</v>
      </c>
      <c r="AC225" s="33">
        <v>0</v>
      </c>
      <c r="AD225" s="33">
        <v>0</v>
      </c>
      <c r="AE225" s="33">
        <v>0</v>
      </c>
      <c r="AF225" s="33">
        <v>0</v>
      </c>
      <c r="AG225" s="33">
        <v>0</v>
      </c>
      <c r="AH225" s="33">
        <v>0</v>
      </c>
      <c r="AI225" s="33"/>
      <c r="AJ225" s="33">
        <v>0</v>
      </c>
      <c r="AK225" s="18"/>
      <c r="AL225" s="91">
        <v>0</v>
      </c>
    </row>
    <row r="226" spans="3:60 15026:15418" s="1" customFormat="1" ht="15" hidden="1" customHeight="1" x14ac:dyDescent="0.25">
      <c r="C226" s="15"/>
      <c r="D226" s="47" t="s">
        <v>30</v>
      </c>
      <c r="E226" s="130"/>
      <c r="F226" s="99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1969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2"/>
      <c r="AI226" s="272"/>
      <c r="AJ226" s="272"/>
      <c r="AK226" s="18"/>
      <c r="AL226" s="78" t="s">
        <v>131</v>
      </c>
    </row>
    <row r="227" spans="3:60 15026:15418" s="1" customFormat="1" ht="15" hidden="1" customHeight="1" x14ac:dyDescent="0.25">
      <c r="C227" s="15"/>
      <c r="D227" s="30" t="s">
        <v>29</v>
      </c>
      <c r="E227" s="126"/>
      <c r="F227" s="20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6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18"/>
      <c r="AL227" s="91"/>
    </row>
    <row r="228" spans="3:60 15026:15418" s="1" customFormat="1" ht="15" hidden="1" customHeight="1" x14ac:dyDescent="0.25">
      <c r="C228" s="15"/>
      <c r="D228" s="11" t="s">
        <v>88</v>
      </c>
      <c r="E228" s="126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63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/>
      <c r="AJ228" s="33" t="e">
        <v>#DIV/0!</v>
      </c>
      <c r="AK228" s="18"/>
      <c r="AL228" s="100" t="e">
        <v>#DIV/0!</v>
      </c>
    </row>
    <row r="229" spans="3:60 15026:15418" s="1" customFormat="1" ht="15" hidden="1" customHeight="1" x14ac:dyDescent="0.25">
      <c r="C229" s="15"/>
      <c r="D229" s="11" t="s">
        <v>117</v>
      </c>
      <c r="E229" s="126">
        <v>0.3</v>
      </c>
      <c r="F229" s="20" t="s">
        <v>25</v>
      </c>
      <c r="G229" s="33" t="e">
        <v>#DIV/0!</v>
      </c>
      <c r="H229" s="33" t="e">
        <v>#DIV/0!</v>
      </c>
      <c r="I229" s="33" t="e">
        <v>#DIV/0!</v>
      </c>
      <c r="J229" s="33" t="e">
        <v>#DIV/0!</v>
      </c>
      <c r="K229" s="33" t="e">
        <v>#DIV/0!</v>
      </c>
      <c r="L229" s="33" t="e">
        <v>#DIV/0!</v>
      </c>
      <c r="M229" s="33" t="e">
        <v>#DIV/0!</v>
      </c>
      <c r="N229" s="33" t="e">
        <v>#DIV/0!</v>
      </c>
      <c r="O229" s="33" t="e">
        <v>#DIV/0!</v>
      </c>
      <c r="P229" s="33" t="e">
        <v>#DIV/0!</v>
      </c>
      <c r="Q229" s="33" t="e">
        <v>#DIV/0!</v>
      </c>
      <c r="R229" s="33" t="e">
        <v>#DIV/0!</v>
      </c>
      <c r="S229" s="1963" t="e">
        <v>#DIV/0!</v>
      </c>
      <c r="T229" s="33" t="e">
        <v>#DIV/0!</v>
      </c>
      <c r="U229" s="33" t="e">
        <v>#DIV/0!</v>
      </c>
      <c r="V229" s="33" t="e">
        <v>#DIV/0!</v>
      </c>
      <c r="W229" s="33" t="e">
        <v>#DIV/0!</v>
      </c>
      <c r="X229" s="33" t="e">
        <v>#DIV/0!</v>
      </c>
      <c r="Y229" s="33" t="e">
        <v>#DIV/0!</v>
      </c>
      <c r="Z229" s="33" t="e">
        <v>#DIV/0!</v>
      </c>
      <c r="AA229" s="33" t="e">
        <v>#DIV/0!</v>
      </c>
      <c r="AB229" s="33" t="e">
        <v>#DIV/0!</v>
      </c>
      <c r="AC229" s="33" t="e">
        <v>#DIV/0!</v>
      </c>
      <c r="AD229" s="33" t="e">
        <v>#DIV/0!</v>
      </c>
      <c r="AE229" s="33" t="e">
        <v>#DIV/0!</v>
      </c>
      <c r="AF229" s="33" t="e">
        <v>#DIV/0!</v>
      </c>
      <c r="AG229" s="33" t="e">
        <v>#DIV/0!</v>
      </c>
      <c r="AH229" s="33" t="e">
        <v>#DIV/0!</v>
      </c>
      <c r="AI229" s="33"/>
      <c r="AJ229" s="33" t="e">
        <v>#DIV/0!</v>
      </c>
      <c r="AK229" s="18"/>
      <c r="AL229" s="100" t="e">
        <v>#DIV/0!</v>
      </c>
    </row>
    <row r="230" spans="3:60 15026:15418" s="1" customFormat="1" ht="15" hidden="1" customHeight="1" x14ac:dyDescent="0.25">
      <c r="C230" s="15"/>
      <c r="D230" s="30" t="s">
        <v>28</v>
      </c>
      <c r="E230" s="126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6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18"/>
      <c r="AL230" s="91"/>
    </row>
    <row r="231" spans="3:60 15026:15418" s="1" customFormat="1" ht="15" hidden="1" customHeight="1" x14ac:dyDescent="0.25">
      <c r="C231" s="15"/>
      <c r="D231" s="11" t="s">
        <v>88</v>
      </c>
      <c r="E231" s="126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63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 t="e">
        <v>#DIV/0!</v>
      </c>
      <c r="AK231" s="18"/>
      <c r="AL231" s="58" t="e">
        <v>#DIV/0!</v>
      </c>
    </row>
    <row r="232" spans="3:60 15026:15418" s="1" customFormat="1" ht="15" hidden="1" customHeight="1" x14ac:dyDescent="0.25">
      <c r="C232" s="15"/>
      <c r="D232" s="11" t="s">
        <v>117</v>
      </c>
      <c r="E232" s="126">
        <v>0.5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63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 t="e">
        <v>#DIV/0!</v>
      </c>
      <c r="AK232" s="18"/>
      <c r="AL232" s="58" t="e">
        <v>#DIV/0!</v>
      </c>
    </row>
    <row r="233" spans="3:60 15026:15418" s="1" customFormat="1" ht="15" hidden="1" customHeight="1" x14ac:dyDescent="0.25">
      <c r="C233" s="15"/>
      <c r="D233" s="101" t="s">
        <v>94</v>
      </c>
      <c r="E233" s="131"/>
      <c r="F233" s="102" t="s">
        <v>14</v>
      </c>
      <c r="G233" s="288">
        <v>0</v>
      </c>
      <c r="H233" s="288">
        <v>0</v>
      </c>
      <c r="I233" s="288">
        <v>0</v>
      </c>
      <c r="J233" s="288">
        <v>0</v>
      </c>
      <c r="K233" s="288">
        <v>0</v>
      </c>
      <c r="L233" s="288">
        <v>0</v>
      </c>
      <c r="M233" s="288">
        <v>0</v>
      </c>
      <c r="N233" s="288">
        <v>0</v>
      </c>
      <c r="O233" s="288">
        <v>0</v>
      </c>
      <c r="P233" s="288">
        <v>0</v>
      </c>
      <c r="Q233" s="288">
        <v>0</v>
      </c>
      <c r="R233" s="288">
        <v>0</v>
      </c>
      <c r="S233" s="1980">
        <v>0</v>
      </c>
      <c r="T233" s="288">
        <v>0</v>
      </c>
      <c r="U233" s="288">
        <v>0</v>
      </c>
      <c r="V233" s="288">
        <v>0</v>
      </c>
      <c r="W233" s="288">
        <v>0</v>
      </c>
      <c r="X233" s="288">
        <v>0</v>
      </c>
      <c r="Y233" s="288">
        <v>0</v>
      </c>
      <c r="Z233" s="288">
        <v>0</v>
      </c>
      <c r="AA233" s="288">
        <v>0</v>
      </c>
      <c r="AB233" s="288">
        <v>0</v>
      </c>
      <c r="AC233" s="288">
        <v>0</v>
      </c>
      <c r="AD233" s="288">
        <v>0</v>
      </c>
      <c r="AE233" s="288">
        <v>0</v>
      </c>
      <c r="AF233" s="288">
        <v>0</v>
      </c>
      <c r="AG233" s="288">
        <v>0</v>
      </c>
      <c r="AH233" s="288">
        <v>0</v>
      </c>
      <c r="AI233" s="288"/>
      <c r="AJ233" s="288">
        <v>0</v>
      </c>
      <c r="AK233" s="132"/>
      <c r="AL233" s="103">
        <v>0</v>
      </c>
    </row>
    <row r="234" spans="3:60 15026:15418" s="1" customFormat="1" ht="15" hidden="1" customHeight="1" x14ac:dyDescent="0.25">
      <c r="C234" s="15"/>
      <c r="D234" s="71" t="s">
        <v>118</v>
      </c>
      <c r="E234" s="133"/>
      <c r="F234" s="65" t="s">
        <v>14</v>
      </c>
      <c r="G234" s="289">
        <v>0</v>
      </c>
      <c r="H234" s="289">
        <v>0</v>
      </c>
      <c r="I234" s="289">
        <v>0</v>
      </c>
      <c r="J234" s="289">
        <v>0</v>
      </c>
      <c r="K234" s="289">
        <v>0</v>
      </c>
      <c r="L234" s="289">
        <v>0</v>
      </c>
      <c r="M234" s="289">
        <v>0</v>
      </c>
      <c r="N234" s="289">
        <v>0</v>
      </c>
      <c r="O234" s="289">
        <v>0</v>
      </c>
      <c r="P234" s="289">
        <v>0</v>
      </c>
      <c r="Q234" s="289">
        <v>0</v>
      </c>
      <c r="R234" s="289">
        <v>0</v>
      </c>
      <c r="S234" s="1981">
        <v>0</v>
      </c>
      <c r="T234" s="289">
        <v>0</v>
      </c>
      <c r="U234" s="289">
        <v>0</v>
      </c>
      <c r="V234" s="289">
        <v>0</v>
      </c>
      <c r="W234" s="289">
        <v>0</v>
      </c>
      <c r="X234" s="289">
        <v>0</v>
      </c>
      <c r="Y234" s="289">
        <v>0</v>
      </c>
      <c r="Z234" s="289">
        <v>0</v>
      </c>
      <c r="AA234" s="289">
        <v>0</v>
      </c>
      <c r="AB234" s="289">
        <v>0</v>
      </c>
      <c r="AC234" s="289">
        <v>0</v>
      </c>
      <c r="AD234" s="289">
        <v>0</v>
      </c>
      <c r="AE234" s="289">
        <v>0</v>
      </c>
      <c r="AF234" s="289">
        <v>0</v>
      </c>
      <c r="AG234" s="289">
        <v>0</v>
      </c>
      <c r="AH234" s="289">
        <v>0</v>
      </c>
      <c r="AI234" s="289"/>
      <c r="AJ234" s="289">
        <v>0</v>
      </c>
      <c r="AK234" s="132"/>
      <c r="AL234" s="57">
        <v>0</v>
      </c>
    </row>
    <row r="235" spans="3:60 15026:15418" s="1" customFormat="1" ht="15" hidden="1" customHeight="1" x14ac:dyDescent="0.25">
      <c r="C235" s="15"/>
      <c r="D235" s="104" t="s">
        <v>89</v>
      </c>
      <c r="E235" s="134"/>
      <c r="F235" s="105" t="s">
        <v>14</v>
      </c>
      <c r="G235" s="290">
        <v>0</v>
      </c>
      <c r="H235" s="290">
        <v>0</v>
      </c>
      <c r="I235" s="290">
        <v>0</v>
      </c>
      <c r="J235" s="290">
        <v>0</v>
      </c>
      <c r="K235" s="290">
        <v>0</v>
      </c>
      <c r="L235" s="290">
        <v>0</v>
      </c>
      <c r="M235" s="290">
        <v>0</v>
      </c>
      <c r="N235" s="290">
        <v>0</v>
      </c>
      <c r="O235" s="290">
        <v>0</v>
      </c>
      <c r="P235" s="290">
        <v>0</v>
      </c>
      <c r="Q235" s="290">
        <v>0</v>
      </c>
      <c r="R235" s="290">
        <v>0</v>
      </c>
      <c r="S235" s="1982">
        <v>0</v>
      </c>
      <c r="T235" s="290">
        <v>0</v>
      </c>
      <c r="U235" s="290">
        <v>0</v>
      </c>
      <c r="V235" s="290">
        <v>0</v>
      </c>
      <c r="W235" s="290">
        <v>0</v>
      </c>
      <c r="X235" s="290">
        <v>0</v>
      </c>
      <c r="Y235" s="290">
        <v>0</v>
      </c>
      <c r="Z235" s="290">
        <v>0</v>
      </c>
      <c r="AA235" s="290">
        <v>0</v>
      </c>
      <c r="AB235" s="290">
        <v>0</v>
      </c>
      <c r="AC235" s="290">
        <v>0</v>
      </c>
      <c r="AD235" s="290">
        <v>0</v>
      </c>
      <c r="AE235" s="290">
        <v>0</v>
      </c>
      <c r="AF235" s="290">
        <v>0</v>
      </c>
      <c r="AG235" s="290">
        <v>0</v>
      </c>
      <c r="AH235" s="290">
        <v>0</v>
      </c>
      <c r="AI235" s="290"/>
      <c r="AJ235" s="290">
        <v>0</v>
      </c>
      <c r="AK235" s="132"/>
      <c r="AL235" s="106">
        <v>0</v>
      </c>
    </row>
    <row r="236" spans="3:60 15026:15418" s="1" customFormat="1" ht="15" hidden="1" customHeight="1" x14ac:dyDescent="0.25">
      <c r="C236" s="15"/>
      <c r="D236" s="107" t="s">
        <v>90</v>
      </c>
      <c r="E236" s="135"/>
      <c r="F236" s="108" t="s">
        <v>86</v>
      </c>
      <c r="G236" s="291">
        <v>0</v>
      </c>
      <c r="H236" s="291">
        <v>0</v>
      </c>
      <c r="I236" s="291">
        <v>0</v>
      </c>
      <c r="J236" s="291">
        <v>0</v>
      </c>
      <c r="K236" s="291">
        <v>0</v>
      </c>
      <c r="L236" s="291">
        <v>0</v>
      </c>
      <c r="M236" s="291">
        <v>0</v>
      </c>
      <c r="N236" s="291">
        <v>0</v>
      </c>
      <c r="O236" s="291">
        <v>0</v>
      </c>
      <c r="P236" s="291">
        <v>0</v>
      </c>
      <c r="Q236" s="291">
        <v>0</v>
      </c>
      <c r="R236" s="291">
        <v>0</v>
      </c>
      <c r="S236" s="1983">
        <v>0</v>
      </c>
      <c r="T236" s="291">
        <v>0</v>
      </c>
      <c r="U236" s="291">
        <v>0</v>
      </c>
      <c r="V236" s="291">
        <v>0</v>
      </c>
      <c r="W236" s="291">
        <v>0</v>
      </c>
      <c r="X236" s="291">
        <v>0</v>
      </c>
      <c r="Y236" s="291">
        <v>0</v>
      </c>
      <c r="Z236" s="291">
        <v>0</v>
      </c>
      <c r="AA236" s="291">
        <v>0</v>
      </c>
      <c r="AB236" s="291">
        <v>0</v>
      </c>
      <c r="AC236" s="291">
        <v>0</v>
      </c>
      <c r="AD236" s="291">
        <v>0</v>
      </c>
      <c r="AE236" s="291">
        <v>0</v>
      </c>
      <c r="AF236" s="291">
        <v>0</v>
      </c>
      <c r="AG236" s="291">
        <v>0</v>
      </c>
      <c r="AH236" s="291">
        <v>0</v>
      </c>
      <c r="AI236" s="291"/>
      <c r="AJ236" s="291">
        <v>0</v>
      </c>
      <c r="AK236" s="132"/>
      <c r="AL236" s="109">
        <v>0</v>
      </c>
    </row>
    <row r="237" spans="3:60 15026:15418" s="1" customFormat="1" ht="15" hidden="1" customHeight="1" x14ac:dyDescent="0.25">
      <c r="C237" s="15"/>
      <c r="D237" s="110" t="s">
        <v>95</v>
      </c>
      <c r="E237" s="135"/>
      <c r="F237" s="111" t="s">
        <v>14</v>
      </c>
      <c r="G237" s="292">
        <v>0</v>
      </c>
      <c r="H237" s="292">
        <v>0</v>
      </c>
      <c r="I237" s="292">
        <v>0</v>
      </c>
      <c r="J237" s="292">
        <v>0</v>
      </c>
      <c r="K237" s="292">
        <v>0</v>
      </c>
      <c r="L237" s="292">
        <v>0</v>
      </c>
      <c r="M237" s="292">
        <v>0</v>
      </c>
      <c r="N237" s="292">
        <v>0</v>
      </c>
      <c r="O237" s="292">
        <v>0</v>
      </c>
      <c r="P237" s="292">
        <v>0</v>
      </c>
      <c r="Q237" s="292">
        <v>0</v>
      </c>
      <c r="R237" s="292">
        <v>0</v>
      </c>
      <c r="S237" s="1984">
        <v>0</v>
      </c>
      <c r="T237" s="292">
        <v>0</v>
      </c>
      <c r="U237" s="292">
        <v>0</v>
      </c>
      <c r="V237" s="292">
        <v>0</v>
      </c>
      <c r="W237" s="292">
        <v>0</v>
      </c>
      <c r="X237" s="292">
        <v>0</v>
      </c>
      <c r="Y237" s="292">
        <v>0</v>
      </c>
      <c r="Z237" s="292">
        <v>0</v>
      </c>
      <c r="AA237" s="292">
        <v>0</v>
      </c>
      <c r="AB237" s="292">
        <v>0</v>
      </c>
      <c r="AC237" s="292">
        <v>0</v>
      </c>
      <c r="AD237" s="292">
        <v>0</v>
      </c>
      <c r="AE237" s="292">
        <v>0</v>
      </c>
      <c r="AF237" s="292">
        <v>0</v>
      </c>
      <c r="AG237" s="292">
        <v>0</v>
      </c>
      <c r="AH237" s="292">
        <v>0</v>
      </c>
      <c r="AI237" s="292"/>
      <c r="AJ237" s="292">
        <v>0</v>
      </c>
      <c r="AK237" s="113"/>
      <c r="AL237" s="114">
        <v>0</v>
      </c>
    </row>
    <row r="238" spans="3:60 15026:15418" s="1" customFormat="1" x14ac:dyDescent="0.25">
      <c r="C238" s="8">
        <v>4</v>
      </c>
      <c r="D238" s="75" t="s">
        <v>24</v>
      </c>
      <c r="E238" s="48"/>
      <c r="F238" s="77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1966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L238" s="81" t="s">
        <v>132</v>
      </c>
      <c r="BH238" s="141"/>
      <c r="VEX238" s="46"/>
      <c r="VEY238" s="46"/>
      <c r="VEZ238" s="46"/>
      <c r="VFA238" s="46"/>
      <c r="VFB238" s="46"/>
      <c r="VFC238" s="46"/>
      <c r="VFD238" s="46"/>
      <c r="VFE238" s="46"/>
      <c r="VFF238" s="46"/>
      <c r="VFG238" s="46"/>
      <c r="VFH238" s="46"/>
      <c r="VFI238" s="46"/>
      <c r="VFJ238" s="46"/>
      <c r="VFK238" s="46"/>
      <c r="VFL238" s="46"/>
      <c r="VFM238" s="46"/>
      <c r="VFN238" s="46"/>
      <c r="VFO238" s="46"/>
      <c r="VFP238" s="46"/>
      <c r="VFQ238" s="46"/>
      <c r="VFR238" s="46"/>
      <c r="VFS238" s="46"/>
      <c r="VFT238" s="46"/>
      <c r="VFU238" s="46"/>
      <c r="VFV238" s="46"/>
      <c r="VFW238" s="46"/>
      <c r="VFX238" s="46"/>
      <c r="VFY238" s="46"/>
      <c r="VFZ238" s="46"/>
      <c r="VGA238" s="46"/>
      <c r="VGB238" s="46"/>
      <c r="VGC238" s="46"/>
      <c r="VGD238" s="46"/>
      <c r="VGE238" s="46"/>
      <c r="VGF238" s="46"/>
      <c r="VGG238" s="46"/>
      <c r="VGH238" s="46"/>
      <c r="VGI238" s="46"/>
      <c r="VGJ238" s="46"/>
      <c r="VGK238" s="46"/>
      <c r="VGL238" s="46"/>
      <c r="VGM238" s="46"/>
      <c r="VGN238" s="46"/>
      <c r="VGO238" s="46"/>
      <c r="VGP238" s="46"/>
      <c r="VGQ238" s="46"/>
      <c r="VGR238" s="46"/>
      <c r="VGS238" s="46"/>
      <c r="VGT238" s="46"/>
      <c r="VGU238" s="46"/>
      <c r="VGV238" s="46"/>
      <c r="VGW238" s="46"/>
      <c r="VGX238" s="46"/>
      <c r="VGY238" s="46"/>
      <c r="VGZ238" s="46"/>
      <c r="VHA238" s="46"/>
      <c r="VHB238" s="46"/>
      <c r="VHC238" s="46"/>
      <c r="VHD238" s="46"/>
      <c r="VHE238" s="46"/>
      <c r="VHF238" s="46"/>
      <c r="VHG238" s="46"/>
      <c r="VHH238" s="46"/>
      <c r="VHI238" s="46"/>
      <c r="VHJ238" s="46"/>
      <c r="VHK238" s="46"/>
      <c r="VHL238" s="46"/>
      <c r="VHM238" s="46"/>
      <c r="VHN238" s="46"/>
      <c r="VHO238" s="46"/>
      <c r="VHP238" s="46"/>
      <c r="VHQ238" s="46"/>
      <c r="VHR238" s="46"/>
      <c r="VHS238" s="46"/>
      <c r="VHT238" s="46"/>
      <c r="VHU238" s="46"/>
      <c r="VHV238" s="46"/>
      <c r="VHW238" s="46"/>
      <c r="VHX238" s="46"/>
      <c r="VHY238" s="46"/>
      <c r="VHZ238" s="46"/>
      <c r="VIA238" s="46"/>
      <c r="VIB238" s="46"/>
      <c r="VIC238" s="46"/>
      <c r="VID238" s="46"/>
      <c r="VIE238" s="46"/>
      <c r="VIF238" s="46"/>
      <c r="VIG238" s="46"/>
      <c r="VIH238" s="46"/>
      <c r="VII238" s="46"/>
      <c r="VIJ238" s="46"/>
      <c r="VIK238" s="46"/>
      <c r="VIL238" s="46"/>
      <c r="VIM238" s="46"/>
      <c r="VIN238" s="46"/>
      <c r="VIO238" s="46"/>
      <c r="VIP238" s="46"/>
      <c r="VIQ238" s="46"/>
      <c r="VIR238" s="46"/>
      <c r="VIS238" s="46"/>
      <c r="VIT238" s="46"/>
      <c r="VIU238" s="46"/>
      <c r="VIV238" s="46"/>
      <c r="VIW238" s="46"/>
      <c r="VIX238" s="46"/>
      <c r="VIY238" s="46"/>
      <c r="VIZ238" s="46"/>
      <c r="VJA238" s="46"/>
      <c r="VJB238" s="46"/>
      <c r="VJC238" s="46"/>
      <c r="VJD238" s="46"/>
      <c r="VJE238" s="46"/>
      <c r="VJF238" s="46"/>
      <c r="VJG238" s="46"/>
      <c r="VJH238" s="46"/>
      <c r="VJI238" s="46"/>
      <c r="VJJ238" s="46"/>
      <c r="VJK238" s="46"/>
      <c r="VJL238" s="46"/>
      <c r="VJM238" s="46"/>
      <c r="VJN238" s="46"/>
      <c r="VJO238" s="46"/>
      <c r="VJP238" s="46"/>
      <c r="VJQ238" s="46"/>
      <c r="VJR238" s="46"/>
      <c r="VJS238" s="46"/>
      <c r="VJT238" s="46"/>
      <c r="VJU238" s="46"/>
      <c r="VJV238" s="46"/>
      <c r="VJW238" s="46"/>
      <c r="VJX238" s="46"/>
      <c r="VJY238" s="46"/>
      <c r="VJZ238" s="46"/>
      <c r="VKA238" s="46"/>
      <c r="VKB238" s="46"/>
      <c r="VKC238" s="46"/>
      <c r="VKD238" s="46"/>
      <c r="VKE238" s="46"/>
      <c r="VKF238" s="46"/>
      <c r="VKG238" s="46"/>
      <c r="VKH238" s="46"/>
      <c r="VKI238" s="46"/>
      <c r="VKJ238" s="46"/>
      <c r="VKK238" s="46"/>
      <c r="VKL238" s="46"/>
      <c r="VKM238" s="46"/>
      <c r="VKN238" s="46"/>
      <c r="VKO238" s="46"/>
      <c r="VKP238" s="46"/>
      <c r="VKQ238" s="46"/>
      <c r="VKR238" s="46"/>
      <c r="VKS238" s="46"/>
      <c r="VKT238" s="46"/>
      <c r="VKU238" s="46"/>
      <c r="VKV238" s="46"/>
      <c r="VKW238" s="46"/>
      <c r="VKX238" s="46"/>
      <c r="VKY238" s="46"/>
      <c r="VKZ238" s="46"/>
      <c r="VLA238" s="46"/>
      <c r="VLB238" s="46"/>
      <c r="VLC238" s="46"/>
      <c r="VLD238" s="46"/>
      <c r="VLE238" s="46"/>
      <c r="VLF238" s="46"/>
      <c r="VLG238" s="46"/>
      <c r="VLH238" s="46"/>
      <c r="VLI238" s="46"/>
      <c r="VLJ238" s="46"/>
      <c r="VLK238" s="46"/>
      <c r="VLL238" s="46"/>
      <c r="VLM238" s="46"/>
      <c r="VLN238" s="46"/>
      <c r="VLO238" s="46"/>
      <c r="VLP238" s="46"/>
      <c r="VLQ238" s="46"/>
      <c r="VLR238" s="46"/>
      <c r="VLS238" s="46"/>
      <c r="VLT238" s="46"/>
      <c r="VLU238" s="46"/>
      <c r="VLV238" s="46"/>
      <c r="VLW238" s="46"/>
      <c r="VLX238" s="46"/>
      <c r="VLY238" s="46"/>
      <c r="VLZ238" s="46"/>
      <c r="VMA238" s="46"/>
      <c r="VMB238" s="46"/>
      <c r="VMC238" s="46"/>
      <c r="VMD238" s="46"/>
      <c r="VME238" s="46"/>
      <c r="VMF238" s="46"/>
      <c r="VMG238" s="46"/>
      <c r="VMH238" s="46"/>
      <c r="VMI238" s="46"/>
      <c r="VMJ238" s="46"/>
      <c r="VMK238" s="46"/>
      <c r="VML238" s="46"/>
      <c r="VMM238" s="46"/>
      <c r="VMN238" s="46"/>
      <c r="VMO238" s="46"/>
      <c r="VMP238" s="46"/>
      <c r="VMQ238" s="46"/>
      <c r="VMR238" s="46"/>
      <c r="VMS238" s="46"/>
      <c r="VMT238" s="46"/>
      <c r="VMU238" s="46"/>
      <c r="VMV238" s="46"/>
      <c r="VMW238" s="46"/>
      <c r="VMX238" s="46"/>
      <c r="VMY238" s="46"/>
      <c r="VMZ238" s="46"/>
      <c r="VNA238" s="46"/>
      <c r="VNB238" s="46"/>
      <c r="VNC238" s="46"/>
      <c r="VND238" s="46"/>
      <c r="VNE238" s="46"/>
      <c r="VNF238" s="46"/>
      <c r="VNG238" s="46"/>
      <c r="VNH238" s="46"/>
      <c r="VNI238" s="46"/>
      <c r="VNJ238" s="46"/>
      <c r="VNK238" s="46"/>
      <c r="VNL238" s="46"/>
      <c r="VNM238" s="46"/>
      <c r="VNN238" s="46"/>
      <c r="VNO238" s="46"/>
      <c r="VNP238" s="46"/>
      <c r="VNQ238" s="46"/>
      <c r="VNR238" s="46"/>
      <c r="VNS238" s="46"/>
      <c r="VNT238" s="46"/>
      <c r="VNU238" s="46"/>
      <c r="VNV238" s="46"/>
      <c r="VNW238" s="46"/>
      <c r="VNX238" s="46"/>
      <c r="VNY238" s="46"/>
      <c r="VNZ238" s="46"/>
      <c r="VOA238" s="46"/>
      <c r="VOB238" s="46"/>
      <c r="VOC238" s="46"/>
      <c r="VOD238" s="46"/>
      <c r="VOE238" s="46"/>
      <c r="VOF238" s="46"/>
      <c r="VOG238" s="46"/>
      <c r="VOH238" s="46"/>
      <c r="VOI238" s="46"/>
      <c r="VOJ238" s="46"/>
      <c r="VOK238" s="46"/>
      <c r="VOL238" s="46"/>
      <c r="VOM238" s="46"/>
      <c r="VON238" s="46"/>
      <c r="VOO238" s="46"/>
      <c r="VOP238" s="46"/>
      <c r="VOQ238" s="46"/>
      <c r="VOR238" s="46"/>
      <c r="VOS238" s="46"/>
      <c r="VOT238" s="46"/>
      <c r="VOU238" s="46"/>
      <c r="VOV238" s="46"/>
      <c r="VOW238" s="46"/>
      <c r="VOX238" s="46"/>
      <c r="VOY238" s="46"/>
      <c r="VOZ238" s="46"/>
      <c r="VPA238" s="46"/>
      <c r="VPB238" s="46"/>
      <c r="VPC238" s="46"/>
      <c r="VPD238" s="46"/>
      <c r="VPE238" s="46"/>
      <c r="VPF238" s="46"/>
      <c r="VPG238" s="46"/>
      <c r="VPH238" s="46"/>
      <c r="VPI238" s="46"/>
      <c r="VPJ238" s="46"/>
      <c r="VPK238" s="46"/>
      <c r="VPL238" s="46"/>
      <c r="VPM238" s="46"/>
      <c r="VPN238" s="46"/>
      <c r="VPO238" s="46"/>
      <c r="VPP238" s="46"/>
      <c r="VPQ238" s="46"/>
      <c r="VPR238" s="46"/>
      <c r="VPS238" s="46"/>
      <c r="VPT238" s="46"/>
      <c r="VPU238" s="46"/>
      <c r="VPV238" s="46"/>
      <c r="VPW238" s="46"/>
      <c r="VPX238" s="46"/>
      <c r="VPY238" s="46"/>
      <c r="VPZ238" s="46"/>
      <c r="VQA238" s="46"/>
      <c r="VQB238" s="46"/>
      <c r="VQC238" s="46"/>
      <c r="VQD238" s="46"/>
      <c r="VQE238" s="46"/>
      <c r="VQF238" s="46"/>
      <c r="VQG238" s="46"/>
      <c r="VQH238" s="46"/>
      <c r="VQI238" s="46"/>
      <c r="VQJ238" s="46"/>
      <c r="VQK238" s="46"/>
      <c r="VQL238" s="46"/>
      <c r="VQM238" s="46"/>
      <c r="VQN238" s="46"/>
      <c r="VQO238" s="46"/>
      <c r="VQP238" s="46"/>
      <c r="VQQ238" s="46"/>
      <c r="VQR238" s="46"/>
      <c r="VQS238" s="46"/>
      <c r="VQT238" s="46"/>
      <c r="VQU238" s="46"/>
      <c r="VQV238" s="46"/>
      <c r="VQW238" s="46"/>
      <c r="VQX238" s="46"/>
      <c r="VQY238" s="46"/>
      <c r="VQZ238" s="46"/>
      <c r="VRA238" s="46"/>
      <c r="VRB238" s="46"/>
      <c r="VRC238" s="46"/>
      <c r="VRD238" s="46"/>
      <c r="VRE238" s="46"/>
      <c r="VRF238" s="46"/>
      <c r="VRG238" s="46"/>
      <c r="VRH238" s="46"/>
      <c r="VRI238" s="46"/>
      <c r="VRJ238" s="46"/>
      <c r="VRK238" s="46"/>
      <c r="VRL238" s="46"/>
      <c r="VRM238" s="46"/>
      <c r="VRN238" s="46"/>
      <c r="VRO238" s="46"/>
      <c r="VRP238" s="46"/>
      <c r="VRQ238" s="46"/>
      <c r="VRR238" s="46"/>
      <c r="VRS238" s="46"/>
      <c r="VRT238" s="46"/>
      <c r="VRU238" s="46"/>
      <c r="VRV238" s="46"/>
      <c r="VRW238" s="46"/>
      <c r="VRX238" s="46"/>
      <c r="VRY238" s="46"/>
      <c r="VRZ238" s="46"/>
      <c r="VSA238" s="46"/>
      <c r="VSB238" s="46"/>
      <c r="VSC238" s="46"/>
      <c r="VSD238" s="46"/>
      <c r="VSE238" s="46"/>
      <c r="VSF238" s="46"/>
      <c r="VSG238" s="46"/>
      <c r="VSH238" s="46"/>
      <c r="VSI238" s="46"/>
      <c r="VSJ238" s="46"/>
      <c r="VSK238" s="46"/>
      <c r="VSL238" s="46"/>
      <c r="VSM238" s="46"/>
      <c r="VSN238" s="46"/>
      <c r="VSO238" s="46"/>
      <c r="VSP238" s="46"/>
      <c r="VSQ238" s="46"/>
      <c r="VSR238" s="46"/>
      <c r="VSS238" s="46"/>
      <c r="VST238" s="46"/>
      <c r="VSU238" s="46"/>
      <c r="VSV238" s="46"/>
      <c r="VSW238" s="46"/>
      <c r="VSX238" s="46"/>
      <c r="VSY238" s="46"/>
      <c r="VSZ238" s="46"/>
      <c r="VTA238" s="46"/>
      <c r="VTB238" s="46"/>
      <c r="VTC238" s="46"/>
      <c r="VTD238" s="46"/>
      <c r="VTE238" s="46"/>
      <c r="VTF238" s="46"/>
      <c r="VTG238" s="46"/>
      <c r="VTH238" s="46"/>
      <c r="VTI238" s="46"/>
      <c r="VTJ238" s="46"/>
      <c r="VTK238" s="46"/>
      <c r="VTL238" s="46"/>
      <c r="VTM238" s="46"/>
      <c r="VTN238" s="46"/>
      <c r="VTO238" s="46"/>
      <c r="VTP238" s="46"/>
      <c r="VTQ238" s="46"/>
      <c r="VTR238" s="46"/>
      <c r="VTS238" s="46"/>
      <c r="VTT238" s="46"/>
      <c r="VTU238" s="46"/>
      <c r="VTV238" s="46"/>
      <c r="VTW238" s="46"/>
      <c r="VTX238" s="46"/>
      <c r="VTY238" s="46"/>
      <c r="VTZ238" s="46"/>
    </row>
    <row r="239" spans="3:60 15026:15418" s="62" customFormat="1" x14ac:dyDescent="0.25">
      <c r="C239" s="68"/>
      <c r="D239" s="235" t="s">
        <v>22</v>
      </c>
      <c r="E239" s="260">
        <v>1460.001</v>
      </c>
      <c r="F239" s="236" t="s">
        <v>19</v>
      </c>
      <c r="G239" s="293">
        <v>0</v>
      </c>
      <c r="H239" s="293">
        <v>0</v>
      </c>
      <c r="I239" s="293">
        <v>0</v>
      </c>
      <c r="J239" s="293">
        <v>0</v>
      </c>
      <c r="K239" s="293">
        <v>0</v>
      </c>
      <c r="L239" s="293">
        <v>0</v>
      </c>
      <c r="M239" s="293">
        <v>0</v>
      </c>
      <c r="N239" s="293">
        <v>1162.8538000000001</v>
      </c>
      <c r="O239" s="293">
        <v>1232.8925999999999</v>
      </c>
      <c r="P239" s="293">
        <v>1183.8844999999999</v>
      </c>
      <c r="Q239" s="1875">
        <v>1247.9031</v>
      </c>
      <c r="R239" s="2030">
        <v>1262.47</v>
      </c>
      <c r="S239" s="2053">
        <v>1110.9867999999999</v>
      </c>
      <c r="T239" s="2051">
        <v>1046.1158</v>
      </c>
      <c r="U239" s="2051">
        <v>1019.3427</v>
      </c>
      <c r="V239" s="293">
        <v>1098.4128000000001</v>
      </c>
      <c r="W239" s="2088">
        <v>1118.5322000000001</v>
      </c>
      <c r="X239" s="293"/>
      <c r="Y239" s="293"/>
      <c r="Z239" s="293"/>
      <c r="AA239" s="1997"/>
      <c r="AB239" s="293"/>
      <c r="AC239" s="293"/>
      <c r="AD239" s="293"/>
      <c r="AE239" s="293"/>
      <c r="AF239" s="293"/>
      <c r="AG239" s="293"/>
      <c r="AH239" s="293"/>
      <c r="AI239" s="293"/>
      <c r="AJ239" s="293"/>
      <c r="AL239" s="115">
        <f>SUM(G239:AJ239)</f>
        <v>11483.394299999998</v>
      </c>
      <c r="BH239" s="143"/>
    </row>
    <row r="240" spans="3:60 15026:15418" s="62" customFormat="1" x14ac:dyDescent="0.25">
      <c r="C240" s="68"/>
      <c r="D240" s="235"/>
      <c r="E240" s="260"/>
      <c r="F240" s="236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030"/>
      <c r="S240" s="2053"/>
      <c r="T240" s="2051"/>
      <c r="U240" s="2051"/>
      <c r="V240" s="293"/>
      <c r="W240" s="2088"/>
      <c r="X240" s="293"/>
      <c r="Y240" s="293"/>
      <c r="Z240" s="293"/>
      <c r="AA240" s="1997"/>
      <c r="AB240" s="293"/>
      <c r="AC240" s="293"/>
      <c r="AD240" s="293"/>
      <c r="AE240" s="293"/>
      <c r="AF240" s="293"/>
      <c r="AG240" s="293"/>
      <c r="AH240" s="293"/>
      <c r="AI240" s="293"/>
      <c r="AJ240" s="293"/>
      <c r="AL240" s="54">
        <f>AL239/AL6</f>
        <v>1148.3394299999998</v>
      </c>
      <c r="BH240" s="143"/>
    </row>
    <row r="241" spans="3:60 15026:15418" s="1" customFormat="1" x14ac:dyDescent="0.25">
      <c r="C241" s="8"/>
      <c r="D241" s="235" t="s">
        <v>23</v>
      </c>
      <c r="E241" s="254"/>
      <c r="F241" s="236" t="s">
        <v>19</v>
      </c>
      <c r="G241" s="293">
        <v>0</v>
      </c>
      <c r="H241" s="293">
        <v>0</v>
      </c>
      <c r="I241" s="293">
        <v>0</v>
      </c>
      <c r="J241" s="293">
        <v>0</v>
      </c>
      <c r="K241" s="293">
        <v>0</v>
      </c>
      <c r="L241" s="293">
        <v>0</v>
      </c>
      <c r="M241" s="293">
        <v>0</v>
      </c>
      <c r="N241" s="293">
        <v>587.97490000000005</v>
      </c>
      <c r="O241" s="293">
        <v>1196.4337</v>
      </c>
      <c r="P241" s="293">
        <v>1268.7935</v>
      </c>
      <c r="Q241" s="293">
        <v>1203.8868</v>
      </c>
      <c r="R241" s="2030">
        <v>1271.6310000000001</v>
      </c>
      <c r="S241" s="2053">
        <v>1276.6547</v>
      </c>
      <c r="T241" s="2051">
        <v>1122.8386</v>
      </c>
      <c r="U241" s="2051">
        <v>1046.2076</v>
      </c>
      <c r="V241" s="293">
        <v>1061.7913000000001</v>
      </c>
      <c r="W241" s="2088">
        <v>1116.9952000000001</v>
      </c>
      <c r="X241" s="293"/>
      <c r="Y241" s="293"/>
      <c r="Z241" s="293"/>
      <c r="AA241" s="1997"/>
      <c r="AB241" s="293"/>
      <c r="AC241" s="293"/>
      <c r="AD241" s="293"/>
      <c r="AE241" s="293"/>
      <c r="AF241" s="293"/>
      <c r="AG241" s="293"/>
      <c r="AH241" s="293"/>
      <c r="AI241" s="293"/>
      <c r="AJ241" s="293"/>
      <c r="AL241" s="115">
        <f>SUM(G241:AJ241)</f>
        <v>11153.207300000002</v>
      </c>
      <c r="BH241" s="142"/>
    </row>
    <row r="242" spans="3:60 15026:15418" s="1" customFormat="1" x14ac:dyDescent="0.25">
      <c r="C242" s="15"/>
      <c r="D242" s="28" t="s">
        <v>11</v>
      </c>
      <c r="E242" s="254"/>
      <c r="F242" s="13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054"/>
      <c r="T242" s="2052"/>
      <c r="U242" s="2052"/>
      <c r="V242" s="295"/>
      <c r="W242" s="2089"/>
      <c r="X242" s="295"/>
      <c r="Y242" s="295"/>
      <c r="Z242" s="295"/>
      <c r="AA242" s="295"/>
      <c r="AB242" s="295"/>
      <c r="AC242" s="295"/>
      <c r="AD242" s="295"/>
      <c r="AE242" s="295"/>
      <c r="AF242" s="295"/>
      <c r="AG242" s="295"/>
      <c r="AH242" s="295"/>
      <c r="AI242" s="295"/>
      <c r="AJ242" s="295"/>
      <c r="AL242" s="116" t="s">
        <v>11</v>
      </c>
      <c r="BH242" s="141"/>
      <c r="VEX242" s="46"/>
      <c r="VEY242" s="46"/>
      <c r="VEZ242" s="46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</row>
    <row r="243" spans="3:60 15026:15418" s="1" customFormat="1" x14ac:dyDescent="0.25">
      <c r="C243" s="15"/>
      <c r="D243" s="235" t="s">
        <v>21</v>
      </c>
      <c r="E243" s="252">
        <f>298</f>
        <v>298</v>
      </c>
      <c r="F243" s="236" t="s">
        <v>985</v>
      </c>
      <c r="G243" s="294">
        <v>0</v>
      </c>
      <c r="H243" s="294">
        <v>0</v>
      </c>
      <c r="I243" s="294">
        <v>0</v>
      </c>
      <c r="J243" s="294">
        <v>0</v>
      </c>
      <c r="K243" s="294">
        <v>0</v>
      </c>
      <c r="L243" s="294">
        <v>0</v>
      </c>
      <c r="M243" s="294">
        <v>0</v>
      </c>
      <c r="N243" s="275">
        <v>4878.8</v>
      </c>
      <c r="O243" s="275">
        <v>7543.5</v>
      </c>
      <c r="P243" s="275">
        <v>7446.61</v>
      </c>
      <c r="Q243" s="275">
        <f>7097.79</f>
        <v>7097.79</v>
      </c>
      <c r="R243" s="2174">
        <v>6509.2</v>
      </c>
      <c r="S243" s="2175">
        <v>6462.5</v>
      </c>
      <c r="T243" s="2050">
        <v>6112.2</v>
      </c>
      <c r="U243" s="2050">
        <v>6208.4</v>
      </c>
      <c r="V243" s="275">
        <v>6271.3</v>
      </c>
      <c r="W243" s="2087">
        <v>6554.3</v>
      </c>
      <c r="X243" s="275"/>
      <c r="Y243" s="275"/>
      <c r="Z243" s="275"/>
      <c r="AA243" s="275"/>
      <c r="AB243" s="275"/>
      <c r="AC243" s="275"/>
      <c r="AD243" s="275"/>
      <c r="AE243" s="275"/>
      <c r="AF243" s="1633"/>
      <c r="AG243" s="294"/>
      <c r="AH243" s="294"/>
      <c r="AI243" s="294"/>
      <c r="AJ243" s="294"/>
      <c r="AL243" s="54">
        <f>SUM(G243:AJ243)</f>
        <v>65084.600000000006</v>
      </c>
      <c r="BG243" s="39"/>
      <c r="BH243" s="141"/>
      <c r="VEX243" s="46"/>
      <c r="VEY243" s="46"/>
      <c r="VEZ243" s="46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</row>
    <row r="244" spans="3:60 15026:15418" s="1" customFormat="1" x14ac:dyDescent="0.25">
      <c r="C244" s="15"/>
      <c r="D244" s="235"/>
      <c r="E244" s="252"/>
      <c r="F244" s="236" t="s">
        <v>19</v>
      </c>
      <c r="G244" s="294"/>
      <c r="H244" s="294"/>
      <c r="I244" s="294"/>
      <c r="J244" s="294"/>
      <c r="K244" s="294"/>
      <c r="L244" s="294"/>
      <c r="M244" s="294"/>
      <c r="N244" s="275">
        <v>122.919076955487</v>
      </c>
      <c r="O244" s="275">
        <v>293.33615119148197</v>
      </c>
      <c r="P244" s="275">
        <v>435.42788116296799</v>
      </c>
      <c r="Q244" s="275">
        <v>456.06276831689502</v>
      </c>
      <c r="R244" s="2174">
        <v>309.930982679149</v>
      </c>
      <c r="S244" s="2175">
        <v>24.909176895614792</v>
      </c>
      <c r="T244" s="2050">
        <v>9.8226268029004586</v>
      </c>
      <c r="U244" s="2176">
        <v>3.7561096217107202</v>
      </c>
      <c r="V244" s="275">
        <v>195.686929527335</v>
      </c>
      <c r="W244" s="2087">
        <v>180.42664722420901</v>
      </c>
      <c r="X244" s="275"/>
      <c r="Y244" s="275"/>
      <c r="Z244" s="275"/>
      <c r="AA244" s="275"/>
      <c r="AB244" s="275"/>
      <c r="AC244" s="275"/>
      <c r="AD244" s="275"/>
      <c r="AE244" s="275"/>
      <c r="AF244" s="1633"/>
      <c r="AG244" s="294"/>
      <c r="AH244" s="294"/>
      <c r="AI244" s="294"/>
      <c r="AJ244" s="294"/>
      <c r="AL244" s="1185">
        <f>SUM(G244:AJ244)</f>
        <v>2032.2783503777509</v>
      </c>
      <c r="BG244" s="39"/>
      <c r="BH244" s="141"/>
      <c r="VEX244" s="46"/>
      <c r="VEY244" s="46"/>
      <c r="VEZ244" s="46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</row>
    <row r="245" spans="3:60 15026:15418" s="1" customFormat="1" x14ac:dyDescent="0.25">
      <c r="C245" s="15"/>
      <c r="D245" s="74" t="s">
        <v>378</v>
      </c>
      <c r="E245" s="948"/>
      <c r="F245" s="69"/>
      <c r="G245" s="273" t="e">
        <f>G243/G9*1000</f>
        <v>#DIV/0!</v>
      </c>
      <c r="H245" s="273" t="e">
        <f>H243/H9*1000</f>
        <v>#DIV/0!</v>
      </c>
      <c r="I245" s="273" t="e">
        <f>I243/I9*1000</f>
        <v>#DIV/0!</v>
      </c>
      <c r="J245" s="273" t="e">
        <f>J243/J9*1000</f>
        <v>#DIV/0!</v>
      </c>
      <c r="K245" s="949" t="e">
        <f>K243/K9*10000</f>
        <v>#DIV/0!</v>
      </c>
      <c r="L245" s="949" t="e">
        <f>L243/L9*10000</f>
        <v>#DIV/0!</v>
      </c>
      <c r="M245" s="273" t="e">
        <f>M243/M9*1000</f>
        <v>#DIV/0!</v>
      </c>
      <c r="N245" s="1791">
        <f>N244/N9*10000</f>
        <v>1.6636360025266967</v>
      </c>
      <c r="O245" s="1791">
        <f>O244/O9*10000</f>
        <v>1.3146241018991891</v>
      </c>
      <c r="P245" s="1791">
        <f>P244/P9*10000</f>
        <v>1.9913467536950884</v>
      </c>
      <c r="Q245" s="1791">
        <f t="shared" ref="Q245:W245" si="50">Q244/Q9*10000</f>
        <v>1.8145605938720655</v>
      </c>
      <c r="R245" s="1791">
        <f t="shared" si="50"/>
        <v>1.3477193800812681</v>
      </c>
      <c r="S245" s="1791">
        <f t="shared" si="50"/>
        <v>0.12530189345221793</v>
      </c>
      <c r="T245" s="1791">
        <f t="shared" si="50"/>
        <v>6.1348396954763337E-2</v>
      </c>
      <c r="U245" s="1791">
        <f t="shared" si="50"/>
        <v>1.8685262611864397E-2</v>
      </c>
      <c r="V245" s="1791">
        <f t="shared" si="50"/>
        <v>1.0179229319352388</v>
      </c>
      <c r="W245" s="1791">
        <f t="shared" si="50"/>
        <v>5.6083804688152643</v>
      </c>
      <c r="X245" s="1791"/>
      <c r="Y245" s="1791" t="e">
        <f t="shared" ref="Y245:AJ245" si="51">Y243/Y9*10000</f>
        <v>#DIV/0!</v>
      </c>
      <c r="Z245" s="1791" t="e">
        <f t="shared" si="51"/>
        <v>#DIV/0!</v>
      </c>
      <c r="AA245" s="1791" t="e">
        <f t="shared" si="51"/>
        <v>#DIV/0!</v>
      </c>
      <c r="AB245" s="1791" t="e">
        <f t="shared" si="51"/>
        <v>#DIV/0!</v>
      </c>
      <c r="AC245" s="1791" t="e">
        <f t="shared" si="51"/>
        <v>#DIV/0!</v>
      </c>
      <c r="AD245" s="1791" t="e">
        <f t="shared" si="51"/>
        <v>#DIV/0!</v>
      </c>
      <c r="AE245" s="946" t="e">
        <f t="shared" si="51"/>
        <v>#DIV/0!</v>
      </c>
      <c r="AF245" s="946" t="e">
        <f t="shared" si="51"/>
        <v>#DIV/0!</v>
      </c>
      <c r="AG245" s="946" t="e">
        <f t="shared" si="51"/>
        <v>#DIV/0!</v>
      </c>
      <c r="AH245" s="946" t="e">
        <f t="shared" si="51"/>
        <v>#DIV/0!</v>
      </c>
      <c r="AI245" s="946" t="e">
        <f t="shared" si="51"/>
        <v>#DIV/0!</v>
      </c>
      <c r="AJ245" s="946" t="e">
        <f t="shared" si="51"/>
        <v>#DIV/0!</v>
      </c>
      <c r="AK245" s="62"/>
      <c r="AL245" s="84">
        <f>(AL244/AL9)*1000</f>
        <v>0.1140884194601309</v>
      </c>
      <c r="AN245" s="39"/>
      <c r="BG245" s="39"/>
      <c r="BH245" s="141"/>
      <c r="VEX245" s="46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</row>
    <row r="246" spans="3:60 15026:15418" s="1" customFormat="1" ht="15" customHeight="1" x14ac:dyDescent="0.25">
      <c r="C246" s="15"/>
      <c r="D246" s="14" t="s">
        <v>20</v>
      </c>
      <c r="E246" s="252">
        <v>1168.001</v>
      </c>
      <c r="F246" s="20" t="s">
        <v>19</v>
      </c>
      <c r="G246" s="295">
        <f>G239-G243</f>
        <v>0</v>
      </c>
      <c r="H246" s="295">
        <f>H239-H243</f>
        <v>0</v>
      </c>
      <c r="I246" s="295">
        <f>I239-(I243)</f>
        <v>0</v>
      </c>
      <c r="J246" s="295">
        <f>J239-(J243)</f>
        <v>0</v>
      </c>
      <c r="K246" s="295">
        <f>K239-(K243)</f>
        <v>0</v>
      </c>
      <c r="L246" s="295">
        <f t="shared" ref="L246:AC246" si="52">L239-(L243)</f>
        <v>0</v>
      </c>
      <c r="M246" s="295">
        <f t="shared" si="52"/>
        <v>0</v>
      </c>
      <c r="N246" s="33">
        <f>N239-N244</f>
        <v>1039.934723044513</v>
      </c>
      <c r="O246" s="33">
        <f>O239-O244</f>
        <v>939.55644880851787</v>
      </c>
      <c r="P246" s="33">
        <f>P239-P244</f>
        <v>748.4566188370319</v>
      </c>
      <c r="Q246" s="33">
        <f t="shared" ref="Q246:W246" si="53">Q239-Q244</f>
        <v>791.84033168310498</v>
      </c>
      <c r="R246" s="33">
        <f t="shared" si="53"/>
        <v>952.53901732085103</v>
      </c>
      <c r="S246" s="33">
        <f t="shared" si="53"/>
        <v>1086.0776231043851</v>
      </c>
      <c r="T246" s="33">
        <f t="shared" si="53"/>
        <v>1036.2931731970996</v>
      </c>
      <c r="U246" s="33">
        <f t="shared" si="53"/>
        <v>1015.5865903782893</v>
      </c>
      <c r="V246" s="33">
        <f t="shared" si="53"/>
        <v>902.72587047266506</v>
      </c>
      <c r="W246" s="33">
        <f t="shared" si="53"/>
        <v>938.10555277579112</v>
      </c>
      <c r="X246" s="295">
        <f t="shared" si="52"/>
        <v>0</v>
      </c>
      <c r="Y246" s="295">
        <f>Y239-(Y243)</f>
        <v>0</v>
      </c>
      <c r="Z246" s="295">
        <f>Z239-(Z243)</f>
        <v>0</v>
      </c>
      <c r="AA246" s="295">
        <f t="shared" si="52"/>
        <v>0</v>
      </c>
      <c r="AB246" s="295">
        <f t="shared" si="52"/>
        <v>0</v>
      </c>
      <c r="AC246" s="295">
        <f t="shared" si="52"/>
        <v>0</v>
      </c>
      <c r="AD246" s="295">
        <f t="shared" ref="AD246:AJ246" si="54">AD239-AD243</f>
        <v>0</v>
      </c>
      <c r="AE246" s="295">
        <f t="shared" si="54"/>
        <v>0</v>
      </c>
      <c r="AF246" s="295">
        <f t="shared" si="54"/>
        <v>0</v>
      </c>
      <c r="AG246" s="295">
        <f t="shared" si="54"/>
        <v>0</v>
      </c>
      <c r="AH246" s="295">
        <f t="shared" si="54"/>
        <v>0</v>
      </c>
      <c r="AI246" s="295"/>
      <c r="AJ246" s="295">
        <f t="shared" si="54"/>
        <v>0</v>
      </c>
      <c r="AL246" s="583">
        <f>SUM(G246:AJ246)</f>
        <v>9451.1159496222481</v>
      </c>
      <c r="BH246" s="141"/>
      <c r="VEX246" s="46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</row>
    <row r="247" spans="3:60 15026:15418" s="2" customFormat="1" ht="15.75" thickBot="1" x14ac:dyDescent="0.3">
      <c r="C247" s="40"/>
      <c r="D247" s="41" t="s">
        <v>1</v>
      </c>
      <c r="E247" s="261">
        <v>1460.001</v>
      </c>
      <c r="F247" s="25" t="s">
        <v>19</v>
      </c>
      <c r="G247" s="296">
        <f>G243+G246</f>
        <v>0</v>
      </c>
      <c r="H247" s="296">
        <f>H243+H246</f>
        <v>0</v>
      </c>
      <c r="I247" s="296">
        <f t="shared" ref="I247:M247" si="55">I243+I246</f>
        <v>0</v>
      </c>
      <c r="J247" s="296">
        <f t="shared" si="55"/>
        <v>0</v>
      </c>
      <c r="K247" s="296">
        <f t="shared" si="55"/>
        <v>0</v>
      </c>
      <c r="L247" s="296">
        <f t="shared" si="55"/>
        <v>0</v>
      </c>
      <c r="M247" s="296">
        <f t="shared" si="55"/>
        <v>0</v>
      </c>
      <c r="N247" s="296">
        <f>N244+N246</f>
        <v>1162.8538000000001</v>
      </c>
      <c r="O247" s="296">
        <f t="shared" ref="O247:AJ247" si="56">O244+O246</f>
        <v>1232.8925999999999</v>
      </c>
      <c r="P247" s="296">
        <f t="shared" si="56"/>
        <v>1183.8844999999999</v>
      </c>
      <c r="Q247" s="296">
        <f t="shared" si="56"/>
        <v>1247.9031</v>
      </c>
      <c r="R247" s="296">
        <f t="shared" si="56"/>
        <v>1262.47</v>
      </c>
      <c r="S247" s="296">
        <f t="shared" si="56"/>
        <v>1110.9867999999999</v>
      </c>
      <c r="T247" s="296">
        <f t="shared" si="56"/>
        <v>1046.1158</v>
      </c>
      <c r="U247" s="296">
        <f t="shared" si="56"/>
        <v>1019.3427</v>
      </c>
      <c r="V247" s="296">
        <f t="shared" si="56"/>
        <v>1098.4128000000001</v>
      </c>
      <c r="W247" s="296">
        <f t="shared" si="56"/>
        <v>1118.5322000000001</v>
      </c>
      <c r="X247" s="296">
        <f t="shared" si="56"/>
        <v>0</v>
      </c>
      <c r="Y247" s="296">
        <f t="shared" si="56"/>
        <v>0</v>
      </c>
      <c r="Z247" s="296">
        <f t="shared" si="56"/>
        <v>0</v>
      </c>
      <c r="AA247" s="296">
        <f t="shared" si="56"/>
        <v>0</v>
      </c>
      <c r="AB247" s="296">
        <f t="shared" si="56"/>
        <v>0</v>
      </c>
      <c r="AC247" s="296">
        <f t="shared" si="56"/>
        <v>0</v>
      </c>
      <c r="AD247" s="296">
        <f t="shared" si="56"/>
        <v>0</v>
      </c>
      <c r="AE247" s="296">
        <f t="shared" si="56"/>
        <v>0</v>
      </c>
      <c r="AF247" s="296">
        <f t="shared" si="56"/>
        <v>0</v>
      </c>
      <c r="AG247" s="296">
        <f t="shared" si="56"/>
        <v>0</v>
      </c>
      <c r="AH247" s="296">
        <f t="shared" si="56"/>
        <v>0</v>
      </c>
      <c r="AI247" s="296">
        <f t="shared" si="56"/>
        <v>0</v>
      </c>
      <c r="AJ247" s="296">
        <f t="shared" si="56"/>
        <v>0</v>
      </c>
      <c r="AL247" s="117">
        <f>SUM(G247:AJ247)</f>
        <v>11483.394299999998</v>
      </c>
      <c r="BH247" s="151"/>
    </row>
    <row r="248" spans="3:60 15026:15418" s="2" customFormat="1" x14ac:dyDescent="0.25">
      <c r="C248" s="8">
        <v>5</v>
      </c>
      <c r="D248" s="118" t="s">
        <v>18</v>
      </c>
      <c r="E248" s="119"/>
      <c r="F248" s="119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1985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  <c r="AH248" s="297"/>
      <c r="AI248" s="297"/>
      <c r="AJ248" s="297"/>
      <c r="AL248" s="136" t="s">
        <v>133</v>
      </c>
      <c r="BH248" s="151"/>
    </row>
    <row r="249" spans="3:60 15026:15418" s="2" customFormat="1" x14ac:dyDescent="0.25">
      <c r="C249" s="8"/>
      <c r="D249" s="235" t="s">
        <v>4</v>
      </c>
      <c r="E249" s="1707">
        <v>408000</v>
      </c>
      <c r="F249" s="236" t="s">
        <v>14</v>
      </c>
      <c r="G249" s="1634">
        <v>0</v>
      </c>
      <c r="H249" s="1634">
        <v>0</v>
      </c>
      <c r="I249" s="1634">
        <v>0</v>
      </c>
      <c r="J249" s="1634">
        <v>0</v>
      </c>
      <c r="K249" s="1634">
        <v>0</v>
      </c>
      <c r="L249" s="1634">
        <v>0</v>
      </c>
      <c r="M249" s="1650">
        <v>0</v>
      </c>
      <c r="N249" s="1650">
        <v>230.70699999999999</v>
      </c>
      <c r="O249" s="1634">
        <v>213.578</v>
      </c>
      <c r="P249" s="1634">
        <v>179.17099999999999</v>
      </c>
      <c r="Q249" s="1634">
        <v>214.756</v>
      </c>
      <c r="R249" s="2031">
        <v>221.82900000000001</v>
      </c>
      <c r="S249" s="2059">
        <v>164.72900000000001</v>
      </c>
      <c r="T249" s="2057">
        <v>132.024</v>
      </c>
      <c r="U249" s="2057">
        <v>124.182</v>
      </c>
      <c r="V249" s="244">
        <v>166.82599999999999</v>
      </c>
      <c r="W249" s="2092">
        <v>170.977</v>
      </c>
      <c r="X249" s="298"/>
      <c r="Y249" s="1634"/>
      <c r="Z249" s="1634"/>
      <c r="AA249" s="2000"/>
      <c r="AB249" s="298"/>
      <c r="AC249" s="298"/>
      <c r="AD249" s="298"/>
      <c r="AE249" s="298"/>
      <c r="AF249" s="298"/>
      <c r="AG249" s="298"/>
      <c r="AH249" s="298"/>
      <c r="AI249" s="298"/>
      <c r="AJ249" s="298"/>
      <c r="AL249" s="2149">
        <f>SUM(G249:AJ249)</f>
        <v>1818.779</v>
      </c>
      <c r="BH249" s="151"/>
    </row>
    <row r="250" spans="3:60 15026:15418" s="2" customFormat="1" x14ac:dyDescent="0.25">
      <c r="C250" s="8"/>
      <c r="D250" s="30" t="s">
        <v>17</v>
      </c>
      <c r="E250" s="262"/>
      <c r="F250" s="13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058"/>
      <c r="T250" s="2056"/>
      <c r="U250" s="2056"/>
      <c r="V250" s="282"/>
      <c r="W250" s="2091"/>
      <c r="X250" s="282"/>
      <c r="Y250" s="282"/>
      <c r="Z250" s="282"/>
      <c r="AA250" s="1999"/>
      <c r="AB250" s="282"/>
      <c r="AC250" s="282"/>
      <c r="AD250" s="282"/>
      <c r="AE250" s="282"/>
      <c r="AF250" s="282"/>
      <c r="AG250" s="282"/>
      <c r="AH250" s="282"/>
      <c r="AI250" s="282"/>
      <c r="AJ250" s="282"/>
      <c r="AL250" s="63">
        <f>(AL252+AL254+AL256)</f>
        <v>102.13059751059855</v>
      </c>
      <c r="AN250" s="27"/>
      <c r="BH250" s="151"/>
    </row>
    <row r="251" spans="3:60 15026:15418" s="1" customFormat="1" x14ac:dyDescent="0.25">
      <c r="C251" s="15"/>
      <c r="D251" s="235" t="s">
        <v>16</v>
      </c>
      <c r="E251" s="1920">
        <v>70000</v>
      </c>
      <c r="F251" s="236" t="s">
        <v>995</v>
      </c>
      <c r="G251" s="275">
        <v>0</v>
      </c>
      <c r="H251" s="275">
        <v>0</v>
      </c>
      <c r="I251" s="275">
        <v>0</v>
      </c>
      <c r="J251" s="245">
        <v>0</v>
      </c>
      <c r="K251" s="245">
        <v>0</v>
      </c>
      <c r="L251" s="245">
        <v>0</v>
      </c>
      <c r="M251" s="245">
        <v>0</v>
      </c>
      <c r="N251" s="1514">
        <v>82.42</v>
      </c>
      <c r="O251" s="1514">
        <v>70.23</v>
      </c>
      <c r="P251" s="1514">
        <v>77.52</v>
      </c>
      <c r="Q251" s="245">
        <v>86.89</v>
      </c>
      <c r="R251" s="2032">
        <v>86.48</v>
      </c>
      <c r="S251" s="2060">
        <v>79.2</v>
      </c>
      <c r="T251" s="2055">
        <v>73.709999999999994</v>
      </c>
      <c r="U251" s="2055">
        <v>89.03</v>
      </c>
      <c r="V251" s="245">
        <v>87.69</v>
      </c>
      <c r="W251" s="2090">
        <v>57.5</v>
      </c>
      <c r="X251" s="245"/>
      <c r="Y251" s="245"/>
      <c r="Z251" s="245"/>
      <c r="AA251" s="1998"/>
      <c r="AB251" s="245"/>
      <c r="AC251" s="245"/>
      <c r="AD251" s="245"/>
      <c r="AE251" s="245"/>
      <c r="AF251" s="245"/>
      <c r="AG251" s="275"/>
      <c r="AH251" s="275"/>
      <c r="AI251" s="275"/>
      <c r="AJ251" s="275"/>
      <c r="AL251" s="2149">
        <f>SUM(G251:AJ251)</f>
        <v>790.67000000000007</v>
      </c>
      <c r="BH251" s="141"/>
      <c r="VEX251" s="46"/>
      <c r="VEY251" s="46"/>
      <c r="VEZ251" s="46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</row>
    <row r="252" spans="3:60 15026:15418" s="1" customFormat="1" x14ac:dyDescent="0.25">
      <c r="C252" s="15"/>
      <c r="D252" s="14"/>
      <c r="E252" s="234">
        <f>E251/2500</f>
        <v>28</v>
      </c>
      <c r="F252" s="20" t="s">
        <v>356</v>
      </c>
      <c r="G252" s="33" t="e">
        <f>G251/G9*1000</f>
        <v>#DIV/0!</v>
      </c>
      <c r="H252" s="33" t="e">
        <f>H251/H9*1000</f>
        <v>#DIV/0!</v>
      </c>
      <c r="I252" s="33" t="e">
        <f>I251/I9*1000</f>
        <v>#DIV/0!</v>
      </c>
      <c r="J252" s="33" t="e">
        <f>J251/J9*1000000</f>
        <v>#DIV/0!</v>
      </c>
      <c r="K252" s="33" t="e">
        <f>K251/K9*1000000</f>
        <v>#DIV/0!</v>
      </c>
      <c r="L252" s="33" t="e">
        <f>L251/L9*1000</f>
        <v>#DIV/0!</v>
      </c>
      <c r="M252" s="33" t="e">
        <f>M251/M9*100000</f>
        <v>#DIV/0!</v>
      </c>
      <c r="N252" s="33">
        <f t="shared" ref="N252:AJ252" si="57">N251/N9*1000000</f>
        <v>111.55052797695905</v>
      </c>
      <c r="O252" s="33">
        <f t="shared" si="57"/>
        <v>31.474487648851742</v>
      </c>
      <c r="P252" s="33">
        <f t="shared" si="57"/>
        <v>35.452300375011433</v>
      </c>
      <c r="Q252" s="33">
        <f t="shared" si="57"/>
        <v>34.571375028796218</v>
      </c>
      <c r="R252" s="33">
        <f t="shared" si="57"/>
        <v>37.605395556753798</v>
      </c>
      <c r="S252" s="33">
        <f>S251/S9*1000000</f>
        <v>39.840376914111289</v>
      </c>
      <c r="T252" s="33">
        <f t="shared" si="57"/>
        <v>46.036466927567034</v>
      </c>
      <c r="U252" s="33">
        <f t="shared" si="57"/>
        <v>44.289147492362702</v>
      </c>
      <c r="V252" s="33">
        <f t="shared" si="57"/>
        <v>45.614524238795596</v>
      </c>
      <c r="W252" s="33">
        <f t="shared" si="57"/>
        <v>178.73295431585689</v>
      </c>
      <c r="X252" s="33">
        <v>0</v>
      </c>
      <c r="Y252" s="33" t="e">
        <f t="shared" si="57"/>
        <v>#DIV/0!</v>
      </c>
      <c r="Z252" s="33" t="e">
        <f t="shared" si="57"/>
        <v>#DIV/0!</v>
      </c>
      <c r="AA252" s="33" t="e">
        <f t="shared" si="57"/>
        <v>#DIV/0!</v>
      </c>
      <c r="AB252" s="33" t="e">
        <f t="shared" si="57"/>
        <v>#DIV/0!</v>
      </c>
      <c r="AC252" s="33" t="e">
        <f t="shared" si="57"/>
        <v>#DIV/0!</v>
      </c>
      <c r="AD252" s="33" t="e">
        <f t="shared" si="57"/>
        <v>#DIV/0!</v>
      </c>
      <c r="AE252" s="33" t="e">
        <f t="shared" si="57"/>
        <v>#DIV/0!</v>
      </c>
      <c r="AF252" s="33" t="e">
        <f t="shared" si="57"/>
        <v>#DIV/0!</v>
      </c>
      <c r="AG252" s="33" t="e">
        <f t="shared" si="57"/>
        <v>#DIV/0!</v>
      </c>
      <c r="AH252" s="33" t="e">
        <f t="shared" si="57"/>
        <v>#DIV/0!</v>
      </c>
      <c r="AI252" s="33" t="e">
        <f t="shared" si="57"/>
        <v>#DIV/0!</v>
      </c>
      <c r="AJ252" s="33" t="e">
        <f t="shared" si="57"/>
        <v>#DIV/0!</v>
      </c>
      <c r="AL252" s="1513">
        <f>AL251/AL9*1000000</f>
        <v>44.386779300076959</v>
      </c>
      <c r="BH252" s="141"/>
      <c r="VEX252" s="46"/>
      <c r="VEY252" s="46"/>
      <c r="VEZ252" s="46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</row>
    <row r="253" spans="3:60 15026:15418" s="1" customFormat="1" x14ac:dyDescent="0.25">
      <c r="C253" s="15"/>
      <c r="D253" s="235" t="s">
        <v>15</v>
      </c>
      <c r="E253" s="1793">
        <v>112.8</v>
      </c>
      <c r="F253" s="236" t="s">
        <v>995</v>
      </c>
      <c r="G253" s="275"/>
      <c r="H253" s="275">
        <v>0</v>
      </c>
      <c r="I253" s="275">
        <v>0</v>
      </c>
      <c r="J253" s="275">
        <v>0</v>
      </c>
      <c r="K253" s="275"/>
      <c r="L253" s="275"/>
      <c r="M253" s="275"/>
      <c r="N253" s="1514">
        <v>21.558</v>
      </c>
      <c r="O253" s="1514">
        <v>49.744999999999997</v>
      </c>
      <c r="P253" s="275">
        <v>54.417999999999999</v>
      </c>
      <c r="Q253" s="275">
        <v>55.802</v>
      </c>
      <c r="R253" s="2033">
        <v>53.356999999999999</v>
      </c>
      <c r="S253" s="2062">
        <v>41.411000000000001</v>
      </c>
      <c r="T253" s="2061">
        <v>32.398000000000003</v>
      </c>
      <c r="U253" s="2061">
        <v>33.631999999999998</v>
      </c>
      <c r="V253" s="245">
        <v>45.9</v>
      </c>
      <c r="W253" s="2093">
        <v>37.515000000000001</v>
      </c>
      <c r="X253" s="245"/>
      <c r="Y253" s="245"/>
      <c r="Z253" s="245"/>
      <c r="AA253" s="245"/>
      <c r="AB253" s="245"/>
      <c r="AC253" s="245"/>
      <c r="AD253" s="245"/>
      <c r="AE253" s="245"/>
      <c r="AF253" s="275"/>
      <c r="AG253" s="275"/>
      <c r="AH253" s="275"/>
      <c r="AI253" s="275"/>
      <c r="AJ253" s="275"/>
      <c r="AL253" s="2149">
        <f>SUM(G253:AJ253)</f>
        <v>425.73599999999999</v>
      </c>
      <c r="BH253" s="141"/>
      <c r="VEX253" s="46"/>
      <c r="VEY253" s="46"/>
      <c r="VEZ253" s="46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</row>
    <row r="254" spans="3:60 15026:15418" s="1" customFormat="1" x14ac:dyDescent="0.25">
      <c r="C254" s="15"/>
      <c r="D254" s="14"/>
      <c r="E254" s="234">
        <f>E253/2.5</f>
        <v>45.12</v>
      </c>
      <c r="F254" s="20" t="s">
        <v>356</v>
      </c>
      <c r="G254" s="33" t="e">
        <f t="shared" ref="G254:M254" si="58">G253/G25*1000</f>
        <v>#DIV/0!</v>
      </c>
      <c r="H254" s="33" t="e">
        <f t="shared" si="58"/>
        <v>#DIV/0!</v>
      </c>
      <c r="I254" s="33" t="e">
        <f t="shared" si="58"/>
        <v>#DIV/0!</v>
      </c>
      <c r="J254" s="33" t="e">
        <f t="shared" si="58"/>
        <v>#DIV/0!</v>
      </c>
      <c r="K254" s="33" t="e">
        <f t="shared" si="58"/>
        <v>#DIV/0!</v>
      </c>
      <c r="L254" s="33" t="e">
        <f t="shared" si="58"/>
        <v>#DIV/0!</v>
      </c>
      <c r="M254" s="33" t="e">
        <f t="shared" si="58"/>
        <v>#DIV/0!</v>
      </c>
      <c r="N254" s="33">
        <f>N253/N25*1000000</f>
        <v>36.763552275254263</v>
      </c>
      <c r="O254" s="33">
        <f t="shared" ref="O254:Q254" si="59">O253/O25*1000000</f>
        <v>26.998657801171127</v>
      </c>
      <c r="P254" s="33">
        <f t="shared" si="59"/>
        <v>19.738214217187096</v>
      </c>
      <c r="Q254" s="33">
        <f t="shared" si="59"/>
        <v>24.972734599915775</v>
      </c>
      <c r="R254" s="33">
        <f>R253/R25*1000000</f>
        <v>24.665305437535626</v>
      </c>
      <c r="S254" s="33">
        <f>S253/S29*1000000</f>
        <v>22.67917815841415</v>
      </c>
      <c r="T254" s="33">
        <f t="shared" ref="T254:AE254" si="60">T253/T29*1000000</f>
        <v>14.489175828058324</v>
      </c>
      <c r="U254" s="33">
        <f t="shared" si="60"/>
        <v>28.984483063226882</v>
      </c>
      <c r="V254" s="33">
        <f>V253/V29*1000000</f>
        <v>24.282181164116331</v>
      </c>
      <c r="W254" s="33">
        <f t="shared" si="60"/>
        <v>25.995488987516762</v>
      </c>
      <c r="X254" s="33">
        <f t="shared" si="60"/>
        <v>0</v>
      </c>
      <c r="Y254" s="33" t="e">
        <f t="shared" si="60"/>
        <v>#DIV/0!</v>
      </c>
      <c r="Z254" s="33" t="e">
        <f t="shared" si="60"/>
        <v>#DIV/0!</v>
      </c>
      <c r="AA254" s="33" t="e">
        <f t="shared" si="60"/>
        <v>#DIV/0!</v>
      </c>
      <c r="AB254" s="33" t="e">
        <f t="shared" si="60"/>
        <v>#DIV/0!</v>
      </c>
      <c r="AC254" s="33" t="e">
        <f t="shared" si="60"/>
        <v>#DIV/0!</v>
      </c>
      <c r="AD254" s="33" t="e">
        <f t="shared" si="60"/>
        <v>#DIV/0!</v>
      </c>
      <c r="AE254" s="33" t="e">
        <f t="shared" si="60"/>
        <v>#DIV/0!</v>
      </c>
      <c r="AF254" s="33" t="e">
        <f t="shared" ref="AF254:AJ254" si="61">AF253/AF25*1000</f>
        <v>#DIV/0!</v>
      </c>
      <c r="AG254" s="33" t="e">
        <f t="shared" si="61"/>
        <v>#DIV/0!</v>
      </c>
      <c r="AH254" s="33" t="e">
        <f t="shared" si="61"/>
        <v>#DIV/0!</v>
      </c>
      <c r="AI254" s="33" t="e">
        <f t="shared" si="61"/>
        <v>#DIV/0!</v>
      </c>
      <c r="AJ254" s="33" t="e">
        <f t="shared" si="61"/>
        <v>#DIV/0!</v>
      </c>
      <c r="AL254" s="1513">
        <f>AL253/AL32*1000000</f>
        <v>23.927690866212018</v>
      </c>
      <c r="BH254" s="141"/>
      <c r="VEX254" s="46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</row>
    <row r="255" spans="3:60 15026:15418" s="1" customFormat="1" x14ac:dyDescent="0.25">
      <c r="C255" s="15"/>
      <c r="D255" s="14" t="s">
        <v>7</v>
      </c>
      <c r="E255" s="234">
        <v>106000</v>
      </c>
      <c r="F255" s="20" t="s">
        <v>14</v>
      </c>
      <c r="G255" s="272">
        <f>G249-G251-G253</f>
        <v>0</v>
      </c>
      <c r="H255" s="272">
        <f>H249-H251-H253</f>
        <v>0</v>
      </c>
      <c r="I255" s="272">
        <v>0</v>
      </c>
      <c r="J255" s="1702">
        <v>0</v>
      </c>
      <c r="K255" s="272">
        <v>0</v>
      </c>
      <c r="L255" s="272">
        <v>0</v>
      </c>
      <c r="M255" s="272">
        <v>0</v>
      </c>
      <c r="N255" s="272">
        <f>N249-N251-N253</f>
        <v>126.72899999999998</v>
      </c>
      <c r="O255" s="272">
        <f>O249-O251-O253</f>
        <v>93.603000000000009</v>
      </c>
      <c r="P255" s="272">
        <f>P249-P251-P253</f>
        <v>47.232999999999997</v>
      </c>
      <c r="Q255" s="272">
        <f t="shared" ref="Q255:V255" si="62">Q249-Q251-Q253</f>
        <v>72.063999999999993</v>
      </c>
      <c r="R255" s="272">
        <f t="shared" si="62"/>
        <v>81.99199999999999</v>
      </c>
      <c r="S255" s="272">
        <f t="shared" si="62"/>
        <v>44.118000000000009</v>
      </c>
      <c r="T255" s="272">
        <f t="shared" si="62"/>
        <v>25.916000000000004</v>
      </c>
      <c r="U255" s="272">
        <f t="shared" si="62"/>
        <v>1.5200000000000031</v>
      </c>
      <c r="V255" s="272">
        <f t="shared" si="62"/>
        <v>33.235999999999997</v>
      </c>
      <c r="W255" s="272">
        <f>W249-W251-W253</f>
        <v>75.962000000000003</v>
      </c>
      <c r="X255" s="272">
        <f>X249-X251-X253</f>
        <v>0</v>
      </c>
      <c r="Y255" s="272">
        <f t="shared" ref="Y255:AJ255" si="63">Y249-Y251-Y253</f>
        <v>0</v>
      </c>
      <c r="Z255" s="272">
        <f t="shared" si="63"/>
        <v>0</v>
      </c>
      <c r="AA255" s="272">
        <f t="shared" si="63"/>
        <v>0</v>
      </c>
      <c r="AB255" s="272">
        <f t="shared" si="63"/>
        <v>0</v>
      </c>
      <c r="AC255" s="272"/>
      <c r="AD255" s="272">
        <f t="shared" si="63"/>
        <v>0</v>
      </c>
      <c r="AE255" s="272">
        <f t="shared" si="63"/>
        <v>0</v>
      </c>
      <c r="AF255" s="272">
        <f t="shared" si="63"/>
        <v>0</v>
      </c>
      <c r="AG255" s="272">
        <f t="shared" si="63"/>
        <v>0</v>
      </c>
      <c r="AH255" s="272">
        <f t="shared" si="63"/>
        <v>0</v>
      </c>
      <c r="AI255" s="272"/>
      <c r="AJ255" s="272">
        <f t="shared" si="63"/>
        <v>0</v>
      </c>
      <c r="AL255" s="583">
        <f>SUM(G255:AJ255)</f>
        <v>602.37299999999993</v>
      </c>
      <c r="AN255" s="3"/>
      <c r="BH255" s="141"/>
      <c r="VEX255" s="46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</row>
    <row r="256" spans="3:60 15026:15418" s="1" customFormat="1" x14ac:dyDescent="0.25">
      <c r="C256" s="15"/>
      <c r="D256" s="14"/>
      <c r="E256" s="234"/>
      <c r="F256" s="20"/>
      <c r="G256" s="33"/>
      <c r="H256" s="33"/>
      <c r="I256" s="33"/>
      <c r="J256" s="33"/>
      <c r="K256" s="33">
        <v>0</v>
      </c>
      <c r="L256" s="33">
        <v>0</v>
      </c>
      <c r="M256" s="33"/>
      <c r="N256" s="33"/>
      <c r="O256" s="33"/>
      <c r="P256" s="33"/>
      <c r="Q256" s="33"/>
      <c r="R256" s="33"/>
      <c r="S256" s="196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L256" s="54">
        <f>AL255/AL9*1000000</f>
        <v>33.816127344309578</v>
      </c>
      <c r="AN256" s="3"/>
      <c r="BH256" s="141"/>
      <c r="VEX256" s="46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</row>
    <row r="257" spans="3:60 15026:15418" s="2" customFormat="1" ht="15.75" thickBot="1" x14ac:dyDescent="0.3">
      <c r="C257" s="40"/>
      <c r="D257" s="28" t="s">
        <v>1</v>
      </c>
      <c r="E257" s="263">
        <v>408000</v>
      </c>
      <c r="F257" s="20" t="s">
        <v>14</v>
      </c>
      <c r="G257" s="282">
        <f t="shared" ref="G257:AJ257" si="64">SUM(G251,G253,G255)</f>
        <v>0</v>
      </c>
      <c r="H257" s="282">
        <f t="shared" si="64"/>
        <v>0</v>
      </c>
      <c r="I257" s="282">
        <f t="shared" si="64"/>
        <v>0</v>
      </c>
      <c r="J257" s="1651">
        <f t="shared" si="64"/>
        <v>0</v>
      </c>
      <c r="K257" s="282">
        <f t="shared" si="64"/>
        <v>0</v>
      </c>
      <c r="L257" s="282">
        <f t="shared" si="64"/>
        <v>0</v>
      </c>
      <c r="M257" s="42">
        <f t="shared" si="64"/>
        <v>0</v>
      </c>
      <c r="N257" s="42">
        <f t="shared" si="64"/>
        <v>230.70699999999999</v>
      </c>
      <c r="O257" s="1651">
        <f>SUM(O251,O253,O255)</f>
        <v>213.578</v>
      </c>
      <c r="P257" s="1651">
        <f>SUM(P251,P253,P255)</f>
        <v>179.17099999999999</v>
      </c>
      <c r="Q257" s="1794">
        <f t="shared" si="64"/>
        <v>214.756</v>
      </c>
      <c r="R257" s="1794">
        <f t="shared" si="64"/>
        <v>221.82899999999998</v>
      </c>
      <c r="S257" s="1794">
        <f t="shared" si="64"/>
        <v>164.72900000000001</v>
      </c>
      <c r="T257" s="1651">
        <f t="shared" si="64"/>
        <v>132.024</v>
      </c>
      <c r="U257" s="1651">
        <f t="shared" si="64"/>
        <v>124.18200000000002</v>
      </c>
      <c r="V257" s="42">
        <f t="shared" si="64"/>
        <v>166.82599999999999</v>
      </c>
      <c r="W257" s="282">
        <f>SUM(W251,W253,W255)</f>
        <v>170.977</v>
      </c>
      <c r="X257" s="282">
        <f>SUM(X251,X253,X255)</f>
        <v>0</v>
      </c>
      <c r="Y257" s="1651">
        <f t="shared" ref="Y257:Z257" si="65">SUM(Y251,Y253,Y255)</f>
        <v>0</v>
      </c>
      <c r="Z257" s="1651">
        <f t="shared" si="65"/>
        <v>0</v>
      </c>
      <c r="AA257" s="282">
        <f t="shared" si="64"/>
        <v>0</v>
      </c>
      <c r="AB257" s="282">
        <f t="shared" si="64"/>
        <v>0</v>
      </c>
      <c r="AC257" s="282"/>
      <c r="AD257" s="282">
        <f t="shared" si="64"/>
        <v>0</v>
      </c>
      <c r="AE257" s="282">
        <f t="shared" si="64"/>
        <v>0</v>
      </c>
      <c r="AF257" s="282">
        <f t="shared" si="64"/>
        <v>0</v>
      </c>
      <c r="AG257" s="282">
        <f t="shared" si="64"/>
        <v>0</v>
      </c>
      <c r="AH257" s="282">
        <f t="shared" si="64"/>
        <v>0</v>
      </c>
      <c r="AI257" s="282"/>
      <c r="AJ257" s="282">
        <f t="shared" si="64"/>
        <v>0</v>
      </c>
      <c r="AL257" s="58">
        <f>SUM(G257:AJ257)</f>
        <v>1818.779</v>
      </c>
      <c r="BH257" s="151"/>
    </row>
    <row r="258" spans="3:60 15026:15418" s="1" customFormat="1" x14ac:dyDescent="0.25">
      <c r="C258" s="8">
        <v>6</v>
      </c>
      <c r="D258" s="75" t="s">
        <v>13</v>
      </c>
      <c r="E258" s="76"/>
      <c r="F258" s="77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1966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L258" s="136" t="s">
        <v>134</v>
      </c>
      <c r="BH258" s="141"/>
      <c r="VEX258" s="46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</row>
    <row r="259" spans="3:60 15026:15418" s="16" customFormat="1" x14ac:dyDescent="0.2">
      <c r="C259" s="17"/>
      <c r="D259" s="242" t="s">
        <v>12</v>
      </c>
      <c r="E259" s="264">
        <v>1100</v>
      </c>
      <c r="F259" s="243" t="s">
        <v>124</v>
      </c>
      <c r="G259" s="244">
        <v>0</v>
      </c>
      <c r="H259" s="244">
        <v>0</v>
      </c>
      <c r="I259" s="244">
        <v>0</v>
      </c>
      <c r="J259" s="244">
        <v>0</v>
      </c>
      <c r="K259" s="244">
        <v>0</v>
      </c>
      <c r="L259" s="244">
        <v>0</v>
      </c>
      <c r="M259" s="244">
        <v>0</v>
      </c>
      <c r="N259" s="244">
        <v>781</v>
      </c>
      <c r="O259" s="244">
        <v>902</v>
      </c>
      <c r="P259" s="244">
        <v>823</v>
      </c>
      <c r="Q259" s="244">
        <v>910</v>
      </c>
      <c r="R259" s="2034">
        <v>902</v>
      </c>
      <c r="S259" s="2066">
        <v>625</v>
      </c>
      <c r="T259" s="2064">
        <v>860</v>
      </c>
      <c r="U259" s="2064">
        <v>764</v>
      </c>
      <c r="V259" s="244">
        <v>799</v>
      </c>
      <c r="W259" s="2095">
        <v>775</v>
      </c>
      <c r="X259" s="244"/>
      <c r="Y259" s="244"/>
      <c r="Z259" s="244"/>
      <c r="AA259" s="2002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755"/>
      <c r="AL259" s="821">
        <f>SUM(G259:AJ259)</f>
        <v>8141</v>
      </c>
      <c r="AO259" s="1561"/>
      <c r="BH259" s="144"/>
    </row>
    <row r="260" spans="3:60 15026:15418" s="16" customFormat="1" x14ac:dyDescent="0.25">
      <c r="C260" s="17"/>
      <c r="D260" s="43" t="s">
        <v>11</v>
      </c>
      <c r="E260" s="251"/>
      <c r="F260" s="12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2065"/>
      <c r="T260" s="2063"/>
      <c r="U260" s="2063"/>
      <c r="V260" s="34"/>
      <c r="W260" s="2094"/>
      <c r="X260" s="34"/>
      <c r="Y260" s="34"/>
      <c r="Z260" s="34"/>
      <c r="AA260" s="2001"/>
      <c r="AB260" s="34"/>
      <c r="AC260" s="34"/>
      <c r="AD260" s="34"/>
      <c r="AE260" s="34"/>
      <c r="AF260" s="34"/>
      <c r="AG260" s="34"/>
      <c r="AH260" s="34"/>
      <c r="AI260" s="34"/>
      <c r="AJ260" s="34"/>
      <c r="AL260" s="120">
        <f>AL261+AL263+AL265</f>
        <v>5429</v>
      </c>
      <c r="AN260" s="139"/>
      <c r="BH260" s="144"/>
    </row>
    <row r="261" spans="3:60 15026:15418" s="16" customFormat="1" x14ac:dyDescent="0.2">
      <c r="C261" s="17"/>
      <c r="D261" s="242" t="s">
        <v>10</v>
      </c>
      <c r="E261" s="265">
        <v>93.6</v>
      </c>
      <c r="F261" s="243" t="s">
        <v>991</v>
      </c>
      <c r="G261" s="244">
        <v>0</v>
      </c>
      <c r="H261" s="244">
        <v>0</v>
      </c>
      <c r="I261" s="244">
        <v>0</v>
      </c>
      <c r="J261" s="244">
        <v>0</v>
      </c>
      <c r="K261" s="244">
        <v>0</v>
      </c>
      <c r="L261" s="244">
        <v>0</v>
      </c>
      <c r="M261" s="244">
        <v>0</v>
      </c>
      <c r="N261" s="244">
        <v>63</v>
      </c>
      <c r="O261" s="244">
        <v>157</v>
      </c>
      <c r="P261" s="244">
        <v>136</v>
      </c>
      <c r="Q261" s="244">
        <v>165</v>
      </c>
      <c r="R261" s="2035">
        <v>137</v>
      </c>
      <c r="S261" s="2067">
        <v>124</v>
      </c>
      <c r="T261" s="2067">
        <v>110</v>
      </c>
      <c r="U261" s="2067">
        <v>118</v>
      </c>
      <c r="V261" s="2067">
        <v>135</v>
      </c>
      <c r="W261" s="2096">
        <v>134</v>
      </c>
      <c r="X261" s="245"/>
      <c r="Y261" s="245"/>
      <c r="Z261" s="245"/>
      <c r="AA261" s="2003"/>
      <c r="AB261" s="245"/>
      <c r="AC261" s="245"/>
      <c r="AD261" s="245"/>
      <c r="AE261" s="245"/>
      <c r="AF261" s="245"/>
      <c r="AG261" s="245"/>
      <c r="AH261" s="245"/>
      <c r="AI261" s="245"/>
      <c r="AJ261" s="245"/>
      <c r="AL261" s="821">
        <f>SUM(G261:AJ261)</f>
        <v>1279</v>
      </c>
      <c r="BH261" s="144"/>
    </row>
    <row r="262" spans="3:60 15026:15418" s="16" customFormat="1" x14ac:dyDescent="0.25">
      <c r="C262" s="17"/>
      <c r="D262" s="31"/>
      <c r="E262" s="265">
        <f>E261/2500</f>
        <v>3.7440000000000001E-2</v>
      </c>
      <c r="F262" s="32" t="s">
        <v>357</v>
      </c>
      <c r="G262" s="34" t="e">
        <f t="shared" ref="G262:M262" si="66">G261/(G9/1000)</f>
        <v>#DIV/0!</v>
      </c>
      <c r="H262" s="34" t="e">
        <f t="shared" si="66"/>
        <v>#DIV/0!</v>
      </c>
      <c r="I262" s="34" t="e">
        <f t="shared" si="66"/>
        <v>#DIV/0!</v>
      </c>
      <c r="J262" s="34" t="e">
        <f t="shared" si="66"/>
        <v>#DIV/0!</v>
      </c>
      <c r="K262" s="34" t="e">
        <f t="shared" si="66"/>
        <v>#DIV/0!</v>
      </c>
      <c r="L262" s="34" t="e">
        <f t="shared" si="66"/>
        <v>#DIV/0!</v>
      </c>
      <c r="M262" s="34" t="e">
        <f t="shared" si="66"/>
        <v>#DIV/0!</v>
      </c>
      <c r="N262" s="33">
        <f t="shared" ref="N262:AJ262" si="67">N261/N20*1000000</f>
        <v>154.47234209493919</v>
      </c>
      <c r="O262" s="33">
        <f t="shared" si="67"/>
        <v>77.288959296778771</v>
      </c>
      <c r="P262" s="33">
        <f t="shared" si="67"/>
        <v>66.451156445566724</v>
      </c>
      <c r="Q262" s="33">
        <f t="shared" si="67"/>
        <v>71.345366053615393</v>
      </c>
      <c r="R262" s="33">
        <f t="shared" si="67"/>
        <v>63.200860638873053</v>
      </c>
      <c r="S262" s="33">
        <f t="shared" si="67"/>
        <v>68.814416398253456</v>
      </c>
      <c r="T262" s="33">
        <f t="shared" si="67"/>
        <v>74.06474740217898</v>
      </c>
      <c r="U262" s="33">
        <f t="shared" si="67"/>
        <v>62.644600194729144</v>
      </c>
      <c r="V262" s="33">
        <f t="shared" si="67"/>
        <v>75.578934639337319</v>
      </c>
      <c r="W262" s="33">
        <f t="shared" si="67"/>
        <v>444.78227243909964</v>
      </c>
      <c r="X262" s="33">
        <f t="shared" si="67"/>
        <v>0</v>
      </c>
      <c r="Y262" s="33" t="e">
        <f t="shared" si="67"/>
        <v>#DIV/0!</v>
      </c>
      <c r="Z262" s="33" t="e">
        <f t="shared" si="67"/>
        <v>#DIV/0!</v>
      </c>
      <c r="AA262" s="33" t="e">
        <f t="shared" si="67"/>
        <v>#DIV/0!</v>
      </c>
      <c r="AB262" s="33" t="e">
        <f t="shared" si="67"/>
        <v>#DIV/0!</v>
      </c>
      <c r="AC262" s="33" t="e">
        <f t="shared" si="67"/>
        <v>#DIV/0!</v>
      </c>
      <c r="AD262" s="33" t="e">
        <f t="shared" si="67"/>
        <v>#DIV/0!</v>
      </c>
      <c r="AE262" s="33" t="e">
        <f t="shared" si="67"/>
        <v>#DIV/0!</v>
      </c>
      <c r="AF262" s="33" t="e">
        <f t="shared" si="67"/>
        <v>#DIV/0!</v>
      </c>
      <c r="AG262" s="33" t="e">
        <f t="shared" si="67"/>
        <v>#DIV/0!</v>
      </c>
      <c r="AH262" s="33" t="e">
        <f t="shared" si="67"/>
        <v>#DIV/0!</v>
      </c>
      <c r="AI262" s="33" t="e">
        <f t="shared" si="67"/>
        <v>#DIV/0!</v>
      </c>
      <c r="AJ262" s="33" t="e">
        <f t="shared" si="67"/>
        <v>#DIV/0!</v>
      </c>
      <c r="AL262" s="1513">
        <f>AL261/AL9*1000000</f>
        <v>71.800739530775715</v>
      </c>
      <c r="BH262" s="144"/>
    </row>
    <row r="263" spans="3:60 15026:15418" s="16" customFormat="1" x14ac:dyDescent="0.2">
      <c r="C263" s="17"/>
      <c r="D263" s="242" t="s">
        <v>9</v>
      </c>
      <c r="E263" s="1795">
        <v>326</v>
      </c>
      <c r="F263" s="243" t="s">
        <v>991</v>
      </c>
      <c r="G263" s="245"/>
      <c r="H263" s="245">
        <v>0</v>
      </c>
      <c r="I263" s="245">
        <v>0</v>
      </c>
      <c r="J263" s="245">
        <v>0</v>
      </c>
      <c r="K263" s="245">
        <v>0</v>
      </c>
      <c r="L263" s="245"/>
      <c r="M263" s="245">
        <v>0</v>
      </c>
      <c r="N263" s="245">
        <v>27</v>
      </c>
      <c r="O263" s="245">
        <v>87</v>
      </c>
      <c r="P263" s="245">
        <v>214</v>
      </c>
      <c r="Q263" s="245">
        <v>115</v>
      </c>
      <c r="R263" s="2036">
        <v>116</v>
      </c>
      <c r="S263" s="2069">
        <v>92</v>
      </c>
      <c r="T263" s="2068">
        <v>69</v>
      </c>
      <c r="U263" s="2068">
        <v>61</v>
      </c>
      <c r="V263" s="2068">
        <v>96</v>
      </c>
      <c r="W263" s="2097">
        <v>73</v>
      </c>
      <c r="X263" s="245"/>
      <c r="Y263" s="245"/>
      <c r="Z263" s="245"/>
      <c r="AA263" s="245"/>
      <c r="AB263" s="245"/>
      <c r="AC263" s="245"/>
      <c r="AD263" s="245"/>
      <c r="AE263" s="245"/>
      <c r="AF263" s="245"/>
      <c r="AG263" s="245"/>
      <c r="AH263" s="245"/>
      <c r="AI263" s="245"/>
      <c r="AJ263" s="245"/>
      <c r="AL263" s="821">
        <f>SUM(G263:AJ263)</f>
        <v>950</v>
      </c>
      <c r="BH263" s="144"/>
    </row>
    <row r="264" spans="3:60 15026:15418" s="16" customFormat="1" x14ac:dyDescent="0.25">
      <c r="C264" s="17"/>
      <c r="D264" s="31"/>
      <c r="E264" s="265">
        <f>E263/2500</f>
        <v>0.13039999999999999</v>
      </c>
      <c r="F264" s="32" t="s">
        <v>357</v>
      </c>
      <c r="G264" s="34" t="e">
        <f>G263/(G25/1000)</f>
        <v>#DIV/0!</v>
      </c>
      <c r="H264" s="34" t="e">
        <f>H263/(H25/1000)</f>
        <v>#DIV/0!</v>
      </c>
      <c r="I264" s="34" t="e">
        <f t="shared" ref="I264:M264" si="68">I263/(I25/1000)</f>
        <v>#DIV/0!</v>
      </c>
      <c r="J264" s="34" t="e">
        <f t="shared" si="68"/>
        <v>#DIV/0!</v>
      </c>
      <c r="K264" s="34" t="e">
        <f t="shared" si="68"/>
        <v>#DIV/0!</v>
      </c>
      <c r="L264" s="34" t="e">
        <f t="shared" si="68"/>
        <v>#DIV/0!</v>
      </c>
      <c r="M264" s="34" t="e">
        <f t="shared" si="68"/>
        <v>#DIV/0!</v>
      </c>
      <c r="N264" s="33">
        <f>N263/N29*1000000</f>
        <v>141.71145448438023</v>
      </c>
      <c r="O264" s="33">
        <f t="shared" ref="O264:AJ264" si="69">O263/O29*1000000</f>
        <v>47.862472960453495</v>
      </c>
      <c r="P264" s="33">
        <f t="shared" si="69"/>
        <v>88.952143746664291</v>
      </c>
      <c r="Q264" s="33">
        <f t="shared" si="69"/>
        <v>48.048118310344051</v>
      </c>
      <c r="R264" s="33">
        <f t="shared" si="69"/>
        <v>48.231945764008572</v>
      </c>
      <c r="S264" s="33">
        <f t="shared" si="69"/>
        <v>50.384786423271635</v>
      </c>
      <c r="T264" s="33">
        <f t="shared" si="69"/>
        <v>30.858482996975873</v>
      </c>
      <c r="U264" s="33">
        <f t="shared" si="69"/>
        <v>52.57057168342174</v>
      </c>
      <c r="V264" s="33">
        <f t="shared" si="69"/>
        <v>50.786261258282522</v>
      </c>
      <c r="W264" s="33">
        <f t="shared" si="69"/>
        <v>50.584318168431921</v>
      </c>
      <c r="X264" s="33">
        <f t="shared" si="69"/>
        <v>0</v>
      </c>
      <c r="Y264" s="33" t="e">
        <f t="shared" si="69"/>
        <v>#DIV/0!</v>
      </c>
      <c r="Z264" s="33" t="e">
        <f t="shared" si="69"/>
        <v>#DIV/0!</v>
      </c>
      <c r="AA264" s="33" t="e">
        <f t="shared" si="69"/>
        <v>#DIV/0!</v>
      </c>
      <c r="AB264" s="33" t="e">
        <f t="shared" si="69"/>
        <v>#DIV/0!</v>
      </c>
      <c r="AC264" s="33" t="e">
        <f t="shared" si="69"/>
        <v>#DIV/0!</v>
      </c>
      <c r="AD264" s="33" t="e">
        <f t="shared" si="69"/>
        <v>#DIV/0!</v>
      </c>
      <c r="AE264" s="33" t="e">
        <f t="shared" si="69"/>
        <v>#DIV/0!</v>
      </c>
      <c r="AF264" s="33" t="e">
        <f t="shared" si="69"/>
        <v>#DIV/0!</v>
      </c>
      <c r="AG264" s="33" t="e">
        <f t="shared" si="69"/>
        <v>#DIV/0!</v>
      </c>
      <c r="AH264" s="33" t="e">
        <f t="shared" si="69"/>
        <v>#DIV/0!</v>
      </c>
      <c r="AI264" s="33" t="e">
        <f t="shared" si="69"/>
        <v>#DIV/0!</v>
      </c>
      <c r="AJ264" s="33" t="e">
        <f t="shared" si="69"/>
        <v>#DIV/0!</v>
      </c>
      <c r="AK264" s="1511"/>
      <c r="AL264" s="1513">
        <f>(AL263/AL29)*1000000</f>
        <v>53.392962593958266</v>
      </c>
      <c r="BH264" s="144"/>
    </row>
    <row r="265" spans="3:60 15026:15418" s="16" customFormat="1" x14ac:dyDescent="0.2">
      <c r="C265" s="17"/>
      <c r="D265" s="242" t="s">
        <v>8</v>
      </c>
      <c r="E265" s="264">
        <v>491.59</v>
      </c>
      <c r="F265" s="243" t="s">
        <v>124</v>
      </c>
      <c r="G265" s="245">
        <v>0</v>
      </c>
      <c r="H265" s="245">
        <v>0</v>
      </c>
      <c r="I265" s="245">
        <v>0</v>
      </c>
      <c r="J265" s="245">
        <v>0</v>
      </c>
      <c r="K265" s="245">
        <v>0</v>
      </c>
      <c r="L265" s="245">
        <v>0</v>
      </c>
      <c r="M265" s="245">
        <v>0</v>
      </c>
      <c r="N265" s="245">
        <v>336</v>
      </c>
      <c r="O265" s="245">
        <v>304</v>
      </c>
      <c r="P265" s="245">
        <v>288</v>
      </c>
      <c r="Q265" s="245">
        <v>320</v>
      </c>
      <c r="R265" s="2037">
        <v>384</v>
      </c>
      <c r="S265" s="2049">
        <v>288</v>
      </c>
      <c r="T265" s="2070">
        <v>288</v>
      </c>
      <c r="U265" s="2070">
        <v>304</v>
      </c>
      <c r="V265" s="245">
        <v>368</v>
      </c>
      <c r="W265" s="2098">
        <v>320</v>
      </c>
      <c r="X265" s="245"/>
      <c r="Y265" s="245"/>
      <c r="Z265" s="245"/>
      <c r="AA265" s="2004"/>
      <c r="AB265" s="245"/>
      <c r="AC265" s="245"/>
      <c r="AD265" s="245"/>
      <c r="AE265" s="245"/>
      <c r="AF265" s="245"/>
      <c r="AG265" s="245"/>
      <c r="AH265" s="245"/>
      <c r="AI265" s="245"/>
      <c r="AJ265" s="245"/>
      <c r="AL265" s="821">
        <f>SUM(G265:AJ265)</f>
        <v>3200</v>
      </c>
      <c r="BH265" s="144"/>
    </row>
    <row r="266" spans="3:60 15026:15418" s="16" customFormat="1" x14ac:dyDescent="0.2">
      <c r="C266" s="17"/>
      <c r="D266" s="31" t="s">
        <v>7</v>
      </c>
      <c r="E266" s="264">
        <v>337.28</v>
      </c>
      <c r="F266" s="32" t="s">
        <v>124</v>
      </c>
      <c r="G266" s="34">
        <f>G259-G261-G263-G265</f>
        <v>0</v>
      </c>
      <c r="H266" s="34">
        <f>H259-H261-H263-H265</f>
        <v>0</v>
      </c>
      <c r="I266" s="34">
        <f t="shared" ref="I266:AJ266" si="70">I259-I261-I263-I265</f>
        <v>0</v>
      </c>
      <c r="J266" s="34">
        <f t="shared" si="70"/>
        <v>0</v>
      </c>
      <c r="K266" s="34">
        <v>0</v>
      </c>
      <c r="L266" s="34">
        <f t="shared" si="70"/>
        <v>0</v>
      </c>
      <c r="M266" s="34">
        <f t="shared" si="70"/>
        <v>0</v>
      </c>
      <c r="N266" s="34">
        <f t="shared" si="70"/>
        <v>355</v>
      </c>
      <c r="O266" s="34">
        <f t="shared" si="70"/>
        <v>354</v>
      </c>
      <c r="P266" s="34">
        <f t="shared" si="70"/>
        <v>185</v>
      </c>
      <c r="Q266" s="34">
        <f t="shared" si="70"/>
        <v>310</v>
      </c>
      <c r="R266" s="34">
        <f t="shared" si="70"/>
        <v>265</v>
      </c>
      <c r="S266" s="34">
        <f t="shared" si="70"/>
        <v>121</v>
      </c>
      <c r="T266" s="34">
        <f>T259-T261-T263-T265</f>
        <v>393</v>
      </c>
      <c r="U266" s="34">
        <f t="shared" si="70"/>
        <v>281</v>
      </c>
      <c r="V266" s="34">
        <f t="shared" si="70"/>
        <v>200</v>
      </c>
      <c r="W266" s="34">
        <f t="shared" si="70"/>
        <v>248</v>
      </c>
      <c r="X266" s="34">
        <f t="shared" si="70"/>
        <v>0</v>
      </c>
      <c r="Y266" s="34">
        <f t="shared" si="70"/>
        <v>0</v>
      </c>
      <c r="Z266" s="34">
        <f t="shared" si="70"/>
        <v>0</v>
      </c>
      <c r="AA266" s="34">
        <f t="shared" si="70"/>
        <v>0</v>
      </c>
      <c r="AB266" s="34">
        <f t="shared" si="70"/>
        <v>0</v>
      </c>
      <c r="AC266" s="34">
        <f t="shared" si="70"/>
        <v>0</v>
      </c>
      <c r="AD266" s="34">
        <f t="shared" si="70"/>
        <v>0</v>
      </c>
      <c r="AE266" s="34">
        <f t="shared" si="70"/>
        <v>0</v>
      </c>
      <c r="AF266" s="34">
        <f t="shared" si="70"/>
        <v>0</v>
      </c>
      <c r="AG266" s="34">
        <f t="shared" si="70"/>
        <v>0</v>
      </c>
      <c r="AH266" s="34">
        <f t="shared" si="70"/>
        <v>0</v>
      </c>
      <c r="AI266" s="34"/>
      <c r="AJ266" s="34">
        <f t="shared" si="70"/>
        <v>0</v>
      </c>
      <c r="AL266" s="54">
        <f>SUM(G266:AJ266)</f>
        <v>2712</v>
      </c>
      <c r="BH266" s="144"/>
    </row>
    <row r="267" spans="3:60 15026:15418" s="16" customFormat="1" x14ac:dyDescent="0.2">
      <c r="C267" s="17"/>
      <c r="D267" s="242" t="s">
        <v>6</v>
      </c>
      <c r="E267" s="264">
        <v>330</v>
      </c>
      <c r="F267" s="243" t="s">
        <v>124</v>
      </c>
      <c r="G267" s="245">
        <v>0</v>
      </c>
      <c r="H267" s="245">
        <v>0</v>
      </c>
      <c r="I267" s="245">
        <v>0</v>
      </c>
      <c r="J267" s="245">
        <v>0</v>
      </c>
      <c r="K267" s="245">
        <v>0</v>
      </c>
      <c r="L267" s="245">
        <v>0</v>
      </c>
      <c r="M267" s="245">
        <v>0</v>
      </c>
      <c r="N267" s="245">
        <v>80</v>
      </c>
      <c r="O267" s="245">
        <v>115</v>
      </c>
      <c r="P267" s="245">
        <v>220</v>
      </c>
      <c r="Q267" s="245">
        <v>96</v>
      </c>
      <c r="R267" s="2038">
        <v>169</v>
      </c>
      <c r="S267" s="2049">
        <v>115</v>
      </c>
      <c r="T267" s="2071">
        <v>106</v>
      </c>
      <c r="U267" s="2071">
        <v>96</v>
      </c>
      <c r="V267" s="245">
        <v>168</v>
      </c>
      <c r="W267" s="2099">
        <v>54</v>
      </c>
      <c r="X267" s="245"/>
      <c r="Y267" s="245"/>
      <c r="Z267" s="245"/>
      <c r="AA267" s="2004"/>
      <c r="AB267" s="245"/>
      <c r="AC267" s="245"/>
      <c r="AD267" s="245"/>
      <c r="AE267" s="245"/>
      <c r="AF267" s="245"/>
      <c r="AG267" s="245"/>
      <c r="AH267" s="245"/>
      <c r="AI267" s="245"/>
      <c r="AJ267" s="245"/>
      <c r="AL267" s="958">
        <f>SUM(G267:AJ267)</f>
        <v>1219</v>
      </c>
      <c r="BH267" s="144"/>
    </row>
    <row r="268" spans="3:60 15026:15418" s="16" customFormat="1" x14ac:dyDescent="0.2">
      <c r="C268" s="953"/>
      <c r="D268" s="954"/>
      <c r="E268" s="955"/>
      <c r="F268" s="956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1970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806"/>
      <c r="AL268" s="957">
        <f>AL267/AL6</f>
        <v>121.9</v>
      </c>
      <c r="BH268" s="144"/>
    </row>
    <row r="269" spans="3:60 15026:15418" s="1" customFormat="1" x14ac:dyDescent="0.25">
      <c r="C269" s="83">
        <v>7</v>
      </c>
      <c r="D269" s="75" t="s">
        <v>5</v>
      </c>
      <c r="E269" s="76"/>
      <c r="F269" s="77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1966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L269" s="121" t="s">
        <v>135</v>
      </c>
      <c r="BH269" s="141"/>
      <c r="VEX269" s="46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</row>
    <row r="270" spans="3:60 15026:15418" s="1" customFormat="1" x14ac:dyDescent="0.25">
      <c r="C270" s="83"/>
      <c r="D270" s="122" t="s">
        <v>4</v>
      </c>
      <c r="E270" s="1064"/>
      <c r="F270" s="12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196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L270" s="52" t="s">
        <v>4</v>
      </c>
      <c r="BH270" s="141"/>
      <c r="VEX270" s="46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</row>
    <row r="271" spans="3:60 15026:15418" s="1" customFormat="1" x14ac:dyDescent="0.25">
      <c r="C271" s="83"/>
      <c r="D271" s="235" t="s">
        <v>3</v>
      </c>
      <c r="E271" s="234">
        <v>28770</v>
      </c>
      <c r="F271" s="246" t="s">
        <v>909</v>
      </c>
      <c r="G271" s="275">
        <v>0</v>
      </c>
      <c r="H271" s="1514">
        <v>0</v>
      </c>
      <c r="I271" s="1514">
        <v>0</v>
      </c>
      <c r="J271" s="1514">
        <v>0</v>
      </c>
      <c r="K271" s="1514">
        <v>0</v>
      </c>
      <c r="L271" s="1514">
        <v>0</v>
      </c>
      <c r="M271" s="1514">
        <v>0</v>
      </c>
      <c r="N271" s="245">
        <v>22.9</v>
      </c>
      <c r="O271" s="245">
        <v>43.4</v>
      </c>
      <c r="P271" s="245">
        <v>49.4</v>
      </c>
      <c r="Q271" s="245">
        <v>50</v>
      </c>
      <c r="R271" s="2426">
        <v>50.4</v>
      </c>
      <c r="S271" s="2427">
        <v>49.5</v>
      </c>
      <c r="T271" s="2428">
        <v>49.3</v>
      </c>
      <c r="U271" s="2428">
        <v>45.5</v>
      </c>
      <c r="V271" s="245">
        <v>47.7</v>
      </c>
      <c r="W271" s="2429">
        <v>39.700000000000003</v>
      </c>
      <c r="X271" s="245"/>
      <c r="Y271" s="245"/>
      <c r="Z271" s="245"/>
      <c r="AA271" s="2430"/>
      <c r="AB271" s="245"/>
      <c r="AC271" s="245"/>
      <c r="AD271" s="245"/>
      <c r="AE271" s="245"/>
      <c r="AF271" s="245"/>
      <c r="AG271" s="245">
        <v>0</v>
      </c>
      <c r="AH271" s="245">
        <v>0</v>
      </c>
      <c r="AI271" s="245"/>
      <c r="AJ271" s="245"/>
      <c r="AL271" s="961">
        <f>SUM(G271:AJ271)/AL6</f>
        <v>44.78</v>
      </c>
      <c r="AN271" s="2177">
        <f>AL271/AL9*100000</f>
        <v>0.25138679563628902</v>
      </c>
      <c r="BH271" s="141"/>
      <c r="VEX271" s="46"/>
      <c r="VEY271" s="46"/>
      <c r="VEZ271" s="46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</row>
    <row r="272" spans="3:60 15026:15418" s="1" customFormat="1" x14ac:dyDescent="0.25">
      <c r="C272" s="83"/>
      <c r="D272" s="122" t="s">
        <v>1</v>
      </c>
      <c r="E272" s="13"/>
      <c r="F272" s="69" t="s">
        <v>0</v>
      </c>
      <c r="G272" s="282">
        <f>G271</f>
        <v>0</v>
      </c>
      <c r="H272" s="282">
        <f t="shared" ref="H272:AA272" si="71">H271*1000</f>
        <v>0</v>
      </c>
      <c r="I272" s="282">
        <f t="shared" si="71"/>
        <v>0</v>
      </c>
      <c r="J272" s="282">
        <f t="shared" si="71"/>
        <v>0</v>
      </c>
      <c r="K272" s="282">
        <f t="shared" si="71"/>
        <v>0</v>
      </c>
      <c r="L272" s="282">
        <f t="shared" si="71"/>
        <v>0</v>
      </c>
      <c r="M272" s="282">
        <f t="shared" si="71"/>
        <v>0</v>
      </c>
      <c r="N272" s="282">
        <f t="shared" si="71"/>
        <v>22900</v>
      </c>
      <c r="O272" s="282">
        <f t="shared" si="71"/>
        <v>43400</v>
      </c>
      <c r="P272" s="282">
        <f t="shared" si="71"/>
        <v>49400</v>
      </c>
      <c r="Q272" s="282">
        <f t="shared" si="71"/>
        <v>50000</v>
      </c>
      <c r="R272" s="282">
        <f t="shared" si="71"/>
        <v>50400</v>
      </c>
      <c r="S272" s="2073">
        <v>49500</v>
      </c>
      <c r="T272" s="2073">
        <v>49300</v>
      </c>
      <c r="U272" s="2073">
        <v>45500</v>
      </c>
      <c r="V272" s="282">
        <f t="shared" ref="V272" si="72">V271*1000</f>
        <v>47700</v>
      </c>
      <c r="W272" s="2101">
        <v>39700</v>
      </c>
      <c r="X272" s="282"/>
      <c r="Y272" s="282">
        <f t="shared" ref="Y272:Z272" si="73">Y271*1000</f>
        <v>0</v>
      </c>
      <c r="Z272" s="282">
        <f t="shared" si="73"/>
        <v>0</v>
      </c>
      <c r="AA272" s="282">
        <f t="shared" si="71"/>
        <v>0</v>
      </c>
      <c r="AB272" s="282">
        <f>AB271*1000</f>
        <v>0</v>
      </c>
      <c r="AC272" s="282"/>
      <c r="AD272" s="282">
        <f>AD271*1000</f>
        <v>0</v>
      </c>
      <c r="AE272" s="282">
        <f>AE271*1000</f>
        <v>0</v>
      </c>
      <c r="AF272" s="282">
        <f>AF271*1000</f>
        <v>0</v>
      </c>
      <c r="AG272" s="282">
        <f t="shared" ref="AG272:AJ272" si="74">AG271*1000</f>
        <v>0</v>
      </c>
      <c r="AH272" s="282">
        <f t="shared" si="74"/>
        <v>0</v>
      </c>
      <c r="AI272" s="282"/>
      <c r="AJ272" s="282">
        <f t="shared" si="74"/>
        <v>0</v>
      </c>
      <c r="AK272" s="62"/>
      <c r="AL272" s="82">
        <f>SUM(G272:AJ272)</f>
        <v>447800</v>
      </c>
      <c r="BH272" s="141"/>
      <c r="VEX272" s="46"/>
      <c r="VEY272" s="46"/>
      <c r="VEZ272" s="46"/>
      <c r="VFA272" s="46"/>
      <c r="VFB272" s="46"/>
      <c r="VFC272" s="46"/>
      <c r="VFD272" s="46"/>
      <c r="VFE272" s="46"/>
      <c r="VFF272" s="46"/>
      <c r="VFG272" s="46"/>
      <c r="VFH272" s="46"/>
      <c r="VFI272" s="46"/>
      <c r="VFJ272" s="46"/>
      <c r="VFK272" s="46"/>
      <c r="VFL272" s="46"/>
      <c r="VFM272" s="46"/>
      <c r="VFN272" s="46"/>
      <c r="VFO272" s="46"/>
      <c r="VFP272" s="46"/>
      <c r="VFQ272" s="46"/>
      <c r="VFR272" s="46"/>
      <c r="VFS272" s="46"/>
      <c r="VFT272" s="46"/>
      <c r="VFU272" s="46"/>
      <c r="VFV272" s="46"/>
      <c r="VFW272" s="46"/>
      <c r="VFX272" s="46"/>
      <c r="VFY272" s="46"/>
      <c r="VFZ272" s="46"/>
      <c r="VGA272" s="46"/>
      <c r="VGB272" s="46"/>
      <c r="VGC272" s="46"/>
      <c r="VGD272" s="46"/>
      <c r="VGE272" s="46"/>
      <c r="VGF272" s="46"/>
      <c r="VGG272" s="46"/>
      <c r="VGH272" s="46"/>
      <c r="VGI272" s="46"/>
      <c r="VGJ272" s="46"/>
      <c r="VGK272" s="46"/>
      <c r="VGL272" s="46"/>
      <c r="VGM272" s="46"/>
      <c r="VGN272" s="46"/>
      <c r="VGO272" s="46"/>
      <c r="VGP272" s="46"/>
      <c r="VGQ272" s="46"/>
      <c r="VGR272" s="46"/>
      <c r="VGS272" s="46"/>
      <c r="VGT272" s="46"/>
      <c r="VGU272" s="46"/>
      <c r="VGV272" s="46"/>
      <c r="VGW272" s="46"/>
      <c r="VGX272" s="46"/>
      <c r="VGY272" s="46"/>
      <c r="VGZ272" s="46"/>
      <c r="VHA272" s="46"/>
      <c r="VHB272" s="46"/>
      <c r="VHC272" s="46"/>
      <c r="VHD272" s="46"/>
      <c r="VHE272" s="46"/>
      <c r="VHF272" s="46"/>
      <c r="VHG272" s="46"/>
      <c r="VHH272" s="46"/>
      <c r="VHI272" s="46"/>
      <c r="VHJ272" s="46"/>
      <c r="VHK272" s="46"/>
      <c r="VHL272" s="46"/>
      <c r="VHM272" s="46"/>
      <c r="VHN272" s="46"/>
      <c r="VHO272" s="46"/>
      <c r="VHP272" s="46"/>
      <c r="VHQ272" s="46"/>
      <c r="VHR272" s="46"/>
      <c r="VHS272" s="46"/>
      <c r="VHT272" s="46"/>
      <c r="VHU272" s="46"/>
      <c r="VHV272" s="46"/>
      <c r="VHW272" s="46"/>
      <c r="VHX272" s="46"/>
      <c r="VHY272" s="46"/>
      <c r="VHZ272" s="46"/>
      <c r="VIA272" s="46"/>
      <c r="VIB272" s="46"/>
      <c r="VIC272" s="46"/>
      <c r="VID272" s="46"/>
      <c r="VIE272" s="46"/>
      <c r="VIF272" s="46"/>
      <c r="VIG272" s="46"/>
      <c r="VIH272" s="46"/>
      <c r="VII272" s="46"/>
      <c r="VIJ272" s="46"/>
      <c r="VIK272" s="46"/>
      <c r="VIL272" s="46"/>
      <c r="VIM272" s="46"/>
      <c r="VIN272" s="46"/>
      <c r="VIO272" s="46"/>
      <c r="VIP272" s="46"/>
      <c r="VIQ272" s="46"/>
      <c r="VIR272" s="46"/>
      <c r="VIS272" s="46"/>
      <c r="VIT272" s="46"/>
      <c r="VIU272" s="46"/>
      <c r="VIV272" s="46"/>
      <c r="VIW272" s="46"/>
      <c r="VIX272" s="46"/>
      <c r="VIY272" s="46"/>
      <c r="VIZ272" s="46"/>
      <c r="VJA272" s="46"/>
      <c r="VJB272" s="46"/>
      <c r="VJC272" s="46"/>
      <c r="VJD272" s="46"/>
      <c r="VJE272" s="46"/>
      <c r="VJF272" s="46"/>
      <c r="VJG272" s="46"/>
      <c r="VJH272" s="46"/>
      <c r="VJI272" s="46"/>
      <c r="VJJ272" s="46"/>
      <c r="VJK272" s="46"/>
      <c r="VJL272" s="46"/>
      <c r="VJM272" s="46"/>
      <c r="VJN272" s="46"/>
      <c r="VJO272" s="46"/>
      <c r="VJP272" s="46"/>
      <c r="VJQ272" s="46"/>
      <c r="VJR272" s="46"/>
      <c r="VJS272" s="46"/>
      <c r="VJT272" s="46"/>
      <c r="VJU272" s="46"/>
      <c r="VJV272" s="46"/>
      <c r="VJW272" s="46"/>
      <c r="VJX272" s="46"/>
      <c r="VJY272" s="46"/>
      <c r="VJZ272" s="46"/>
      <c r="VKA272" s="46"/>
      <c r="VKB272" s="46"/>
      <c r="VKC272" s="46"/>
      <c r="VKD272" s="46"/>
      <c r="VKE272" s="46"/>
      <c r="VKF272" s="46"/>
      <c r="VKG272" s="46"/>
      <c r="VKH272" s="46"/>
      <c r="VKI272" s="46"/>
      <c r="VKJ272" s="46"/>
      <c r="VKK272" s="46"/>
      <c r="VKL272" s="46"/>
      <c r="VKM272" s="46"/>
      <c r="VKN272" s="46"/>
      <c r="VKO272" s="46"/>
      <c r="VKP272" s="46"/>
      <c r="VKQ272" s="46"/>
      <c r="VKR272" s="46"/>
      <c r="VKS272" s="46"/>
      <c r="VKT272" s="46"/>
      <c r="VKU272" s="46"/>
      <c r="VKV272" s="46"/>
      <c r="VKW272" s="46"/>
      <c r="VKX272" s="46"/>
      <c r="VKY272" s="46"/>
      <c r="VKZ272" s="46"/>
      <c r="VLA272" s="46"/>
      <c r="VLB272" s="46"/>
      <c r="VLC272" s="46"/>
      <c r="VLD272" s="46"/>
      <c r="VLE272" s="46"/>
      <c r="VLF272" s="46"/>
      <c r="VLG272" s="46"/>
      <c r="VLH272" s="46"/>
      <c r="VLI272" s="46"/>
      <c r="VLJ272" s="46"/>
      <c r="VLK272" s="46"/>
      <c r="VLL272" s="46"/>
      <c r="VLM272" s="46"/>
      <c r="VLN272" s="46"/>
      <c r="VLO272" s="46"/>
      <c r="VLP272" s="46"/>
      <c r="VLQ272" s="46"/>
      <c r="VLR272" s="46"/>
      <c r="VLS272" s="46"/>
      <c r="VLT272" s="46"/>
      <c r="VLU272" s="46"/>
      <c r="VLV272" s="46"/>
      <c r="VLW272" s="46"/>
      <c r="VLX272" s="46"/>
      <c r="VLY272" s="46"/>
      <c r="VLZ272" s="46"/>
      <c r="VMA272" s="46"/>
      <c r="VMB272" s="46"/>
      <c r="VMC272" s="46"/>
      <c r="VMD272" s="46"/>
      <c r="VME272" s="46"/>
      <c r="VMF272" s="46"/>
      <c r="VMG272" s="46"/>
      <c r="VMH272" s="46"/>
      <c r="VMI272" s="46"/>
      <c r="VMJ272" s="46"/>
      <c r="VMK272" s="46"/>
      <c r="VML272" s="46"/>
      <c r="VMM272" s="46"/>
      <c r="VMN272" s="46"/>
      <c r="VMO272" s="46"/>
      <c r="VMP272" s="46"/>
      <c r="VMQ272" s="46"/>
      <c r="VMR272" s="46"/>
      <c r="VMS272" s="46"/>
      <c r="VMT272" s="46"/>
      <c r="VMU272" s="46"/>
      <c r="VMV272" s="46"/>
      <c r="VMW272" s="46"/>
      <c r="VMX272" s="46"/>
      <c r="VMY272" s="46"/>
      <c r="VMZ272" s="46"/>
      <c r="VNA272" s="46"/>
      <c r="VNB272" s="46"/>
      <c r="VNC272" s="46"/>
      <c r="VND272" s="46"/>
      <c r="VNE272" s="46"/>
      <c r="VNF272" s="46"/>
      <c r="VNG272" s="46"/>
      <c r="VNH272" s="46"/>
      <c r="VNI272" s="46"/>
      <c r="VNJ272" s="46"/>
      <c r="VNK272" s="46"/>
      <c r="VNL272" s="46"/>
      <c r="VNM272" s="46"/>
      <c r="VNN272" s="46"/>
      <c r="VNO272" s="46"/>
      <c r="VNP272" s="46"/>
      <c r="VNQ272" s="46"/>
      <c r="VNR272" s="46"/>
      <c r="VNS272" s="46"/>
      <c r="VNT272" s="46"/>
      <c r="VNU272" s="46"/>
      <c r="VNV272" s="46"/>
      <c r="VNW272" s="46"/>
      <c r="VNX272" s="46"/>
      <c r="VNY272" s="46"/>
      <c r="VNZ272" s="46"/>
      <c r="VOA272" s="46"/>
      <c r="VOB272" s="46"/>
      <c r="VOC272" s="46"/>
      <c r="VOD272" s="46"/>
      <c r="VOE272" s="46"/>
      <c r="VOF272" s="46"/>
      <c r="VOG272" s="46"/>
      <c r="VOH272" s="46"/>
      <c r="VOI272" s="46"/>
      <c r="VOJ272" s="46"/>
      <c r="VOK272" s="46"/>
      <c r="VOL272" s="46"/>
      <c r="VOM272" s="46"/>
      <c r="VON272" s="46"/>
      <c r="VOO272" s="46"/>
      <c r="VOP272" s="46"/>
      <c r="VOQ272" s="46"/>
      <c r="VOR272" s="46"/>
      <c r="VOS272" s="46"/>
      <c r="VOT272" s="46"/>
      <c r="VOU272" s="46"/>
      <c r="VOV272" s="46"/>
      <c r="VOW272" s="46"/>
      <c r="VOX272" s="46"/>
      <c r="VOY272" s="46"/>
      <c r="VOZ272" s="46"/>
      <c r="VPA272" s="46"/>
      <c r="VPB272" s="46"/>
      <c r="VPC272" s="46"/>
      <c r="VPD272" s="46"/>
      <c r="VPE272" s="46"/>
      <c r="VPF272" s="46"/>
      <c r="VPG272" s="46"/>
      <c r="VPH272" s="46"/>
      <c r="VPI272" s="46"/>
      <c r="VPJ272" s="46"/>
      <c r="VPK272" s="46"/>
      <c r="VPL272" s="46"/>
      <c r="VPM272" s="46"/>
      <c r="VPN272" s="46"/>
      <c r="VPO272" s="46"/>
      <c r="VPP272" s="46"/>
      <c r="VPQ272" s="46"/>
      <c r="VPR272" s="46"/>
      <c r="VPS272" s="46"/>
      <c r="VPT272" s="46"/>
      <c r="VPU272" s="46"/>
      <c r="VPV272" s="46"/>
      <c r="VPW272" s="46"/>
      <c r="VPX272" s="46"/>
      <c r="VPY272" s="46"/>
      <c r="VPZ272" s="46"/>
      <c r="VQA272" s="46"/>
      <c r="VQB272" s="46"/>
      <c r="VQC272" s="46"/>
      <c r="VQD272" s="46"/>
      <c r="VQE272" s="46"/>
      <c r="VQF272" s="46"/>
      <c r="VQG272" s="46"/>
      <c r="VQH272" s="46"/>
      <c r="VQI272" s="46"/>
      <c r="VQJ272" s="46"/>
      <c r="VQK272" s="46"/>
      <c r="VQL272" s="46"/>
      <c r="VQM272" s="46"/>
      <c r="VQN272" s="46"/>
      <c r="VQO272" s="46"/>
      <c r="VQP272" s="46"/>
      <c r="VQQ272" s="46"/>
      <c r="VQR272" s="46"/>
      <c r="VQS272" s="46"/>
      <c r="VQT272" s="46"/>
      <c r="VQU272" s="46"/>
      <c r="VQV272" s="46"/>
      <c r="VQW272" s="46"/>
      <c r="VQX272" s="46"/>
      <c r="VQY272" s="46"/>
      <c r="VQZ272" s="46"/>
      <c r="VRA272" s="46"/>
      <c r="VRB272" s="46"/>
      <c r="VRC272" s="46"/>
      <c r="VRD272" s="46"/>
      <c r="VRE272" s="46"/>
      <c r="VRF272" s="46"/>
      <c r="VRG272" s="46"/>
      <c r="VRH272" s="46"/>
      <c r="VRI272" s="46"/>
      <c r="VRJ272" s="46"/>
      <c r="VRK272" s="46"/>
      <c r="VRL272" s="46"/>
      <c r="VRM272" s="46"/>
      <c r="VRN272" s="46"/>
      <c r="VRO272" s="46"/>
      <c r="VRP272" s="46"/>
      <c r="VRQ272" s="46"/>
      <c r="VRR272" s="46"/>
      <c r="VRS272" s="46"/>
      <c r="VRT272" s="46"/>
      <c r="VRU272" s="46"/>
      <c r="VRV272" s="46"/>
      <c r="VRW272" s="46"/>
      <c r="VRX272" s="46"/>
      <c r="VRY272" s="46"/>
      <c r="VRZ272" s="46"/>
      <c r="VSA272" s="46"/>
      <c r="VSB272" s="46"/>
      <c r="VSC272" s="46"/>
      <c r="VSD272" s="46"/>
      <c r="VSE272" s="46"/>
      <c r="VSF272" s="46"/>
      <c r="VSG272" s="46"/>
      <c r="VSH272" s="46"/>
      <c r="VSI272" s="46"/>
      <c r="VSJ272" s="46"/>
      <c r="VSK272" s="46"/>
      <c r="VSL272" s="46"/>
      <c r="VSM272" s="46"/>
      <c r="VSN272" s="46"/>
      <c r="VSO272" s="46"/>
      <c r="VSP272" s="46"/>
      <c r="VSQ272" s="46"/>
      <c r="VSR272" s="46"/>
      <c r="VSS272" s="46"/>
      <c r="VST272" s="46"/>
      <c r="VSU272" s="46"/>
      <c r="VSV272" s="46"/>
      <c r="VSW272" s="46"/>
      <c r="VSX272" s="46"/>
      <c r="VSY272" s="46"/>
      <c r="VSZ272" s="46"/>
      <c r="VTA272" s="46"/>
      <c r="VTB272" s="46"/>
      <c r="VTC272" s="46"/>
      <c r="VTD272" s="46"/>
      <c r="VTE272" s="46"/>
      <c r="VTF272" s="46"/>
      <c r="VTG272" s="46"/>
      <c r="VTH272" s="46"/>
      <c r="VTI272" s="46"/>
      <c r="VTJ272" s="46"/>
      <c r="VTK272" s="46"/>
      <c r="VTL272" s="46"/>
      <c r="VTM272" s="46"/>
      <c r="VTN272" s="46"/>
      <c r="VTO272" s="46"/>
      <c r="VTP272" s="46"/>
      <c r="VTQ272" s="46"/>
      <c r="VTR272" s="46"/>
      <c r="VTS272" s="46"/>
      <c r="VTT272" s="46"/>
      <c r="VTU272" s="46"/>
      <c r="VTV272" s="46"/>
      <c r="VTW272" s="46"/>
      <c r="VTX272" s="46"/>
      <c r="VTY272" s="46"/>
      <c r="VTZ272" s="46"/>
    </row>
    <row r="273" spans="3:60 15026:15418" s="1" customFormat="1" x14ac:dyDescent="0.25">
      <c r="C273" s="83"/>
      <c r="D273" s="122" t="s">
        <v>16</v>
      </c>
      <c r="E273" s="13"/>
      <c r="F273" s="69"/>
      <c r="G273" s="282"/>
      <c r="H273" s="282"/>
      <c r="I273" s="282"/>
      <c r="J273" s="282"/>
      <c r="K273" s="282"/>
      <c r="L273" s="282"/>
      <c r="M273" s="282"/>
      <c r="N273" s="282"/>
      <c r="O273" s="282"/>
      <c r="P273" s="282"/>
      <c r="Q273" s="282"/>
      <c r="R273" s="282"/>
      <c r="S273" s="2058"/>
      <c r="T273" s="2073"/>
      <c r="U273" s="2073"/>
      <c r="V273" s="282"/>
      <c r="W273" s="2101"/>
      <c r="X273" s="282"/>
      <c r="Y273" s="282"/>
      <c r="Z273" s="282"/>
      <c r="AA273" s="282"/>
      <c r="AB273" s="282"/>
      <c r="AC273" s="282"/>
      <c r="AD273" s="282"/>
      <c r="AE273" s="282"/>
      <c r="AF273" s="282"/>
      <c r="AG273" s="282"/>
      <c r="AH273" s="282"/>
      <c r="AI273" s="282"/>
      <c r="AJ273" s="282"/>
      <c r="AK273" s="62"/>
      <c r="AL273" s="124" t="s">
        <v>16</v>
      </c>
      <c r="BH273" s="141"/>
      <c r="VEX273" s="46"/>
      <c r="VEY273" s="46"/>
      <c r="VEZ273" s="46"/>
      <c r="VFA273" s="46"/>
      <c r="VFB273" s="46"/>
      <c r="VFC273" s="46"/>
      <c r="VFD273" s="46"/>
      <c r="VFE273" s="46"/>
      <c r="VFF273" s="46"/>
      <c r="VFG273" s="46"/>
      <c r="VFH273" s="46"/>
      <c r="VFI273" s="46"/>
      <c r="VFJ273" s="46"/>
      <c r="VFK273" s="46"/>
      <c r="VFL273" s="46"/>
      <c r="VFM273" s="46"/>
      <c r="VFN273" s="46"/>
      <c r="VFO273" s="46"/>
      <c r="VFP273" s="46"/>
      <c r="VFQ273" s="46"/>
      <c r="VFR273" s="46"/>
      <c r="VFS273" s="46"/>
      <c r="VFT273" s="46"/>
      <c r="VFU273" s="46"/>
      <c r="VFV273" s="46"/>
      <c r="VFW273" s="46"/>
      <c r="VFX273" s="46"/>
      <c r="VFY273" s="46"/>
      <c r="VFZ273" s="46"/>
      <c r="VGA273" s="46"/>
      <c r="VGB273" s="46"/>
      <c r="VGC273" s="46"/>
      <c r="VGD273" s="46"/>
      <c r="VGE273" s="46"/>
      <c r="VGF273" s="46"/>
      <c r="VGG273" s="46"/>
      <c r="VGH273" s="46"/>
      <c r="VGI273" s="46"/>
      <c r="VGJ273" s="46"/>
      <c r="VGK273" s="46"/>
      <c r="VGL273" s="46"/>
      <c r="VGM273" s="46"/>
      <c r="VGN273" s="46"/>
      <c r="VGO273" s="46"/>
      <c r="VGP273" s="46"/>
      <c r="VGQ273" s="46"/>
      <c r="VGR273" s="46"/>
      <c r="VGS273" s="46"/>
      <c r="VGT273" s="46"/>
      <c r="VGU273" s="46"/>
      <c r="VGV273" s="46"/>
      <c r="VGW273" s="46"/>
      <c r="VGX273" s="46"/>
      <c r="VGY273" s="46"/>
      <c r="VGZ273" s="46"/>
      <c r="VHA273" s="46"/>
      <c r="VHB273" s="46"/>
      <c r="VHC273" s="46"/>
      <c r="VHD273" s="46"/>
      <c r="VHE273" s="46"/>
      <c r="VHF273" s="46"/>
      <c r="VHG273" s="46"/>
      <c r="VHH273" s="46"/>
      <c r="VHI273" s="46"/>
      <c r="VHJ273" s="46"/>
      <c r="VHK273" s="46"/>
      <c r="VHL273" s="46"/>
      <c r="VHM273" s="46"/>
      <c r="VHN273" s="46"/>
      <c r="VHO273" s="46"/>
      <c r="VHP273" s="46"/>
      <c r="VHQ273" s="46"/>
      <c r="VHR273" s="46"/>
      <c r="VHS273" s="46"/>
      <c r="VHT273" s="46"/>
      <c r="VHU273" s="46"/>
      <c r="VHV273" s="46"/>
      <c r="VHW273" s="46"/>
      <c r="VHX273" s="46"/>
      <c r="VHY273" s="46"/>
      <c r="VHZ273" s="46"/>
      <c r="VIA273" s="46"/>
      <c r="VIB273" s="46"/>
      <c r="VIC273" s="46"/>
      <c r="VID273" s="46"/>
      <c r="VIE273" s="46"/>
      <c r="VIF273" s="46"/>
      <c r="VIG273" s="46"/>
      <c r="VIH273" s="46"/>
      <c r="VII273" s="46"/>
      <c r="VIJ273" s="46"/>
      <c r="VIK273" s="46"/>
      <c r="VIL273" s="46"/>
      <c r="VIM273" s="46"/>
      <c r="VIN273" s="46"/>
      <c r="VIO273" s="46"/>
      <c r="VIP273" s="46"/>
      <c r="VIQ273" s="46"/>
      <c r="VIR273" s="46"/>
      <c r="VIS273" s="46"/>
      <c r="VIT273" s="46"/>
      <c r="VIU273" s="46"/>
      <c r="VIV273" s="46"/>
      <c r="VIW273" s="46"/>
      <c r="VIX273" s="46"/>
      <c r="VIY273" s="46"/>
      <c r="VIZ273" s="46"/>
      <c r="VJA273" s="46"/>
      <c r="VJB273" s="46"/>
      <c r="VJC273" s="46"/>
      <c r="VJD273" s="46"/>
      <c r="VJE273" s="46"/>
      <c r="VJF273" s="46"/>
      <c r="VJG273" s="46"/>
      <c r="VJH273" s="46"/>
      <c r="VJI273" s="46"/>
      <c r="VJJ273" s="46"/>
      <c r="VJK273" s="46"/>
      <c r="VJL273" s="46"/>
      <c r="VJM273" s="46"/>
      <c r="VJN273" s="46"/>
      <c r="VJO273" s="46"/>
      <c r="VJP273" s="46"/>
      <c r="VJQ273" s="46"/>
      <c r="VJR273" s="46"/>
      <c r="VJS273" s="46"/>
      <c r="VJT273" s="46"/>
      <c r="VJU273" s="46"/>
      <c r="VJV273" s="46"/>
      <c r="VJW273" s="46"/>
      <c r="VJX273" s="46"/>
      <c r="VJY273" s="46"/>
      <c r="VJZ273" s="46"/>
      <c r="VKA273" s="46"/>
      <c r="VKB273" s="46"/>
      <c r="VKC273" s="46"/>
      <c r="VKD273" s="46"/>
      <c r="VKE273" s="46"/>
      <c r="VKF273" s="46"/>
      <c r="VKG273" s="46"/>
      <c r="VKH273" s="46"/>
      <c r="VKI273" s="46"/>
      <c r="VKJ273" s="46"/>
      <c r="VKK273" s="46"/>
      <c r="VKL273" s="46"/>
      <c r="VKM273" s="46"/>
      <c r="VKN273" s="46"/>
      <c r="VKO273" s="46"/>
      <c r="VKP273" s="46"/>
      <c r="VKQ273" s="46"/>
      <c r="VKR273" s="46"/>
      <c r="VKS273" s="46"/>
      <c r="VKT273" s="46"/>
      <c r="VKU273" s="46"/>
      <c r="VKV273" s="46"/>
      <c r="VKW273" s="46"/>
      <c r="VKX273" s="46"/>
      <c r="VKY273" s="46"/>
      <c r="VKZ273" s="46"/>
      <c r="VLA273" s="46"/>
      <c r="VLB273" s="46"/>
      <c r="VLC273" s="46"/>
      <c r="VLD273" s="46"/>
      <c r="VLE273" s="46"/>
      <c r="VLF273" s="46"/>
      <c r="VLG273" s="46"/>
      <c r="VLH273" s="46"/>
      <c r="VLI273" s="46"/>
      <c r="VLJ273" s="46"/>
      <c r="VLK273" s="46"/>
      <c r="VLL273" s="46"/>
      <c r="VLM273" s="46"/>
      <c r="VLN273" s="46"/>
      <c r="VLO273" s="46"/>
      <c r="VLP273" s="46"/>
      <c r="VLQ273" s="46"/>
      <c r="VLR273" s="46"/>
      <c r="VLS273" s="46"/>
      <c r="VLT273" s="46"/>
      <c r="VLU273" s="46"/>
      <c r="VLV273" s="46"/>
      <c r="VLW273" s="46"/>
      <c r="VLX273" s="46"/>
      <c r="VLY273" s="46"/>
      <c r="VLZ273" s="46"/>
      <c r="VMA273" s="46"/>
      <c r="VMB273" s="46"/>
      <c r="VMC273" s="46"/>
      <c r="VMD273" s="46"/>
      <c r="VME273" s="46"/>
      <c r="VMF273" s="46"/>
      <c r="VMG273" s="46"/>
      <c r="VMH273" s="46"/>
      <c r="VMI273" s="46"/>
      <c r="VMJ273" s="46"/>
      <c r="VMK273" s="46"/>
      <c r="VML273" s="46"/>
      <c r="VMM273" s="46"/>
      <c r="VMN273" s="46"/>
      <c r="VMO273" s="46"/>
      <c r="VMP273" s="46"/>
      <c r="VMQ273" s="46"/>
      <c r="VMR273" s="46"/>
      <c r="VMS273" s="46"/>
      <c r="VMT273" s="46"/>
      <c r="VMU273" s="46"/>
      <c r="VMV273" s="46"/>
      <c r="VMW273" s="46"/>
      <c r="VMX273" s="46"/>
      <c r="VMY273" s="46"/>
      <c r="VMZ273" s="46"/>
      <c r="VNA273" s="46"/>
      <c r="VNB273" s="46"/>
      <c r="VNC273" s="46"/>
      <c r="VND273" s="46"/>
      <c r="VNE273" s="46"/>
      <c r="VNF273" s="46"/>
      <c r="VNG273" s="46"/>
      <c r="VNH273" s="46"/>
      <c r="VNI273" s="46"/>
      <c r="VNJ273" s="46"/>
      <c r="VNK273" s="46"/>
      <c r="VNL273" s="46"/>
      <c r="VNM273" s="46"/>
      <c r="VNN273" s="46"/>
      <c r="VNO273" s="46"/>
      <c r="VNP273" s="46"/>
      <c r="VNQ273" s="46"/>
      <c r="VNR273" s="46"/>
      <c r="VNS273" s="46"/>
      <c r="VNT273" s="46"/>
      <c r="VNU273" s="46"/>
      <c r="VNV273" s="46"/>
      <c r="VNW273" s="46"/>
      <c r="VNX273" s="46"/>
      <c r="VNY273" s="46"/>
      <c r="VNZ273" s="46"/>
      <c r="VOA273" s="46"/>
      <c r="VOB273" s="46"/>
      <c r="VOC273" s="46"/>
      <c r="VOD273" s="46"/>
      <c r="VOE273" s="46"/>
      <c r="VOF273" s="46"/>
      <c r="VOG273" s="46"/>
      <c r="VOH273" s="46"/>
      <c r="VOI273" s="46"/>
      <c r="VOJ273" s="46"/>
      <c r="VOK273" s="46"/>
      <c r="VOL273" s="46"/>
      <c r="VOM273" s="46"/>
      <c r="VON273" s="46"/>
      <c r="VOO273" s="46"/>
      <c r="VOP273" s="46"/>
      <c r="VOQ273" s="46"/>
      <c r="VOR273" s="46"/>
      <c r="VOS273" s="46"/>
      <c r="VOT273" s="46"/>
      <c r="VOU273" s="46"/>
      <c r="VOV273" s="46"/>
      <c r="VOW273" s="46"/>
      <c r="VOX273" s="46"/>
      <c r="VOY273" s="46"/>
      <c r="VOZ273" s="46"/>
      <c r="VPA273" s="46"/>
      <c r="VPB273" s="46"/>
      <c r="VPC273" s="46"/>
      <c r="VPD273" s="46"/>
      <c r="VPE273" s="46"/>
      <c r="VPF273" s="46"/>
      <c r="VPG273" s="46"/>
      <c r="VPH273" s="46"/>
      <c r="VPI273" s="46"/>
      <c r="VPJ273" s="46"/>
      <c r="VPK273" s="46"/>
      <c r="VPL273" s="46"/>
      <c r="VPM273" s="46"/>
      <c r="VPN273" s="46"/>
      <c r="VPO273" s="46"/>
      <c r="VPP273" s="46"/>
      <c r="VPQ273" s="46"/>
      <c r="VPR273" s="46"/>
      <c r="VPS273" s="46"/>
      <c r="VPT273" s="46"/>
      <c r="VPU273" s="46"/>
      <c r="VPV273" s="46"/>
      <c r="VPW273" s="46"/>
      <c r="VPX273" s="46"/>
      <c r="VPY273" s="46"/>
      <c r="VPZ273" s="46"/>
      <c r="VQA273" s="46"/>
      <c r="VQB273" s="46"/>
      <c r="VQC273" s="46"/>
      <c r="VQD273" s="46"/>
      <c r="VQE273" s="46"/>
      <c r="VQF273" s="46"/>
      <c r="VQG273" s="46"/>
      <c r="VQH273" s="46"/>
      <c r="VQI273" s="46"/>
      <c r="VQJ273" s="46"/>
      <c r="VQK273" s="46"/>
      <c r="VQL273" s="46"/>
      <c r="VQM273" s="46"/>
      <c r="VQN273" s="46"/>
      <c r="VQO273" s="46"/>
      <c r="VQP273" s="46"/>
      <c r="VQQ273" s="46"/>
      <c r="VQR273" s="46"/>
      <c r="VQS273" s="46"/>
      <c r="VQT273" s="46"/>
      <c r="VQU273" s="46"/>
      <c r="VQV273" s="46"/>
      <c r="VQW273" s="46"/>
      <c r="VQX273" s="46"/>
      <c r="VQY273" s="46"/>
      <c r="VQZ273" s="46"/>
      <c r="VRA273" s="46"/>
      <c r="VRB273" s="46"/>
      <c r="VRC273" s="46"/>
      <c r="VRD273" s="46"/>
      <c r="VRE273" s="46"/>
      <c r="VRF273" s="46"/>
      <c r="VRG273" s="46"/>
      <c r="VRH273" s="46"/>
      <c r="VRI273" s="46"/>
      <c r="VRJ273" s="46"/>
      <c r="VRK273" s="46"/>
      <c r="VRL273" s="46"/>
      <c r="VRM273" s="46"/>
      <c r="VRN273" s="46"/>
      <c r="VRO273" s="46"/>
      <c r="VRP273" s="46"/>
      <c r="VRQ273" s="46"/>
      <c r="VRR273" s="46"/>
      <c r="VRS273" s="46"/>
      <c r="VRT273" s="46"/>
      <c r="VRU273" s="46"/>
      <c r="VRV273" s="46"/>
      <c r="VRW273" s="46"/>
      <c r="VRX273" s="46"/>
      <c r="VRY273" s="46"/>
      <c r="VRZ273" s="46"/>
      <c r="VSA273" s="46"/>
      <c r="VSB273" s="46"/>
      <c r="VSC273" s="46"/>
      <c r="VSD273" s="46"/>
      <c r="VSE273" s="46"/>
      <c r="VSF273" s="46"/>
      <c r="VSG273" s="46"/>
      <c r="VSH273" s="46"/>
      <c r="VSI273" s="46"/>
      <c r="VSJ273" s="46"/>
      <c r="VSK273" s="46"/>
      <c r="VSL273" s="46"/>
      <c r="VSM273" s="46"/>
      <c r="VSN273" s="46"/>
      <c r="VSO273" s="46"/>
      <c r="VSP273" s="46"/>
      <c r="VSQ273" s="46"/>
      <c r="VSR273" s="46"/>
      <c r="VSS273" s="46"/>
      <c r="VST273" s="46"/>
      <c r="VSU273" s="46"/>
      <c r="VSV273" s="46"/>
      <c r="VSW273" s="46"/>
      <c r="VSX273" s="46"/>
      <c r="VSY273" s="46"/>
      <c r="VSZ273" s="46"/>
      <c r="VTA273" s="46"/>
      <c r="VTB273" s="46"/>
      <c r="VTC273" s="46"/>
      <c r="VTD273" s="46"/>
      <c r="VTE273" s="46"/>
      <c r="VTF273" s="46"/>
      <c r="VTG273" s="46"/>
      <c r="VTH273" s="46"/>
      <c r="VTI273" s="46"/>
      <c r="VTJ273" s="46"/>
      <c r="VTK273" s="46"/>
      <c r="VTL273" s="46"/>
      <c r="VTM273" s="46"/>
      <c r="VTN273" s="46"/>
      <c r="VTO273" s="46"/>
      <c r="VTP273" s="46"/>
      <c r="VTQ273" s="46"/>
      <c r="VTR273" s="46"/>
      <c r="VTS273" s="46"/>
      <c r="VTT273" s="46"/>
      <c r="VTU273" s="46"/>
      <c r="VTV273" s="46"/>
      <c r="VTW273" s="46"/>
      <c r="VTX273" s="46"/>
      <c r="VTY273" s="46"/>
      <c r="VTZ273" s="46"/>
    </row>
    <row r="274" spans="3:60 15026:15418" x14ac:dyDescent="0.25">
      <c r="C274" s="15"/>
      <c r="D274" s="247" t="s">
        <v>906</v>
      </c>
      <c r="E274" s="266">
        <v>18374.400000000001</v>
      </c>
      <c r="F274" s="246" t="s">
        <v>992</v>
      </c>
      <c r="G274" s="275"/>
      <c r="H274" s="275">
        <v>0</v>
      </c>
      <c r="I274" s="275">
        <v>0</v>
      </c>
      <c r="J274" s="275">
        <v>0</v>
      </c>
      <c r="K274" s="275">
        <v>0</v>
      </c>
      <c r="L274" s="275">
        <v>0</v>
      </c>
      <c r="M274" s="275">
        <v>0</v>
      </c>
      <c r="N274" s="275">
        <v>8059</v>
      </c>
      <c r="O274" s="275">
        <v>14504.15</v>
      </c>
      <c r="P274" s="275">
        <v>14066.65</v>
      </c>
      <c r="Q274" s="275">
        <v>14462.6</v>
      </c>
      <c r="R274" s="2039">
        <v>14186.6</v>
      </c>
      <c r="S274" s="2046">
        <v>14072</v>
      </c>
      <c r="T274" s="2072">
        <v>13570.7</v>
      </c>
      <c r="U274" s="2072">
        <v>14192.8</v>
      </c>
      <c r="V274" s="275">
        <v>14805.5</v>
      </c>
      <c r="W274" s="2100">
        <v>13843</v>
      </c>
      <c r="X274" s="275"/>
      <c r="Y274" s="275"/>
      <c r="Z274" s="275"/>
      <c r="AA274" s="2005"/>
      <c r="AB274" s="275"/>
      <c r="AC274" s="275"/>
      <c r="AD274" s="275"/>
      <c r="AE274" s="275"/>
      <c r="AF274" s="275"/>
      <c r="AG274" s="275"/>
      <c r="AH274" s="275"/>
      <c r="AI274" s="275"/>
      <c r="AJ274" s="275"/>
      <c r="AL274" s="82">
        <f>SUM(G274:AJ274)</f>
        <v>135763</v>
      </c>
      <c r="AN274" s="3"/>
    </row>
    <row r="275" spans="3:60 15026:15418" x14ac:dyDescent="0.25">
      <c r="C275" s="15"/>
      <c r="D275" s="951"/>
      <c r="E275" s="1704">
        <f>E274/2500</f>
        <v>7.3497600000000007</v>
      </c>
      <c r="F275" s="61" t="s">
        <v>983</v>
      </c>
      <c r="G275" s="946" t="e">
        <f>G274/G9*1000000</f>
        <v>#DIV/0!</v>
      </c>
      <c r="H275" s="946" t="e">
        <f>H274/H9*1000000</f>
        <v>#DIV/0!</v>
      </c>
      <c r="I275" s="946" t="e">
        <f>I274/I9*1000000</f>
        <v>#DIV/0!</v>
      </c>
      <c r="J275" s="1791" t="e">
        <f>J274/J7*1000</f>
        <v>#DIV/0!</v>
      </c>
      <c r="K275" s="946" t="e">
        <f>K274/K9*100000</f>
        <v>#DIV/0!</v>
      </c>
      <c r="L275" s="946" t="e">
        <f>L274/L9*1000000</f>
        <v>#DIV/0!</v>
      </c>
      <c r="M275" s="1791" t="e">
        <f>M274/M7*1000</f>
        <v>#DIV/0!</v>
      </c>
      <c r="N275" s="1791">
        <f t="shared" ref="N275:S275" si="75">(N274/N9)*1000</f>
        <v>10.90737327064199</v>
      </c>
      <c r="O275" s="1791">
        <f t="shared" si="75"/>
        <v>6.5002234092566269</v>
      </c>
      <c r="P275" s="1791">
        <f t="shared" si="75"/>
        <v>6.433115338882283</v>
      </c>
      <c r="Q275" s="1791">
        <f t="shared" si="75"/>
        <v>5.7543096845605728</v>
      </c>
      <c r="R275" s="1791">
        <f t="shared" si="75"/>
        <v>6.1689720699056823</v>
      </c>
      <c r="S275" s="273">
        <f t="shared" si="75"/>
        <v>7.0787093931234102</v>
      </c>
      <c r="T275" s="1791">
        <f>(T274/T9)*1000</f>
        <v>8.4757438846009254</v>
      </c>
      <c r="U275" s="1791">
        <f t="shared" ref="U275:V275" si="76">(U274/U9)*1000</f>
        <v>7.0603955130810423</v>
      </c>
      <c r="V275" s="1791">
        <f t="shared" si="76"/>
        <v>7.7015148662046782</v>
      </c>
      <c r="W275" s="1791">
        <f>(W274/W9)*100</f>
        <v>4.302957020164186</v>
      </c>
      <c r="X275" s="1791">
        <v>0</v>
      </c>
      <c r="Y275" s="1791" t="e">
        <f t="shared" ref="Y275:AF275" si="77">(Y274/Y9)*1000</f>
        <v>#DIV/0!</v>
      </c>
      <c r="Z275" s="1791" t="e">
        <f t="shared" si="77"/>
        <v>#DIV/0!</v>
      </c>
      <c r="AA275" s="1791" t="e">
        <f t="shared" si="77"/>
        <v>#DIV/0!</v>
      </c>
      <c r="AB275" s="1791" t="e">
        <f t="shared" si="77"/>
        <v>#DIV/0!</v>
      </c>
      <c r="AC275" s="1791" t="e">
        <f t="shared" si="77"/>
        <v>#DIV/0!</v>
      </c>
      <c r="AD275" s="1791" t="e">
        <f t="shared" si="77"/>
        <v>#DIV/0!</v>
      </c>
      <c r="AE275" s="946" t="e">
        <f t="shared" si="77"/>
        <v>#DIV/0!</v>
      </c>
      <c r="AF275" s="946" t="e">
        <f t="shared" si="77"/>
        <v>#DIV/0!</v>
      </c>
      <c r="AG275" s="946" t="e">
        <f>AG274/AG9*1000000</f>
        <v>#DIV/0!</v>
      </c>
      <c r="AH275" s="946" t="e">
        <f>AH274/AH9*1000000</f>
        <v>#DIV/0!</v>
      </c>
      <c r="AI275" s="946" t="e">
        <f>AI274/AI9*1000000</f>
        <v>#DIV/0!</v>
      </c>
      <c r="AJ275" s="946" t="e">
        <f>AJ274/AJ9*1000000</f>
        <v>#DIV/0!</v>
      </c>
      <c r="AK275" s="62"/>
      <c r="AL275" s="1991">
        <f>(AL274/AL9)*1000</f>
        <v>7.6214885073625513</v>
      </c>
      <c r="AN275" s="2079"/>
    </row>
    <row r="276" spans="3:60 15026:15418" x14ac:dyDescent="0.25">
      <c r="C276" s="15"/>
      <c r="D276" s="247" t="s">
        <v>119</v>
      </c>
      <c r="E276" s="266">
        <v>10946.28</v>
      </c>
      <c r="F276" s="246" t="s">
        <v>992</v>
      </c>
      <c r="G276" s="275"/>
      <c r="H276" s="275">
        <v>0</v>
      </c>
      <c r="I276" s="275">
        <v>0</v>
      </c>
      <c r="J276" s="1514">
        <v>0</v>
      </c>
      <c r="K276" s="275">
        <v>0</v>
      </c>
      <c r="L276" s="275">
        <v>0</v>
      </c>
      <c r="M276" s="275">
        <v>0</v>
      </c>
      <c r="N276" s="275">
        <v>7180.8</v>
      </c>
      <c r="O276" s="275">
        <v>10456.9</v>
      </c>
      <c r="P276" s="275">
        <v>10971</v>
      </c>
      <c r="Q276" s="275">
        <v>11116.7</v>
      </c>
      <c r="R276" s="2040">
        <v>10789.5</v>
      </c>
      <c r="S276" s="2046">
        <v>10267.799999999999</v>
      </c>
      <c r="T276" s="2074">
        <v>9959.7999999999993</v>
      </c>
      <c r="U276" s="2074">
        <v>10031.9</v>
      </c>
      <c r="V276" s="275">
        <v>10371.700000000001</v>
      </c>
      <c r="W276" s="2102">
        <v>8501.4</v>
      </c>
      <c r="X276" s="275"/>
      <c r="Y276" s="275"/>
      <c r="Z276" s="275"/>
      <c r="AA276" s="2006"/>
      <c r="AB276" s="275"/>
      <c r="AC276" s="275"/>
      <c r="AD276" s="275"/>
      <c r="AE276" s="275"/>
      <c r="AF276" s="275"/>
      <c r="AG276" s="275"/>
      <c r="AH276" s="275"/>
      <c r="AI276" s="275"/>
      <c r="AJ276" s="275"/>
      <c r="AL276" s="82">
        <f>SUM(G276:AJ276)</f>
        <v>99647.499999999985</v>
      </c>
      <c r="AN276" s="3">
        <f>AL274+AL276</f>
        <v>235410.5</v>
      </c>
    </row>
    <row r="277" spans="3:60 15026:15418" x14ac:dyDescent="0.25">
      <c r="C277" s="15"/>
      <c r="D277" s="951"/>
      <c r="E277" s="1704">
        <f>E276/2500</f>
        <v>4.3785120000000006</v>
      </c>
      <c r="F277" s="61" t="s">
        <v>983</v>
      </c>
      <c r="G277" s="946" t="e">
        <f>G276/G9*1000000</f>
        <v>#DIV/0!</v>
      </c>
      <c r="H277" s="946" t="e">
        <f>H276/H9*1000000</f>
        <v>#DIV/0!</v>
      </c>
      <c r="I277" s="946" t="e">
        <f>I276/I9*1000000</f>
        <v>#DIV/0!</v>
      </c>
      <c r="J277" s="1791" t="e">
        <f>J276/J9*1000</f>
        <v>#DIV/0!</v>
      </c>
      <c r="K277" s="946" t="e">
        <f>K276/K9*1000000</f>
        <v>#DIV/0!</v>
      </c>
      <c r="L277" s="946" t="e">
        <f>L276/L9*1000000</f>
        <v>#DIV/0!</v>
      </c>
      <c r="M277" s="1791" t="e">
        <f>M276/M9*1000</f>
        <v>#DIV/0!</v>
      </c>
      <c r="N277" s="1791">
        <f>N276/N9*1000</f>
        <v>9.7187822287909196</v>
      </c>
      <c r="O277" s="1791">
        <f>O276/O9*1000</f>
        <v>4.6863956983522392</v>
      </c>
      <c r="P277" s="1791">
        <f>P276/P9*1000</f>
        <v>5.0173785786152019</v>
      </c>
      <c r="Q277" s="1791">
        <f t="shared" ref="Q277:AF277" si="78">(Q276/Q9)*1000</f>
        <v>4.423059095207952</v>
      </c>
      <c r="R277" s="1791">
        <f t="shared" si="78"/>
        <v>4.6917601221044754</v>
      </c>
      <c r="S277" s="1791">
        <f t="shared" si="78"/>
        <v>5.1650634100847457</v>
      </c>
      <c r="T277" s="1791">
        <f t="shared" si="78"/>
        <v>6.2205128653531707</v>
      </c>
      <c r="U277" s="1791">
        <f t="shared" si="78"/>
        <v>4.9905009404541536</v>
      </c>
      <c r="V277" s="1791">
        <f t="shared" si="78"/>
        <v>5.3951438139755545</v>
      </c>
      <c r="W277" s="1791">
        <f>(W276/W9)*1000</f>
        <v>26.425745005579575</v>
      </c>
      <c r="X277" s="1791">
        <v>0</v>
      </c>
      <c r="Y277" s="1791" t="e">
        <f t="shared" si="78"/>
        <v>#DIV/0!</v>
      </c>
      <c r="Z277" s="1791" t="e">
        <f t="shared" si="78"/>
        <v>#DIV/0!</v>
      </c>
      <c r="AA277" s="1791" t="e">
        <f t="shared" si="78"/>
        <v>#DIV/0!</v>
      </c>
      <c r="AB277" s="1791" t="e">
        <f t="shared" si="78"/>
        <v>#DIV/0!</v>
      </c>
      <c r="AC277" s="1791" t="e">
        <f t="shared" si="78"/>
        <v>#DIV/0!</v>
      </c>
      <c r="AD277" s="1791" t="e">
        <f t="shared" si="78"/>
        <v>#DIV/0!</v>
      </c>
      <c r="AE277" s="946" t="e">
        <f t="shared" si="78"/>
        <v>#DIV/0!</v>
      </c>
      <c r="AF277" s="946" t="e">
        <f t="shared" si="78"/>
        <v>#DIV/0!</v>
      </c>
      <c r="AG277" s="946" t="e">
        <f>AG276/AG9*1000000</f>
        <v>#DIV/0!</v>
      </c>
      <c r="AH277" s="946" t="e">
        <f>AH276/AH9*1000000</f>
        <v>#DIV/0!</v>
      </c>
      <c r="AI277" s="946" t="e">
        <f>AI276/AI9*1000000</f>
        <v>#DIV/0!</v>
      </c>
      <c r="AJ277" s="946" t="e">
        <f>AJ276/AJ9*1000000</f>
        <v>#DIV/0!</v>
      </c>
      <c r="AK277" s="62"/>
      <c r="AL277" s="1991">
        <f>AL276/AL9*1000</f>
        <v>5.5940298611360211</v>
      </c>
    </row>
    <row r="278" spans="3:60 15026:15418" x14ac:dyDescent="0.25">
      <c r="C278" s="15"/>
      <c r="D278" s="44" t="s">
        <v>15</v>
      </c>
      <c r="E278" s="532"/>
      <c r="F278" s="45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1986"/>
      <c r="T278" s="299"/>
      <c r="U278" s="299"/>
      <c r="V278" s="299"/>
      <c r="W278" s="299"/>
      <c r="X278" s="299"/>
      <c r="Y278" s="299"/>
      <c r="Z278" s="299"/>
      <c r="AA278" s="299"/>
      <c r="AB278" s="299"/>
      <c r="AC278" s="299"/>
      <c r="AD278" s="299"/>
      <c r="AE278" s="299"/>
      <c r="AF278" s="299"/>
      <c r="AG278" s="299"/>
      <c r="AH278" s="299"/>
      <c r="AI278" s="299"/>
      <c r="AJ278" s="299"/>
      <c r="AL278" s="125" t="s">
        <v>15</v>
      </c>
    </row>
    <row r="279" spans="3:60 15026:15418" x14ac:dyDescent="0.25">
      <c r="C279" s="15"/>
      <c r="D279" s="247" t="s">
        <v>917</v>
      </c>
      <c r="E279" s="266">
        <v>10272</v>
      </c>
      <c r="F279" s="246" t="s">
        <v>992</v>
      </c>
      <c r="G279" s="275">
        <v>0</v>
      </c>
      <c r="H279" s="275">
        <v>0</v>
      </c>
      <c r="I279" s="275">
        <v>0</v>
      </c>
      <c r="J279" s="275">
        <v>0</v>
      </c>
      <c r="K279" s="275">
        <v>0</v>
      </c>
      <c r="L279" s="275">
        <v>0</v>
      </c>
      <c r="M279" s="275">
        <v>0</v>
      </c>
      <c r="N279" s="275">
        <f t="shared" ref="N279:W279" si="79">313*24*2</f>
        <v>15024</v>
      </c>
      <c r="O279" s="275">
        <f t="shared" si="79"/>
        <v>15024</v>
      </c>
      <c r="P279" s="275">
        <f t="shared" si="79"/>
        <v>15024</v>
      </c>
      <c r="Q279" s="275">
        <f t="shared" si="79"/>
        <v>15024</v>
      </c>
      <c r="R279" s="275">
        <f t="shared" si="79"/>
        <v>15024</v>
      </c>
      <c r="S279" s="275">
        <f t="shared" si="79"/>
        <v>15024</v>
      </c>
      <c r="T279" s="275">
        <f t="shared" si="79"/>
        <v>15024</v>
      </c>
      <c r="U279" s="275">
        <f t="shared" si="79"/>
        <v>15024</v>
      </c>
      <c r="V279" s="275">
        <f t="shared" si="79"/>
        <v>15024</v>
      </c>
      <c r="W279" s="275">
        <f t="shared" si="79"/>
        <v>15024</v>
      </c>
      <c r="X279" s="275"/>
      <c r="Y279" s="275"/>
      <c r="Z279" s="275"/>
      <c r="AA279" s="275"/>
      <c r="AB279" s="275"/>
      <c r="AC279" s="275"/>
      <c r="AD279" s="275"/>
      <c r="AE279" s="275"/>
      <c r="AF279" s="275"/>
      <c r="AG279" s="275"/>
      <c r="AH279" s="275"/>
      <c r="AI279" s="275"/>
      <c r="AJ279" s="275"/>
      <c r="AL279" s="82">
        <f>SUM(G279:AJ279)</f>
        <v>150240</v>
      </c>
    </row>
    <row r="280" spans="3:60 15026:15418" x14ac:dyDescent="0.25">
      <c r="C280" s="15"/>
      <c r="D280" s="951"/>
      <c r="E280" s="1704">
        <f>E279/2500</f>
        <v>4.1087999999999996</v>
      </c>
      <c r="F280" s="61" t="s">
        <v>983</v>
      </c>
      <c r="G280" s="33"/>
      <c r="H280" s="33"/>
      <c r="I280" s="33"/>
      <c r="J280" s="33"/>
      <c r="K280" s="33"/>
      <c r="L280" s="33"/>
      <c r="M280" s="33"/>
      <c r="N280" s="34">
        <f t="shared" ref="N280:Q280" si="80">(N279/N29)*1000</f>
        <v>78.854551561975143</v>
      </c>
      <c r="O280" s="1713">
        <f t="shared" si="80"/>
        <v>8.2653539512396925</v>
      </c>
      <c r="P280" s="1713">
        <f t="shared" si="80"/>
        <v>6.2449392880835717</v>
      </c>
      <c r="Q280" s="1713">
        <f t="shared" si="80"/>
        <v>6.2771732999531222</v>
      </c>
      <c r="R280" s="34">
        <f>(R279/R25)*1000</f>
        <v>6.9451346382580583</v>
      </c>
      <c r="S280" s="34">
        <f>(S279/S29)*1000</f>
        <v>8.2280546872090561</v>
      </c>
      <c r="T280" s="34">
        <f>(T279/T29)*1000</f>
        <v>6.7190992542980501</v>
      </c>
      <c r="U280" s="34">
        <f t="shared" ref="U280:W280" si="81">(U279/U29)*1000</f>
        <v>12.94787326183161</v>
      </c>
      <c r="V280" s="34">
        <f t="shared" si="81"/>
        <v>7.9480498869212157</v>
      </c>
      <c r="W280" s="34">
        <f t="shared" si="81"/>
        <v>10.410668440582482</v>
      </c>
      <c r="X280" s="34">
        <f>(X279/X29)*10000</f>
        <v>0</v>
      </c>
      <c r="Y280" s="34" t="e">
        <f t="shared" ref="Y280:AJ280" si="82">(Y279/Y29)*1000</f>
        <v>#DIV/0!</v>
      </c>
      <c r="Z280" s="34" t="e">
        <f t="shared" si="82"/>
        <v>#DIV/0!</v>
      </c>
      <c r="AA280" s="34" t="e">
        <f t="shared" si="82"/>
        <v>#DIV/0!</v>
      </c>
      <c r="AB280" s="34" t="e">
        <f t="shared" si="82"/>
        <v>#DIV/0!</v>
      </c>
      <c r="AC280" s="34" t="e">
        <f t="shared" si="82"/>
        <v>#DIV/0!</v>
      </c>
      <c r="AD280" s="34" t="e">
        <f t="shared" si="82"/>
        <v>#DIV/0!</v>
      </c>
      <c r="AE280" s="34" t="e">
        <f t="shared" si="82"/>
        <v>#DIV/0!</v>
      </c>
      <c r="AF280" s="34" t="e">
        <f t="shared" si="82"/>
        <v>#DIV/0!</v>
      </c>
      <c r="AG280" s="34" t="e">
        <f t="shared" si="82"/>
        <v>#DIV/0!</v>
      </c>
      <c r="AH280" s="34" t="e">
        <f t="shared" si="82"/>
        <v>#DIV/0!</v>
      </c>
      <c r="AI280" s="34" t="e">
        <f t="shared" si="82"/>
        <v>#DIV/0!</v>
      </c>
      <c r="AJ280" s="34" t="e">
        <f t="shared" si="82"/>
        <v>#DIV/0!</v>
      </c>
      <c r="AL280" s="1990">
        <f>AL279/AL32*1000</f>
        <v>8.4439565264381997</v>
      </c>
      <c r="AN280" s="140"/>
    </row>
    <row r="281" spans="3:60 15026:15418" x14ac:dyDescent="0.25">
      <c r="C281" s="15"/>
      <c r="D281" s="247" t="s">
        <v>121</v>
      </c>
      <c r="E281" s="266">
        <v>11201.3</v>
      </c>
      <c r="F281" s="246" t="s">
        <v>992</v>
      </c>
      <c r="G281" s="275">
        <v>0</v>
      </c>
      <c r="H281" s="275">
        <v>0</v>
      </c>
      <c r="I281" s="275">
        <v>0</v>
      </c>
      <c r="J281" s="275">
        <v>0</v>
      </c>
      <c r="K281" s="275">
        <v>0</v>
      </c>
      <c r="L281" s="275">
        <v>0</v>
      </c>
      <c r="M281" s="275">
        <v>0</v>
      </c>
      <c r="N281" s="275">
        <v>2433.6999999999998</v>
      </c>
      <c r="O281" s="275">
        <v>7340.9</v>
      </c>
      <c r="P281" s="275">
        <v>16926.3</v>
      </c>
      <c r="Q281" s="275">
        <v>9497.5</v>
      </c>
      <c r="R281" s="2041">
        <v>9216.9</v>
      </c>
      <c r="S281" s="2046">
        <v>8195.2999999999993</v>
      </c>
      <c r="T281" s="2075">
        <v>5558.8</v>
      </c>
      <c r="U281" s="2075">
        <v>7328.8</v>
      </c>
      <c r="V281" s="1633">
        <v>8693.1</v>
      </c>
      <c r="W281" s="2103">
        <v>6937.8</v>
      </c>
      <c r="X281" s="275"/>
      <c r="Y281" s="275"/>
      <c r="Z281" s="275"/>
      <c r="AA281" s="275"/>
      <c r="AB281" s="275"/>
      <c r="AC281" s="275"/>
      <c r="AD281" s="275"/>
      <c r="AE281" s="275"/>
      <c r="AF281" s="1633"/>
      <c r="AG281" s="275"/>
      <c r="AH281" s="275"/>
      <c r="AI281" s="275"/>
      <c r="AJ281" s="275"/>
      <c r="AL281" s="82">
        <f>SUM(G281:AJ281)</f>
        <v>82129.100000000006</v>
      </c>
      <c r="AN281" s="2080"/>
    </row>
    <row r="282" spans="3:60 15026:15418" x14ac:dyDescent="0.25">
      <c r="C282" s="15"/>
      <c r="D282" s="951"/>
      <c r="E282" s="1704">
        <f>E281/2500</f>
        <v>4.4805199999999994</v>
      </c>
      <c r="F282" s="61" t="s">
        <v>983</v>
      </c>
      <c r="G282" s="946" t="e">
        <f t="shared" ref="G282:M282" si="83">G281/G29*1000000</f>
        <v>#DIV/0!</v>
      </c>
      <c r="H282" s="946" t="e">
        <f t="shared" si="83"/>
        <v>#DIV/0!</v>
      </c>
      <c r="I282" s="946" t="e">
        <f t="shared" si="83"/>
        <v>#DIV/0!</v>
      </c>
      <c r="J282" s="946" t="e">
        <f t="shared" si="83"/>
        <v>#DIV/0!</v>
      </c>
      <c r="K282" s="946" t="e">
        <f t="shared" si="83"/>
        <v>#DIV/0!</v>
      </c>
      <c r="L282" s="946" t="e">
        <f t="shared" si="83"/>
        <v>#DIV/0!</v>
      </c>
      <c r="M282" s="946" t="e">
        <f t="shared" si="83"/>
        <v>#DIV/0!</v>
      </c>
      <c r="N282" s="273">
        <f>N281/N29*1000</f>
        <v>12.773450621430969</v>
      </c>
      <c r="O282" s="1791">
        <f>O281/O29*1000</f>
        <v>4.038547445464288</v>
      </c>
      <c r="P282" s="1791">
        <f>(P281/P29)*1000</f>
        <v>7.0356573397157192</v>
      </c>
      <c r="Q282" s="1791">
        <f>(Q281/Q29)*1000</f>
        <v>3.9681478578477614</v>
      </c>
      <c r="R282" s="1791">
        <f>(R281/R25)*1000</f>
        <v>4.2606903253035604</v>
      </c>
      <c r="S282" s="1791">
        <f t="shared" ref="S282:AI282" si="84">(S281/S29)*1000</f>
        <v>4.4882439149417177</v>
      </c>
      <c r="T282" s="1791">
        <f>(T281/T29)*1000</f>
        <v>2.4860309461389778</v>
      </c>
      <c r="U282" s="1791">
        <f>(U281/U29)*1000</f>
        <v>6.3160525533354308</v>
      </c>
      <c r="V282" s="1791">
        <f>(V281/V29)*1000</f>
        <v>4.5988546640039143</v>
      </c>
      <c r="W282" s="1791">
        <f t="shared" si="84"/>
        <v>4.8074504464239309</v>
      </c>
      <c r="X282" s="1791">
        <f t="shared" si="84"/>
        <v>0</v>
      </c>
      <c r="Y282" s="1791" t="e">
        <f t="shared" si="84"/>
        <v>#DIV/0!</v>
      </c>
      <c r="Z282" s="1791" t="e">
        <f t="shared" si="84"/>
        <v>#DIV/0!</v>
      </c>
      <c r="AA282" s="1791" t="e">
        <f t="shared" si="84"/>
        <v>#DIV/0!</v>
      </c>
      <c r="AB282" s="1791" t="e">
        <f t="shared" si="84"/>
        <v>#DIV/0!</v>
      </c>
      <c r="AC282" s="1791" t="e">
        <f t="shared" si="84"/>
        <v>#DIV/0!</v>
      </c>
      <c r="AD282" s="1791" t="e">
        <f t="shared" si="84"/>
        <v>#DIV/0!</v>
      </c>
      <c r="AE282" s="1791" t="e">
        <f t="shared" si="84"/>
        <v>#DIV/0!</v>
      </c>
      <c r="AF282" s="1791" t="e">
        <f t="shared" si="84"/>
        <v>#DIV/0!</v>
      </c>
      <c r="AG282" s="1791" t="e">
        <f t="shared" si="84"/>
        <v>#DIV/0!</v>
      </c>
      <c r="AH282" s="1791" t="e">
        <f t="shared" si="84"/>
        <v>#DIV/0!</v>
      </c>
      <c r="AI282" s="1791" t="e">
        <f t="shared" si="84"/>
        <v>#DIV/0!</v>
      </c>
      <c r="AJ282" s="946" t="e">
        <f>AJ281/AJ29*100000</f>
        <v>#DIV/0!</v>
      </c>
      <c r="AK282" s="62"/>
      <c r="AL282" s="1990">
        <f>AL281/AL32*1000</f>
        <v>4.6159115412373239</v>
      </c>
      <c r="AN282" s="3"/>
    </row>
    <row r="283" spans="3:60 15026:15418" x14ac:dyDescent="0.25">
      <c r="C283" s="1932"/>
      <c r="D283" s="1933" t="s">
        <v>7</v>
      </c>
      <c r="E283" s="547"/>
      <c r="F283" s="1934"/>
      <c r="G283" s="1935"/>
      <c r="H283" s="1935"/>
      <c r="I283" s="1935"/>
      <c r="J283" s="1935"/>
      <c r="K283" s="1935"/>
      <c r="L283" s="1935"/>
      <c r="M283" s="1935"/>
      <c r="N283" s="2018">
        <v>0</v>
      </c>
      <c r="O283" s="2018">
        <v>0</v>
      </c>
      <c r="P283" s="2018">
        <v>0</v>
      </c>
      <c r="Q283" s="1935"/>
      <c r="R283" s="1935"/>
      <c r="S283" s="1988"/>
      <c r="T283" s="1935"/>
      <c r="U283" s="1935"/>
      <c r="V283" s="1935"/>
      <c r="W283" s="1935"/>
      <c r="X283" s="1935"/>
      <c r="Y283" s="1935"/>
      <c r="Z283" s="1935"/>
      <c r="AA283" s="1935"/>
      <c r="AB283" s="1935"/>
      <c r="AC283" s="1935"/>
      <c r="AD283" s="1935"/>
      <c r="AE283" s="1935"/>
      <c r="AF283" s="1935"/>
      <c r="AG283" s="1935"/>
      <c r="AH283" s="1935"/>
      <c r="AI283" s="1935"/>
      <c r="AJ283" s="1935"/>
      <c r="AK283" s="1936"/>
      <c r="AL283" s="1937" t="s">
        <v>7</v>
      </c>
      <c r="AN283" s="2081"/>
    </row>
    <row r="284" spans="3:60 15026:15418" hidden="1" x14ac:dyDescent="0.25">
      <c r="C284" s="15"/>
      <c r="D284" s="247" t="s">
        <v>122</v>
      </c>
      <c r="E284" s="266">
        <v>11.81</v>
      </c>
      <c r="F284" s="246" t="s">
        <v>2</v>
      </c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L284" s="82">
        <f>SUM(G284:AJ284)</f>
        <v>0</v>
      </c>
    </row>
    <row r="285" spans="3:60 15026:15418" ht="15.75" hidden="1" thickBot="1" x14ac:dyDescent="0.3">
      <c r="C285" s="19"/>
      <c r="D285" s="248" t="s">
        <v>123</v>
      </c>
      <c r="E285" s="267">
        <v>241.12</v>
      </c>
      <c r="F285" s="249" t="s">
        <v>2</v>
      </c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L285" s="268">
        <f>SUM(G285:AJ285)</f>
        <v>0</v>
      </c>
    </row>
    <row r="287" spans="3:60 15026:15418" x14ac:dyDescent="0.25">
      <c r="E287" s="1916"/>
      <c r="N287" s="3">
        <f t="shared" ref="N287:W287" si="85">N274+N276+N279+N281</f>
        <v>32697.5</v>
      </c>
      <c r="O287" s="3">
        <f t="shared" si="85"/>
        <v>47325.950000000004</v>
      </c>
      <c r="P287" s="3">
        <f t="shared" si="85"/>
        <v>56987.95</v>
      </c>
      <c r="Q287" s="3">
        <f t="shared" si="85"/>
        <v>50100.800000000003</v>
      </c>
      <c r="R287" s="3">
        <f t="shared" si="85"/>
        <v>49217</v>
      </c>
      <c r="S287" s="3">
        <f t="shared" si="85"/>
        <v>47559.100000000006</v>
      </c>
      <c r="T287" s="3">
        <f t="shared" si="85"/>
        <v>44113.3</v>
      </c>
      <c r="U287" s="3">
        <f t="shared" si="85"/>
        <v>46577.5</v>
      </c>
      <c r="V287" s="3">
        <f t="shared" si="85"/>
        <v>48894.299999999996</v>
      </c>
      <c r="W287" s="3">
        <f t="shared" si="85"/>
        <v>44306.200000000004</v>
      </c>
    </row>
    <row r="290" spans="5:25" x14ac:dyDescent="0.25">
      <c r="E290" s="1989"/>
    </row>
    <row r="291" spans="5:25" x14ac:dyDescent="0.25">
      <c r="E291" s="1989"/>
    </row>
    <row r="292" spans="5:25" x14ac:dyDescent="0.25">
      <c r="E292" s="1989"/>
    </row>
    <row r="293" spans="5:25" x14ac:dyDescent="0.25">
      <c r="E293" s="1989"/>
    </row>
    <row r="294" spans="5:25" x14ac:dyDescent="0.25">
      <c r="E294" s="1989"/>
    </row>
    <row r="302" spans="5:25" x14ac:dyDescent="0.25">
      <c r="U302" s="1989"/>
    </row>
    <row r="303" spans="5:25" x14ac:dyDescent="0.25">
      <c r="U303" s="1989"/>
      <c r="V303" s="1989"/>
      <c r="W303" s="3">
        <f>S55</f>
        <v>0</v>
      </c>
      <c r="X303" s="3">
        <f>W303-V303</f>
        <v>0</v>
      </c>
      <c r="Y303" s="1989">
        <v>330482</v>
      </c>
    </row>
    <row r="304" spans="5:25" x14ac:dyDescent="0.25">
      <c r="U304" s="1989"/>
      <c r="Y304" s="1989">
        <v>490703</v>
      </c>
    </row>
    <row r="305" spans="3:60 15026:15418" x14ac:dyDescent="0.25">
      <c r="U305" s="1989"/>
      <c r="Y305" s="1989">
        <v>16008</v>
      </c>
    </row>
    <row r="306" spans="3:60 15026:15418" x14ac:dyDescent="0.25">
      <c r="Y306" s="1989">
        <v>146060</v>
      </c>
    </row>
    <row r="307" spans="3:60 15026:15418" x14ac:dyDescent="0.25">
      <c r="Y307" s="1989">
        <v>9572</v>
      </c>
    </row>
    <row r="308" spans="3:60 15026:15418" s="1" customFormat="1" x14ac:dyDescent="0.25">
      <c r="C308" s="5"/>
      <c r="F308" s="2"/>
      <c r="Y308" s="1989">
        <v>20000</v>
      </c>
      <c r="BH308" s="141"/>
      <c r="VEX308" s="46"/>
      <c r="VEY308" s="46"/>
      <c r="VEZ308" s="46"/>
      <c r="VFA308" s="46"/>
      <c r="VFB308" s="46"/>
      <c r="VFC308" s="46"/>
      <c r="VFD308" s="46"/>
      <c r="VFE308" s="46"/>
      <c r="VFF308" s="46"/>
      <c r="VFG308" s="46"/>
      <c r="VFH308" s="46"/>
      <c r="VFI308" s="46"/>
      <c r="VFJ308" s="46"/>
      <c r="VFK308" s="46"/>
      <c r="VFL308" s="46"/>
      <c r="VFM308" s="46"/>
      <c r="VFN308" s="46"/>
      <c r="VFO308" s="46"/>
      <c r="VFP308" s="46"/>
      <c r="VFQ308" s="46"/>
      <c r="VFR308" s="46"/>
      <c r="VFS308" s="46"/>
      <c r="VFT308" s="46"/>
      <c r="VFU308" s="46"/>
      <c r="VFV308" s="46"/>
      <c r="VFW308" s="46"/>
      <c r="VFX308" s="46"/>
      <c r="VFY308" s="46"/>
      <c r="VFZ308" s="46"/>
      <c r="VGA308" s="46"/>
      <c r="VGB308" s="46"/>
      <c r="VGC308" s="46"/>
      <c r="VGD308" s="46"/>
      <c r="VGE308" s="46"/>
      <c r="VGF308" s="46"/>
      <c r="VGG308" s="46"/>
      <c r="VGH308" s="46"/>
      <c r="VGI308" s="46"/>
      <c r="VGJ308" s="46"/>
      <c r="VGK308" s="46"/>
      <c r="VGL308" s="46"/>
      <c r="VGM308" s="46"/>
      <c r="VGN308" s="46"/>
      <c r="VGO308" s="46"/>
      <c r="VGP308" s="46"/>
      <c r="VGQ308" s="46"/>
      <c r="VGR308" s="46"/>
      <c r="VGS308" s="46"/>
      <c r="VGT308" s="46"/>
      <c r="VGU308" s="46"/>
      <c r="VGV308" s="46"/>
      <c r="VGW308" s="46"/>
      <c r="VGX308" s="46"/>
      <c r="VGY308" s="46"/>
      <c r="VGZ308" s="46"/>
      <c r="VHA308" s="46"/>
      <c r="VHB308" s="46"/>
      <c r="VHC308" s="46"/>
      <c r="VHD308" s="46"/>
      <c r="VHE308" s="46"/>
      <c r="VHF308" s="46"/>
      <c r="VHG308" s="46"/>
      <c r="VHH308" s="46"/>
      <c r="VHI308" s="46"/>
      <c r="VHJ308" s="46"/>
      <c r="VHK308" s="46"/>
      <c r="VHL308" s="46"/>
      <c r="VHM308" s="46"/>
      <c r="VHN308" s="46"/>
      <c r="VHO308" s="46"/>
      <c r="VHP308" s="46"/>
      <c r="VHQ308" s="46"/>
      <c r="VHR308" s="46"/>
      <c r="VHS308" s="46"/>
      <c r="VHT308" s="46"/>
      <c r="VHU308" s="46"/>
      <c r="VHV308" s="46"/>
      <c r="VHW308" s="46"/>
      <c r="VHX308" s="46"/>
      <c r="VHY308" s="46"/>
      <c r="VHZ308" s="46"/>
      <c r="VIA308" s="46"/>
      <c r="VIB308" s="46"/>
      <c r="VIC308" s="46"/>
      <c r="VID308" s="46"/>
      <c r="VIE308" s="46"/>
      <c r="VIF308" s="46"/>
      <c r="VIG308" s="46"/>
      <c r="VIH308" s="46"/>
      <c r="VII308" s="46"/>
      <c r="VIJ308" s="46"/>
      <c r="VIK308" s="46"/>
      <c r="VIL308" s="46"/>
      <c r="VIM308" s="46"/>
      <c r="VIN308" s="46"/>
      <c r="VIO308" s="46"/>
      <c r="VIP308" s="46"/>
      <c r="VIQ308" s="46"/>
      <c r="VIR308" s="46"/>
      <c r="VIS308" s="46"/>
      <c r="VIT308" s="46"/>
      <c r="VIU308" s="46"/>
      <c r="VIV308" s="46"/>
      <c r="VIW308" s="46"/>
      <c r="VIX308" s="46"/>
      <c r="VIY308" s="46"/>
      <c r="VIZ308" s="46"/>
      <c r="VJA308" s="46"/>
      <c r="VJB308" s="46"/>
      <c r="VJC308" s="46"/>
      <c r="VJD308" s="46"/>
      <c r="VJE308" s="46"/>
      <c r="VJF308" s="46"/>
      <c r="VJG308" s="46"/>
      <c r="VJH308" s="46"/>
      <c r="VJI308" s="46"/>
      <c r="VJJ308" s="46"/>
      <c r="VJK308" s="46"/>
      <c r="VJL308" s="46"/>
      <c r="VJM308" s="46"/>
      <c r="VJN308" s="46"/>
      <c r="VJO308" s="46"/>
      <c r="VJP308" s="46"/>
      <c r="VJQ308" s="46"/>
      <c r="VJR308" s="46"/>
      <c r="VJS308" s="46"/>
      <c r="VJT308" s="46"/>
      <c r="VJU308" s="46"/>
      <c r="VJV308" s="46"/>
      <c r="VJW308" s="46"/>
      <c r="VJX308" s="46"/>
      <c r="VJY308" s="46"/>
      <c r="VJZ308" s="46"/>
      <c r="VKA308" s="46"/>
      <c r="VKB308" s="46"/>
      <c r="VKC308" s="46"/>
      <c r="VKD308" s="46"/>
      <c r="VKE308" s="46"/>
      <c r="VKF308" s="46"/>
      <c r="VKG308" s="46"/>
      <c r="VKH308" s="46"/>
      <c r="VKI308" s="46"/>
      <c r="VKJ308" s="46"/>
      <c r="VKK308" s="46"/>
      <c r="VKL308" s="46"/>
      <c r="VKM308" s="46"/>
      <c r="VKN308" s="46"/>
      <c r="VKO308" s="46"/>
      <c r="VKP308" s="46"/>
      <c r="VKQ308" s="46"/>
      <c r="VKR308" s="46"/>
      <c r="VKS308" s="46"/>
      <c r="VKT308" s="46"/>
      <c r="VKU308" s="46"/>
      <c r="VKV308" s="46"/>
      <c r="VKW308" s="46"/>
      <c r="VKX308" s="46"/>
      <c r="VKY308" s="46"/>
      <c r="VKZ308" s="46"/>
      <c r="VLA308" s="46"/>
      <c r="VLB308" s="46"/>
      <c r="VLC308" s="46"/>
      <c r="VLD308" s="46"/>
      <c r="VLE308" s="46"/>
      <c r="VLF308" s="46"/>
      <c r="VLG308" s="46"/>
      <c r="VLH308" s="46"/>
      <c r="VLI308" s="46"/>
      <c r="VLJ308" s="46"/>
      <c r="VLK308" s="46"/>
      <c r="VLL308" s="46"/>
      <c r="VLM308" s="46"/>
      <c r="VLN308" s="46"/>
      <c r="VLO308" s="46"/>
      <c r="VLP308" s="46"/>
      <c r="VLQ308" s="46"/>
      <c r="VLR308" s="46"/>
      <c r="VLS308" s="46"/>
      <c r="VLT308" s="46"/>
      <c r="VLU308" s="46"/>
      <c r="VLV308" s="46"/>
      <c r="VLW308" s="46"/>
      <c r="VLX308" s="46"/>
      <c r="VLY308" s="46"/>
      <c r="VLZ308" s="46"/>
      <c r="VMA308" s="46"/>
      <c r="VMB308" s="46"/>
      <c r="VMC308" s="46"/>
      <c r="VMD308" s="46"/>
      <c r="VME308" s="46"/>
      <c r="VMF308" s="46"/>
      <c r="VMG308" s="46"/>
      <c r="VMH308" s="46"/>
      <c r="VMI308" s="46"/>
      <c r="VMJ308" s="46"/>
      <c r="VMK308" s="46"/>
      <c r="VML308" s="46"/>
      <c r="VMM308" s="46"/>
      <c r="VMN308" s="46"/>
      <c r="VMO308" s="46"/>
      <c r="VMP308" s="46"/>
      <c r="VMQ308" s="46"/>
      <c r="VMR308" s="46"/>
      <c r="VMS308" s="46"/>
      <c r="VMT308" s="46"/>
      <c r="VMU308" s="46"/>
      <c r="VMV308" s="46"/>
      <c r="VMW308" s="46"/>
      <c r="VMX308" s="46"/>
      <c r="VMY308" s="46"/>
      <c r="VMZ308" s="46"/>
      <c r="VNA308" s="46"/>
      <c r="VNB308" s="46"/>
      <c r="VNC308" s="46"/>
      <c r="VND308" s="46"/>
      <c r="VNE308" s="46"/>
      <c r="VNF308" s="46"/>
      <c r="VNG308" s="46"/>
      <c r="VNH308" s="46"/>
      <c r="VNI308" s="46"/>
      <c r="VNJ308" s="46"/>
      <c r="VNK308" s="46"/>
      <c r="VNL308" s="46"/>
      <c r="VNM308" s="46"/>
      <c r="VNN308" s="46"/>
      <c r="VNO308" s="46"/>
      <c r="VNP308" s="46"/>
      <c r="VNQ308" s="46"/>
      <c r="VNR308" s="46"/>
      <c r="VNS308" s="46"/>
      <c r="VNT308" s="46"/>
      <c r="VNU308" s="46"/>
      <c r="VNV308" s="46"/>
      <c r="VNW308" s="46"/>
      <c r="VNX308" s="46"/>
      <c r="VNY308" s="46"/>
      <c r="VNZ308" s="46"/>
      <c r="VOA308" s="46"/>
      <c r="VOB308" s="46"/>
      <c r="VOC308" s="46"/>
      <c r="VOD308" s="46"/>
      <c r="VOE308" s="46"/>
      <c r="VOF308" s="46"/>
      <c r="VOG308" s="46"/>
      <c r="VOH308" s="46"/>
      <c r="VOI308" s="46"/>
      <c r="VOJ308" s="46"/>
      <c r="VOK308" s="46"/>
      <c r="VOL308" s="46"/>
      <c r="VOM308" s="46"/>
      <c r="VON308" s="46"/>
      <c r="VOO308" s="46"/>
      <c r="VOP308" s="46"/>
      <c r="VOQ308" s="46"/>
      <c r="VOR308" s="46"/>
      <c r="VOS308" s="46"/>
      <c r="VOT308" s="46"/>
      <c r="VOU308" s="46"/>
      <c r="VOV308" s="46"/>
      <c r="VOW308" s="46"/>
      <c r="VOX308" s="46"/>
      <c r="VOY308" s="46"/>
      <c r="VOZ308" s="46"/>
      <c r="VPA308" s="46"/>
      <c r="VPB308" s="46"/>
      <c r="VPC308" s="46"/>
      <c r="VPD308" s="46"/>
      <c r="VPE308" s="46"/>
      <c r="VPF308" s="46"/>
      <c r="VPG308" s="46"/>
      <c r="VPH308" s="46"/>
      <c r="VPI308" s="46"/>
      <c r="VPJ308" s="46"/>
      <c r="VPK308" s="46"/>
      <c r="VPL308" s="46"/>
      <c r="VPM308" s="46"/>
      <c r="VPN308" s="46"/>
      <c r="VPO308" s="46"/>
      <c r="VPP308" s="46"/>
      <c r="VPQ308" s="46"/>
      <c r="VPR308" s="46"/>
      <c r="VPS308" s="46"/>
      <c r="VPT308" s="46"/>
      <c r="VPU308" s="46"/>
      <c r="VPV308" s="46"/>
      <c r="VPW308" s="46"/>
      <c r="VPX308" s="46"/>
      <c r="VPY308" s="46"/>
      <c r="VPZ308" s="46"/>
      <c r="VQA308" s="46"/>
      <c r="VQB308" s="46"/>
      <c r="VQC308" s="46"/>
      <c r="VQD308" s="46"/>
      <c r="VQE308" s="46"/>
      <c r="VQF308" s="46"/>
      <c r="VQG308" s="46"/>
      <c r="VQH308" s="46"/>
      <c r="VQI308" s="46"/>
      <c r="VQJ308" s="46"/>
      <c r="VQK308" s="46"/>
      <c r="VQL308" s="46"/>
      <c r="VQM308" s="46"/>
      <c r="VQN308" s="46"/>
      <c r="VQO308" s="46"/>
      <c r="VQP308" s="46"/>
      <c r="VQQ308" s="46"/>
      <c r="VQR308" s="46"/>
      <c r="VQS308" s="46"/>
      <c r="VQT308" s="46"/>
      <c r="VQU308" s="46"/>
      <c r="VQV308" s="46"/>
      <c r="VQW308" s="46"/>
      <c r="VQX308" s="46"/>
      <c r="VQY308" s="46"/>
      <c r="VQZ308" s="46"/>
      <c r="VRA308" s="46"/>
      <c r="VRB308" s="46"/>
      <c r="VRC308" s="46"/>
      <c r="VRD308" s="46"/>
      <c r="VRE308" s="46"/>
      <c r="VRF308" s="46"/>
      <c r="VRG308" s="46"/>
      <c r="VRH308" s="46"/>
      <c r="VRI308" s="46"/>
      <c r="VRJ308" s="46"/>
      <c r="VRK308" s="46"/>
      <c r="VRL308" s="46"/>
      <c r="VRM308" s="46"/>
      <c r="VRN308" s="46"/>
      <c r="VRO308" s="46"/>
      <c r="VRP308" s="46"/>
      <c r="VRQ308" s="46"/>
      <c r="VRR308" s="46"/>
      <c r="VRS308" s="46"/>
      <c r="VRT308" s="46"/>
      <c r="VRU308" s="46"/>
      <c r="VRV308" s="46"/>
      <c r="VRW308" s="46"/>
      <c r="VRX308" s="46"/>
      <c r="VRY308" s="46"/>
      <c r="VRZ308" s="46"/>
      <c r="VSA308" s="46"/>
      <c r="VSB308" s="46"/>
      <c r="VSC308" s="46"/>
      <c r="VSD308" s="46"/>
      <c r="VSE308" s="46"/>
      <c r="VSF308" s="46"/>
      <c r="VSG308" s="46"/>
      <c r="VSH308" s="46"/>
      <c r="VSI308" s="46"/>
      <c r="VSJ308" s="46"/>
      <c r="VSK308" s="46"/>
      <c r="VSL308" s="46"/>
      <c r="VSM308" s="46"/>
      <c r="VSN308" s="46"/>
      <c r="VSO308" s="46"/>
      <c r="VSP308" s="46"/>
      <c r="VSQ308" s="46"/>
      <c r="VSR308" s="46"/>
      <c r="VSS308" s="46"/>
      <c r="VST308" s="46"/>
      <c r="VSU308" s="46"/>
      <c r="VSV308" s="46"/>
      <c r="VSW308" s="46"/>
      <c r="VSX308" s="46"/>
      <c r="VSY308" s="46"/>
      <c r="VSZ308" s="46"/>
      <c r="VTA308" s="46"/>
      <c r="VTB308" s="46"/>
      <c r="VTC308" s="46"/>
      <c r="VTD308" s="46"/>
      <c r="VTE308" s="46"/>
      <c r="VTF308" s="46"/>
      <c r="VTG308" s="46"/>
      <c r="VTH308" s="46"/>
      <c r="VTI308" s="46"/>
      <c r="VTJ308" s="46"/>
      <c r="VTK308" s="46"/>
      <c r="VTL308" s="46"/>
      <c r="VTM308" s="46"/>
      <c r="VTN308" s="46"/>
      <c r="VTO308" s="46"/>
      <c r="VTP308" s="46"/>
      <c r="VTQ308" s="46"/>
      <c r="VTR308" s="46"/>
      <c r="VTS308" s="46"/>
      <c r="VTT308" s="46"/>
      <c r="VTU308" s="46"/>
      <c r="VTV308" s="46"/>
      <c r="VTW308" s="46"/>
      <c r="VTX308" s="46"/>
      <c r="VTY308" s="46"/>
      <c r="VTZ308" s="46"/>
    </row>
    <row r="309" spans="3:60 15026:15418" x14ac:dyDescent="0.25">
      <c r="Y309" s="1989">
        <v>88783</v>
      </c>
    </row>
    <row r="310" spans="3:60 15026:15418" x14ac:dyDescent="0.25">
      <c r="Y310" s="1989">
        <v>37983</v>
      </c>
    </row>
  </sheetData>
  <mergeCells count="5">
    <mergeCell ref="C2:C3"/>
    <mergeCell ref="D2:D3"/>
    <mergeCell ref="E2:E3"/>
    <mergeCell ref="F2:F3"/>
    <mergeCell ref="AL2:AL3"/>
  </mergeCells>
  <printOptions horizontalCentered="1"/>
  <pageMargins left="0.7" right="0.7" top="0.75" bottom="0.75" header="0.3" footer="0.3"/>
  <pageSetup paperSize="9" scale="50" orientation="landscape" horizontalDpi="90" verticalDpi="90" r:id="rId1"/>
  <rowBreaks count="1" manualBreakCount="1">
    <brk id="73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192"/>
      <c r="B1" s="1858"/>
      <c r="C1" s="2195" t="s">
        <v>1017</v>
      </c>
      <c r="D1" s="2196"/>
      <c r="E1" s="2196"/>
      <c r="F1" s="2196"/>
      <c r="G1" s="2196"/>
      <c r="H1" s="2196"/>
      <c r="I1" s="2197"/>
    </row>
    <row r="2" spans="1:9" ht="14.85" customHeight="1" x14ac:dyDescent="0.25">
      <c r="A2" s="2193"/>
      <c r="B2" s="1859"/>
      <c r="C2" s="2198" t="s">
        <v>1018</v>
      </c>
      <c r="D2" s="2199"/>
      <c r="E2" s="2199"/>
      <c r="F2" s="2199"/>
      <c r="G2" s="2199"/>
      <c r="H2" s="2199"/>
      <c r="I2" s="2200"/>
    </row>
    <row r="3" spans="1:9" ht="14.85" customHeight="1" x14ac:dyDescent="0.25">
      <c r="A3" s="2193"/>
      <c r="B3" s="1860"/>
      <c r="C3" s="2201" t="s">
        <v>1019</v>
      </c>
      <c r="D3" s="2202"/>
      <c r="E3" s="2202"/>
      <c r="F3" s="2202"/>
      <c r="G3" s="2202"/>
      <c r="H3" s="2202"/>
      <c r="I3" s="2203"/>
    </row>
    <row r="4" spans="1:9" ht="14.85" customHeight="1" x14ac:dyDescent="0.25">
      <c r="A4" s="2193"/>
      <c r="B4" s="1860"/>
      <c r="C4" s="2204" t="s">
        <v>1020</v>
      </c>
      <c r="D4" s="2205"/>
      <c r="E4" s="2205"/>
      <c r="F4" s="2205"/>
      <c r="G4" s="2205"/>
      <c r="H4" s="1848" t="s">
        <v>1024</v>
      </c>
      <c r="I4" s="1862">
        <v>1</v>
      </c>
    </row>
    <row r="5" spans="1:9" ht="14.85" customHeight="1" x14ac:dyDescent="0.25">
      <c r="A5" s="2193"/>
      <c r="B5" s="1860"/>
      <c r="C5" s="2206"/>
      <c r="D5" s="2207"/>
      <c r="E5" s="2207"/>
      <c r="F5" s="2207"/>
      <c r="G5" s="2207"/>
      <c r="H5" s="1863" t="s">
        <v>1021</v>
      </c>
      <c r="I5" s="1864" t="s">
        <v>1023</v>
      </c>
    </row>
    <row r="6" spans="1:9" ht="15" customHeight="1" thickBot="1" x14ac:dyDescent="0.3">
      <c r="A6" s="2194"/>
      <c r="B6" s="1861"/>
      <c r="C6" s="2208"/>
      <c r="D6" s="2209"/>
      <c r="E6" s="2209"/>
      <c r="F6" s="2209"/>
      <c r="G6" s="2209"/>
      <c r="H6" s="1849" t="s">
        <v>1022</v>
      </c>
      <c r="I6" s="1865" t="s">
        <v>1023</v>
      </c>
    </row>
    <row r="7" spans="1:9" ht="21" customHeight="1" thickTop="1" thickBot="1" x14ac:dyDescent="0.4">
      <c r="A7" s="1839"/>
      <c r="B7" s="1839"/>
      <c r="C7" s="1839"/>
      <c r="D7" s="1839"/>
      <c r="E7" s="1840"/>
      <c r="F7" s="1840"/>
      <c r="G7" s="1840"/>
      <c r="H7" s="1840"/>
    </row>
    <row r="8" spans="1:9" ht="14.85" customHeight="1" x14ac:dyDescent="0.25">
      <c r="A8" s="2184" t="s">
        <v>99</v>
      </c>
      <c r="B8" s="2188" t="s">
        <v>100</v>
      </c>
      <c r="C8" s="2186" t="s">
        <v>1014</v>
      </c>
      <c r="D8" s="2213" t="s">
        <v>1001</v>
      </c>
      <c r="E8" s="2215" t="s">
        <v>1016</v>
      </c>
      <c r="F8" s="2216"/>
      <c r="G8" s="2216"/>
      <c r="H8" s="2216"/>
      <c r="I8" s="2217"/>
    </row>
    <row r="9" spans="1:9" ht="15.75" thickBot="1" x14ac:dyDescent="0.3">
      <c r="A9" s="2211"/>
      <c r="B9" s="2212"/>
      <c r="C9" s="2210"/>
      <c r="D9" s="2214"/>
      <c r="E9" s="2218"/>
      <c r="F9" s="2219"/>
      <c r="G9" s="2219"/>
      <c r="H9" s="2219"/>
      <c r="I9" s="2220"/>
    </row>
    <row r="10" spans="1:9" ht="15.75" thickBot="1" x14ac:dyDescent="0.3">
      <c r="A10" s="1806">
        <v>1</v>
      </c>
      <c r="B10" s="1667" t="s">
        <v>85</v>
      </c>
      <c r="C10" s="1764" t="s">
        <v>959</v>
      </c>
      <c r="D10" s="1764" t="s">
        <v>1012</v>
      </c>
      <c r="E10" s="1850" t="s">
        <v>911</v>
      </c>
      <c r="F10" s="1850" t="s">
        <v>912</v>
      </c>
      <c r="G10" s="1765" t="s">
        <v>188</v>
      </c>
      <c r="H10" s="1766" t="s">
        <v>965</v>
      </c>
      <c r="I10" s="1856" t="s">
        <v>1015</v>
      </c>
    </row>
    <row r="11" spans="1:9" ht="15.75" x14ac:dyDescent="0.25">
      <c r="A11" s="8"/>
      <c r="B11" s="1776" t="s">
        <v>555</v>
      </c>
      <c r="C11" s="251"/>
      <c r="D11" s="251"/>
      <c r="E11" s="33"/>
      <c r="F11" s="1807"/>
      <c r="G11" s="1807"/>
      <c r="H11" s="1841"/>
      <c r="I11" s="1851"/>
    </row>
    <row r="12" spans="1:9" hidden="1" x14ac:dyDescent="0.25">
      <c r="A12" s="8"/>
      <c r="B12" s="11" t="s">
        <v>84</v>
      </c>
      <c r="C12" s="251"/>
      <c r="D12" s="251"/>
      <c r="E12" s="33"/>
      <c r="I12" s="1852"/>
    </row>
    <row r="13" spans="1:9" hidden="1" x14ac:dyDescent="0.25">
      <c r="A13" s="8"/>
      <c r="B13" s="71" t="s">
        <v>125</v>
      </c>
      <c r="C13" s="251"/>
      <c r="D13" s="251"/>
      <c r="E13" s="270"/>
      <c r="I13" s="1852"/>
    </row>
    <row r="14" spans="1:9" hidden="1" x14ac:dyDescent="0.25">
      <c r="A14" s="8"/>
      <c r="B14" s="11" t="s">
        <v>103</v>
      </c>
      <c r="C14" s="251"/>
      <c r="D14" s="251"/>
      <c r="E14" s="34"/>
      <c r="I14" s="1852"/>
    </row>
    <row r="15" spans="1:9" x14ac:dyDescent="0.25">
      <c r="A15" s="8"/>
      <c r="B15" s="1664" t="s">
        <v>958</v>
      </c>
      <c r="C15" s="1781">
        <v>2500</v>
      </c>
      <c r="D15" s="1782" t="s">
        <v>379</v>
      </c>
      <c r="E15" s="1514">
        <v>8982.7999999999993</v>
      </c>
      <c r="F15" s="1514">
        <v>11717.8</v>
      </c>
      <c r="G15" s="245">
        <f>F15-E15</f>
        <v>2735</v>
      </c>
      <c r="H15" s="1842">
        <f>G15/25000*10</f>
        <v>1.0939999999999999</v>
      </c>
      <c r="I15" s="1855" t="s">
        <v>821</v>
      </c>
    </row>
    <row r="16" spans="1:9" hidden="1" x14ac:dyDescent="0.25">
      <c r="A16" s="8"/>
      <c r="B16" s="944" t="s">
        <v>377</v>
      </c>
      <c r="C16" s="945"/>
      <c r="D16" s="1813"/>
      <c r="E16" s="946"/>
      <c r="I16" s="1852"/>
    </row>
    <row r="17" spans="1:9" hidden="1" x14ac:dyDescent="0.25">
      <c r="A17" s="8"/>
      <c r="B17" s="21" t="s">
        <v>97</v>
      </c>
      <c r="C17" s="234">
        <v>29045000</v>
      </c>
      <c r="D17" s="1810"/>
      <c r="E17" s="33"/>
      <c r="I17" s="1852"/>
    </row>
    <row r="18" spans="1:9" hidden="1" x14ac:dyDescent="0.25">
      <c r="A18" s="8"/>
      <c r="B18" s="21" t="s">
        <v>98</v>
      </c>
      <c r="C18" s="234">
        <v>7314000</v>
      </c>
      <c r="D18" s="1810"/>
      <c r="E18" s="33">
        <f>E49+E58+E63</f>
        <v>0</v>
      </c>
      <c r="I18" s="1852"/>
    </row>
    <row r="19" spans="1:9" x14ac:dyDescent="0.25">
      <c r="A19" s="8"/>
      <c r="B19" s="1767" t="s">
        <v>963</v>
      </c>
      <c r="C19" s="1773"/>
      <c r="D19" s="1814"/>
      <c r="E19" s="33"/>
      <c r="F19" s="750"/>
      <c r="G19" s="750"/>
      <c r="I19" s="1852"/>
    </row>
    <row r="20" spans="1:9" x14ac:dyDescent="0.25">
      <c r="A20" s="8"/>
      <c r="B20" s="14" t="s">
        <v>82</v>
      </c>
      <c r="C20" s="1836">
        <v>0.1</v>
      </c>
      <c r="D20" s="264" t="s">
        <v>1002</v>
      </c>
      <c r="E20" s="1672"/>
      <c r="F20" s="1657"/>
      <c r="G20" s="1656"/>
      <c r="H20" s="1656">
        <v>6.3E-2</v>
      </c>
      <c r="I20" s="1852"/>
    </row>
    <row r="21" spans="1:9" x14ac:dyDescent="0.25">
      <c r="A21" s="8"/>
      <c r="B21" s="14" t="s">
        <v>81</v>
      </c>
      <c r="C21" s="1836">
        <v>0.1</v>
      </c>
      <c r="D21" s="264" t="s">
        <v>1002</v>
      </c>
      <c r="E21" s="1672"/>
      <c r="F21" s="1657"/>
      <c r="G21" s="1656"/>
      <c r="H21" s="1656">
        <v>0.05</v>
      </c>
      <c r="I21" s="1852"/>
    </row>
    <row r="22" spans="1:9" x14ac:dyDescent="0.25">
      <c r="A22" s="8"/>
      <c r="B22" s="14" t="s">
        <v>960</v>
      </c>
      <c r="C22" s="253" t="s">
        <v>961</v>
      </c>
      <c r="D22" s="1812"/>
      <c r="E22" s="1672"/>
      <c r="F22" s="1657"/>
      <c r="G22" s="1656"/>
      <c r="H22" s="1656">
        <v>51.8</v>
      </c>
      <c r="I22" s="1852"/>
    </row>
    <row r="23" spans="1:9" x14ac:dyDescent="0.25">
      <c r="A23" s="8"/>
      <c r="B23" s="14" t="s">
        <v>916</v>
      </c>
      <c r="C23" s="1768"/>
      <c r="D23" s="1812"/>
      <c r="E23" s="1672"/>
      <c r="F23" s="1657"/>
      <c r="G23" s="1656"/>
      <c r="H23" s="1656" t="s">
        <v>972</v>
      </c>
      <c r="I23" s="1852"/>
    </row>
    <row r="24" spans="1:9" x14ac:dyDescent="0.25">
      <c r="A24" s="8"/>
      <c r="B24" s="14" t="s">
        <v>962</v>
      </c>
      <c r="C24" s="1707">
        <v>68</v>
      </c>
      <c r="D24" s="264" t="s">
        <v>1004</v>
      </c>
      <c r="E24" s="1672"/>
      <c r="F24" s="1657"/>
      <c r="G24" s="1656"/>
      <c r="H24" s="1656">
        <v>65</v>
      </c>
      <c r="I24" s="1852"/>
    </row>
    <row r="25" spans="1:9" x14ac:dyDescent="0.25">
      <c r="A25" s="8"/>
      <c r="B25" s="235" t="s">
        <v>907</v>
      </c>
      <c r="C25" s="1661"/>
      <c r="D25" s="1815"/>
      <c r="E25" s="1673"/>
      <c r="F25" s="1662"/>
      <c r="G25" s="1663"/>
      <c r="H25" s="1663" t="s">
        <v>971</v>
      </c>
      <c r="I25" s="1852"/>
    </row>
    <row r="26" spans="1:9" ht="15.75" x14ac:dyDescent="0.25">
      <c r="A26" s="8"/>
      <c r="B26" s="1775" t="s">
        <v>78</v>
      </c>
      <c r="C26" s="1654"/>
      <c r="D26" s="1801"/>
      <c r="E26" s="272"/>
      <c r="F26" s="1674"/>
      <c r="G26" s="1655"/>
      <c r="H26" s="1843"/>
      <c r="I26" s="1852"/>
    </row>
    <row r="27" spans="1:9" x14ac:dyDescent="0.25">
      <c r="A27" s="8"/>
      <c r="B27" s="1774" t="s">
        <v>74</v>
      </c>
      <c r="C27" s="1665">
        <f>C15*84%</f>
        <v>2100</v>
      </c>
      <c r="D27" s="1816" t="s">
        <v>379</v>
      </c>
      <c r="E27" s="1514">
        <v>6537.1</v>
      </c>
      <c r="F27" s="1514">
        <v>8213</v>
      </c>
      <c r="G27" s="1514">
        <f>F27-E27</f>
        <v>1675.8999999999996</v>
      </c>
      <c r="H27" s="1844">
        <f>G27/(G27+G32)</f>
        <v>0.82838218575453493</v>
      </c>
      <c r="I27" s="1855" t="s">
        <v>821</v>
      </c>
    </row>
    <row r="28" spans="1:9" x14ac:dyDescent="0.25">
      <c r="A28" s="8"/>
      <c r="B28" s="1767" t="s">
        <v>963</v>
      </c>
      <c r="C28" s="1772"/>
      <c r="D28" s="1817"/>
      <c r="E28" s="1672"/>
      <c r="F28" s="1657"/>
      <c r="G28" s="1769"/>
      <c r="H28" s="749"/>
      <c r="I28" s="1852"/>
    </row>
    <row r="29" spans="1:9" x14ac:dyDescent="0.25">
      <c r="A29" s="8"/>
      <c r="B29" s="14" t="s">
        <v>960</v>
      </c>
      <c r="C29" s="1707">
        <v>56</v>
      </c>
      <c r="D29" s="264" t="s">
        <v>975</v>
      </c>
      <c r="E29" s="1672"/>
      <c r="F29" s="1657"/>
      <c r="G29" s="1771"/>
      <c r="H29" s="749"/>
      <c r="I29" s="1852"/>
    </row>
    <row r="30" spans="1:9" x14ac:dyDescent="0.25">
      <c r="A30" s="8"/>
      <c r="B30" s="14" t="s">
        <v>916</v>
      </c>
      <c r="C30" s="252"/>
      <c r="D30" s="264"/>
      <c r="E30" s="1672"/>
      <c r="F30" s="1657"/>
      <c r="G30" s="1770"/>
      <c r="H30" s="749"/>
      <c r="I30" s="1852"/>
    </row>
    <row r="31" spans="1:9" x14ac:dyDescent="0.25">
      <c r="A31" s="8"/>
      <c r="B31" s="14" t="s">
        <v>964</v>
      </c>
      <c r="C31" s="253">
        <v>10</v>
      </c>
      <c r="D31" s="264" t="s">
        <v>1005</v>
      </c>
      <c r="E31" s="1672"/>
      <c r="F31" s="1657"/>
      <c r="G31" s="1699"/>
      <c r="I31" s="1852"/>
    </row>
    <row r="32" spans="1:9" x14ac:dyDescent="0.25">
      <c r="A32" s="15"/>
      <c r="B32" s="1777" t="s">
        <v>73</v>
      </c>
      <c r="C32" s="1782">
        <f>C15*16%</f>
        <v>400</v>
      </c>
      <c r="D32" s="1782"/>
      <c r="E32" s="1514">
        <v>2268.1</v>
      </c>
      <c r="F32" s="1514">
        <v>2615.3000000000002</v>
      </c>
      <c r="G32" s="1514">
        <f>F32-E32</f>
        <v>347.20000000000027</v>
      </c>
      <c r="H32" s="1845">
        <f>G32/(G32+G27)</f>
        <v>0.17161781424546502</v>
      </c>
      <c r="I32" s="1855" t="s">
        <v>821</v>
      </c>
    </row>
    <row r="33" spans="1:9" hidden="1" x14ac:dyDescent="0.25">
      <c r="A33" s="15"/>
      <c r="B33" s="715" t="s">
        <v>351</v>
      </c>
      <c r="C33" s="740"/>
      <c r="D33" s="1810"/>
      <c r="E33" s="33"/>
      <c r="I33" s="1852"/>
    </row>
    <row r="34" spans="1:9" hidden="1" x14ac:dyDescent="0.25">
      <c r="A34" s="8"/>
      <c r="B34" s="11" t="s">
        <v>84</v>
      </c>
      <c r="C34" s="251"/>
      <c r="D34" s="251"/>
      <c r="E34" s="33"/>
      <c r="I34" s="1852"/>
    </row>
    <row r="35" spans="1:9" hidden="1" x14ac:dyDescent="0.25">
      <c r="A35" s="8"/>
      <c r="B35" s="11" t="s">
        <v>355</v>
      </c>
      <c r="C35" s="251"/>
      <c r="D35" s="251"/>
      <c r="E35" s="33">
        <v>0</v>
      </c>
      <c r="I35" s="1852"/>
    </row>
    <row r="36" spans="1:9" hidden="1" x14ac:dyDescent="0.25">
      <c r="A36" s="15"/>
      <c r="B36" s="64" t="s">
        <v>354</v>
      </c>
      <c r="C36" s="234"/>
      <c r="D36" s="1810"/>
      <c r="E36" s="270">
        <v>392100</v>
      </c>
      <c r="I36" s="1852"/>
    </row>
    <row r="37" spans="1:9" hidden="1" x14ac:dyDescent="0.25">
      <c r="A37" s="15"/>
      <c r="B37" s="944" t="s">
        <v>376</v>
      </c>
      <c r="C37" s="945"/>
      <c r="D37" s="1813"/>
      <c r="E37" s="946"/>
      <c r="I37" s="1852"/>
    </row>
    <row r="38" spans="1:9" hidden="1" x14ac:dyDescent="0.25">
      <c r="A38" s="15"/>
      <c r="B38" s="14" t="s">
        <v>353</v>
      </c>
      <c r="C38" s="739"/>
      <c r="D38" s="1818"/>
      <c r="E38" s="33">
        <f>SUM(E41,E45,E50,E54,E64)</f>
        <v>0</v>
      </c>
      <c r="I38" s="1852"/>
    </row>
    <row r="39" spans="1:9" hidden="1" x14ac:dyDescent="0.25">
      <c r="A39" s="15"/>
      <c r="B39" s="14" t="s">
        <v>352</v>
      </c>
      <c r="C39" s="741"/>
      <c r="D39" s="1818"/>
      <c r="E39" s="33">
        <f>E36-E38</f>
        <v>392100</v>
      </c>
      <c r="I39" s="1852"/>
    </row>
    <row r="40" spans="1:9" hidden="1" x14ac:dyDescent="0.25">
      <c r="A40" s="15"/>
      <c r="B40" s="230" t="s">
        <v>76</v>
      </c>
      <c r="C40" s="231"/>
      <c r="D40" s="1819"/>
      <c r="E40" s="94"/>
      <c r="I40" s="1852"/>
    </row>
    <row r="41" spans="1:9" hidden="1" x14ac:dyDescent="0.25">
      <c r="A41" s="15"/>
      <c r="B41" s="14" t="s">
        <v>75</v>
      </c>
      <c r="C41" s="255"/>
      <c r="D41" s="1820"/>
      <c r="E41" s="33">
        <f>E42+E43</f>
        <v>0</v>
      </c>
      <c r="I41" s="1852"/>
    </row>
    <row r="42" spans="1:9" hidden="1" x14ac:dyDescent="0.25">
      <c r="A42" s="15"/>
      <c r="B42" s="64" t="s">
        <v>74</v>
      </c>
      <c r="C42" s="255"/>
      <c r="D42" s="1820"/>
      <c r="E42" s="270">
        <v>0</v>
      </c>
      <c r="I42" s="1852"/>
    </row>
    <row r="43" spans="1:9" hidden="1" x14ac:dyDescent="0.25">
      <c r="A43" s="15"/>
      <c r="B43" s="64" t="s">
        <v>73</v>
      </c>
      <c r="C43" s="255"/>
      <c r="D43" s="1820"/>
      <c r="E43" s="271">
        <v>0</v>
      </c>
      <c r="I43" s="1852"/>
    </row>
    <row r="44" spans="1:9" hidden="1" x14ac:dyDescent="0.25">
      <c r="A44" s="68"/>
      <c r="B44" s="230" t="s">
        <v>104</v>
      </c>
      <c r="C44" s="305"/>
      <c r="D44" s="1821"/>
      <c r="E44" s="272"/>
      <c r="I44" s="1852"/>
    </row>
    <row r="45" spans="1:9" hidden="1" x14ac:dyDescent="0.25">
      <c r="A45" s="15"/>
      <c r="B45" s="14" t="s">
        <v>75</v>
      </c>
      <c r="C45" s="255"/>
      <c r="D45" s="1820"/>
      <c r="E45" s="33">
        <f>E46+E47</f>
        <v>0</v>
      </c>
      <c r="I45" s="1852"/>
    </row>
    <row r="46" spans="1:9" hidden="1" x14ac:dyDescent="0.25">
      <c r="A46" s="15"/>
      <c r="B46" s="64" t="s">
        <v>105</v>
      </c>
      <c r="C46" s="255"/>
      <c r="D46" s="1820"/>
      <c r="E46" s="270">
        <v>0</v>
      </c>
      <c r="I46" s="1852"/>
    </row>
    <row r="47" spans="1:9" hidden="1" x14ac:dyDescent="0.25">
      <c r="A47" s="15"/>
      <c r="B47" s="64" t="s">
        <v>73</v>
      </c>
      <c r="C47" s="255"/>
      <c r="D47" s="1820"/>
      <c r="E47" s="270">
        <v>0</v>
      </c>
      <c r="I47" s="1852"/>
    </row>
    <row r="48" spans="1:9" hidden="1" x14ac:dyDescent="0.25">
      <c r="A48" s="15"/>
      <c r="B48" s="230" t="s">
        <v>107</v>
      </c>
      <c r="C48" s="233"/>
      <c r="D48" s="1822"/>
      <c r="E48" s="94"/>
      <c r="I48" s="1852"/>
    </row>
    <row r="49" spans="1:9" hidden="1" x14ac:dyDescent="0.25">
      <c r="A49" s="17"/>
      <c r="B49" s="11" t="s">
        <v>71</v>
      </c>
      <c r="C49" s="256"/>
      <c r="D49" s="256"/>
      <c r="E49" s="33"/>
      <c r="I49" s="1852"/>
    </row>
    <row r="50" spans="1:9" hidden="1" x14ac:dyDescent="0.25">
      <c r="A50" s="15"/>
      <c r="B50" s="14" t="s">
        <v>70</v>
      </c>
      <c r="C50" s="255"/>
      <c r="D50" s="1820"/>
      <c r="E50" s="33">
        <f>E51+E52</f>
        <v>0</v>
      </c>
      <c r="I50" s="1852"/>
    </row>
    <row r="51" spans="1:9" hidden="1" x14ac:dyDescent="0.25">
      <c r="A51" s="15"/>
      <c r="B51" s="64" t="s">
        <v>109</v>
      </c>
      <c r="C51" s="255"/>
      <c r="D51" s="1820"/>
      <c r="E51" s="270">
        <v>0</v>
      </c>
      <c r="I51" s="1852"/>
    </row>
    <row r="52" spans="1:9" hidden="1" x14ac:dyDescent="0.25">
      <c r="A52" s="15"/>
      <c r="B52" s="55" t="s">
        <v>73</v>
      </c>
      <c r="C52" s="255"/>
      <c r="D52" s="1820"/>
      <c r="E52" s="271">
        <v>0</v>
      </c>
      <c r="I52" s="1852"/>
    </row>
    <row r="53" spans="1:9" hidden="1" x14ac:dyDescent="0.25">
      <c r="A53" s="68"/>
      <c r="B53" s="230" t="s">
        <v>110</v>
      </c>
      <c r="C53" s="305"/>
      <c r="D53" s="1823"/>
      <c r="E53" s="94"/>
      <c r="I53" s="1852"/>
    </row>
    <row r="54" spans="1:9" hidden="1" x14ac:dyDescent="0.25">
      <c r="A54" s="15"/>
      <c r="B54" s="14" t="s">
        <v>75</v>
      </c>
      <c r="C54" s="229">
        <f>C55+C56</f>
        <v>21429000</v>
      </c>
      <c r="D54" s="1824"/>
      <c r="E54" s="33">
        <f>E55+E56</f>
        <v>0</v>
      </c>
      <c r="I54" s="1852"/>
    </row>
    <row r="55" spans="1:9" hidden="1" x14ac:dyDescent="0.25">
      <c r="A55" s="15"/>
      <c r="B55" s="64" t="s">
        <v>112</v>
      </c>
      <c r="C55" s="67">
        <v>15000000</v>
      </c>
      <c r="D55" s="1825"/>
      <c r="E55" s="270"/>
      <c r="I55" s="1852"/>
    </row>
    <row r="56" spans="1:9" hidden="1" x14ac:dyDescent="0.25">
      <c r="A56" s="15"/>
      <c r="B56" s="64" t="s">
        <v>73</v>
      </c>
      <c r="C56" s="67">
        <v>6429000</v>
      </c>
      <c r="D56" s="1825"/>
      <c r="E56" s="271"/>
      <c r="I56" s="1852"/>
    </row>
    <row r="57" spans="1:9" hidden="1" x14ac:dyDescent="0.25">
      <c r="A57" s="68"/>
      <c r="B57" s="230" t="s">
        <v>818</v>
      </c>
      <c r="C57" s="305"/>
      <c r="D57" s="1821"/>
      <c r="E57" s="272"/>
      <c r="I57" s="1852"/>
    </row>
    <row r="58" spans="1:9" hidden="1" x14ac:dyDescent="0.25">
      <c r="A58" s="17"/>
      <c r="B58" s="11" t="s">
        <v>71</v>
      </c>
      <c r="C58" s="256"/>
      <c r="D58" s="256"/>
      <c r="E58" s="33"/>
      <c r="I58" s="1852"/>
    </row>
    <row r="59" spans="1:9" hidden="1" x14ac:dyDescent="0.25">
      <c r="A59" s="15"/>
      <c r="B59" s="14" t="s">
        <v>75</v>
      </c>
      <c r="C59" s="229">
        <f>C60+C61</f>
        <v>21429000</v>
      </c>
      <c r="D59" s="1824"/>
      <c r="E59" s="33">
        <f>E60+E61</f>
        <v>0</v>
      </c>
      <c r="I59" s="1852"/>
    </row>
    <row r="60" spans="1:9" hidden="1" x14ac:dyDescent="0.25">
      <c r="A60" s="15"/>
      <c r="B60" s="64" t="s">
        <v>112</v>
      </c>
      <c r="C60" s="67">
        <v>15000000</v>
      </c>
      <c r="D60" s="1825"/>
      <c r="E60" s="270">
        <v>0</v>
      </c>
      <c r="I60" s="1852"/>
    </row>
    <row r="61" spans="1:9" hidden="1" x14ac:dyDescent="0.25">
      <c r="A61" s="15"/>
      <c r="B61" s="64" t="s">
        <v>73</v>
      </c>
      <c r="C61" s="67">
        <v>6429000</v>
      </c>
      <c r="D61" s="1825"/>
      <c r="E61" s="270">
        <v>0</v>
      </c>
      <c r="I61" s="1852"/>
    </row>
    <row r="62" spans="1:9" hidden="1" x14ac:dyDescent="0.25">
      <c r="A62" s="15"/>
      <c r="B62" s="230" t="s">
        <v>72</v>
      </c>
      <c r="C62" s="233"/>
      <c r="D62" s="1822"/>
      <c r="E62" s="94"/>
      <c r="I62" s="1852"/>
    </row>
    <row r="63" spans="1:9" hidden="1" x14ac:dyDescent="0.25">
      <c r="A63" s="17"/>
      <c r="B63" s="11" t="s">
        <v>71</v>
      </c>
      <c r="C63" s="256"/>
      <c r="D63" s="256"/>
      <c r="E63" s="33"/>
      <c r="I63" s="1852"/>
    </row>
    <row r="64" spans="1:9" hidden="1" x14ac:dyDescent="0.25">
      <c r="A64" s="15"/>
      <c r="B64" s="14" t="s">
        <v>70</v>
      </c>
      <c r="C64" s="255"/>
      <c r="D64" s="1820"/>
      <c r="E64" s="33">
        <f>E66+E67</f>
        <v>0</v>
      </c>
      <c r="I64" s="1852"/>
    </row>
    <row r="65" spans="1:9" hidden="1" x14ac:dyDescent="0.25">
      <c r="A65" s="15"/>
      <c r="B65" s="64" t="s">
        <v>69</v>
      </c>
      <c r="C65" s="255"/>
      <c r="D65" s="1820"/>
      <c r="E65" s="270">
        <v>0</v>
      </c>
      <c r="I65" s="1852"/>
    </row>
    <row r="66" spans="1:9" hidden="1" x14ac:dyDescent="0.25">
      <c r="A66" s="15"/>
      <c r="B66" s="64" t="s">
        <v>68</v>
      </c>
      <c r="C66" s="255"/>
      <c r="D66" s="1820"/>
      <c r="E66" s="270">
        <v>0</v>
      </c>
      <c r="I66" s="1852"/>
    </row>
    <row r="67" spans="1:9" hidden="1" x14ac:dyDescent="0.25">
      <c r="A67" s="15"/>
      <c r="B67" s="64" t="s">
        <v>67</v>
      </c>
      <c r="C67" s="255"/>
      <c r="D67" s="1820"/>
      <c r="E67" s="270">
        <v>0</v>
      </c>
      <c r="I67" s="1852"/>
    </row>
    <row r="68" spans="1:9" hidden="1" x14ac:dyDescent="0.25">
      <c r="A68" s="15"/>
      <c r="B68" s="74" t="s">
        <v>113</v>
      </c>
      <c r="C68" s="255"/>
      <c r="D68" s="1820"/>
      <c r="E68" s="273">
        <v>0</v>
      </c>
      <c r="I68" s="1852"/>
    </row>
    <row r="69" spans="1:9" hidden="1" x14ac:dyDescent="0.25">
      <c r="A69" s="8"/>
      <c r="B69" s="75" t="s">
        <v>66</v>
      </c>
      <c r="C69" s="76"/>
      <c r="D69" s="48"/>
      <c r="E69" s="94"/>
      <c r="I69" s="1852"/>
    </row>
    <row r="70" spans="1:9" hidden="1" x14ac:dyDescent="0.25">
      <c r="A70" s="15"/>
      <c r="B70" s="74" t="s">
        <v>65</v>
      </c>
      <c r="C70" s="1572">
        <v>94.2</v>
      </c>
      <c r="D70" s="1826"/>
      <c r="E70" s="274" t="e">
        <f>(#REF!/(E15))*100</f>
        <v>#REF!</v>
      </c>
      <c r="I70" s="1852"/>
    </row>
    <row r="71" spans="1:9" hidden="1" x14ac:dyDescent="0.25">
      <c r="A71" s="15"/>
      <c r="B71" s="74" t="s">
        <v>64</v>
      </c>
      <c r="C71" s="126">
        <v>5</v>
      </c>
      <c r="D71" s="1827"/>
      <c r="E71" s="274">
        <f>(E32/(E15))*100</f>
        <v>25.249365453978719</v>
      </c>
      <c r="I71" s="1852"/>
    </row>
    <row r="72" spans="1:9" hidden="1" x14ac:dyDescent="0.25">
      <c r="A72" s="15"/>
      <c r="B72" s="74" t="s">
        <v>63</v>
      </c>
      <c r="C72" s="126">
        <v>82</v>
      </c>
      <c r="D72" s="1827"/>
      <c r="E72" s="274" t="e">
        <f>E42/(E42+E43)*100</f>
        <v>#DIV/0!</v>
      </c>
      <c r="I72" s="1852"/>
    </row>
    <row r="73" spans="1:9" hidden="1" x14ac:dyDescent="0.25">
      <c r="A73" s="15"/>
      <c r="B73" s="74" t="s">
        <v>62</v>
      </c>
      <c r="C73" s="126">
        <v>18</v>
      </c>
      <c r="D73" s="1827"/>
      <c r="E73" s="274" t="e">
        <f>(E43/E41)*100</f>
        <v>#DIV/0!</v>
      </c>
      <c r="I73" s="1852"/>
    </row>
    <row r="74" spans="1:9" hidden="1" x14ac:dyDescent="0.25">
      <c r="A74" s="15"/>
      <c r="B74" s="74" t="s">
        <v>106</v>
      </c>
      <c r="C74" s="126">
        <v>75</v>
      </c>
      <c r="D74" s="1827"/>
      <c r="E74" s="274" t="e">
        <f>(E46/E45)*100</f>
        <v>#DIV/0!</v>
      </c>
      <c r="I74" s="1852"/>
    </row>
    <row r="75" spans="1:9" hidden="1" x14ac:dyDescent="0.25">
      <c r="A75" s="15"/>
      <c r="B75" s="74" t="s">
        <v>62</v>
      </c>
      <c r="C75" s="126">
        <v>25</v>
      </c>
      <c r="D75" s="1827"/>
      <c r="E75" s="274" t="e">
        <f>(E47/E45)*100</f>
        <v>#DIV/0!</v>
      </c>
      <c r="I75" s="1852"/>
    </row>
    <row r="76" spans="1:9" hidden="1" x14ac:dyDescent="0.25">
      <c r="A76" s="15"/>
      <c r="B76" s="74" t="s">
        <v>108</v>
      </c>
      <c r="C76" s="126">
        <v>75</v>
      </c>
      <c r="D76" s="1827"/>
      <c r="E76" s="274" t="e">
        <f>E51/E50*100</f>
        <v>#DIV/0!</v>
      </c>
      <c r="I76" s="1852"/>
    </row>
    <row r="77" spans="1:9" hidden="1" x14ac:dyDescent="0.25">
      <c r="A77" s="15"/>
      <c r="B77" s="74" t="s">
        <v>62</v>
      </c>
      <c r="C77" s="126">
        <v>25</v>
      </c>
      <c r="D77" s="1827"/>
      <c r="E77" s="274" t="e">
        <f>E52/E50*100</f>
        <v>#DIV/0!</v>
      </c>
      <c r="I77" s="1852"/>
    </row>
    <row r="78" spans="1:9" hidden="1" x14ac:dyDescent="0.25">
      <c r="A78" s="15"/>
      <c r="B78" s="74" t="s">
        <v>111</v>
      </c>
      <c r="C78" s="126">
        <v>70</v>
      </c>
      <c r="D78" s="1827"/>
      <c r="E78" s="274" t="e">
        <f>E55/(E55+E56)*100</f>
        <v>#DIV/0!</v>
      </c>
      <c r="I78" s="1852"/>
    </row>
    <row r="79" spans="1:9" hidden="1" x14ac:dyDescent="0.25">
      <c r="A79" s="15"/>
      <c r="B79" s="74" t="s">
        <v>62</v>
      </c>
      <c r="C79" s="126">
        <v>30</v>
      </c>
      <c r="D79" s="1827"/>
      <c r="E79" s="274" t="e">
        <f>E56/(E56+E55)*100</f>
        <v>#DIV/0!</v>
      </c>
      <c r="I79" s="1852"/>
    </row>
    <row r="80" spans="1:9" hidden="1" x14ac:dyDescent="0.25">
      <c r="A80" s="15"/>
      <c r="B80" s="74" t="s">
        <v>819</v>
      </c>
      <c r="C80" s="126">
        <v>70</v>
      </c>
      <c r="D80" s="1827"/>
      <c r="E80" s="274" t="e">
        <f>E60/(E60+E61)*100</f>
        <v>#DIV/0!</v>
      </c>
      <c r="I80" s="1852"/>
    </row>
    <row r="81" spans="1:9" hidden="1" x14ac:dyDescent="0.25">
      <c r="A81" s="15"/>
      <c r="B81" s="74" t="s">
        <v>62</v>
      </c>
      <c r="C81" s="126">
        <v>30</v>
      </c>
      <c r="D81" s="1827"/>
      <c r="E81" s="274" t="e">
        <f>E61/(E60+E61)*100</f>
        <v>#DIV/0!</v>
      </c>
      <c r="I81" s="1852"/>
    </row>
    <row r="82" spans="1:9" hidden="1" x14ac:dyDescent="0.25">
      <c r="A82" s="15"/>
      <c r="B82" s="74" t="s">
        <v>61</v>
      </c>
      <c r="C82" s="126">
        <v>60</v>
      </c>
      <c r="D82" s="1827"/>
      <c r="E82" s="274" t="e">
        <f>E65/E64*100</f>
        <v>#DIV/0!</v>
      </c>
      <c r="I82" s="1852"/>
    </row>
    <row r="83" spans="1:9" ht="15.75" hidden="1" thickBot="1" x14ac:dyDescent="0.3">
      <c r="A83" s="19"/>
      <c r="B83" s="74" t="s">
        <v>60</v>
      </c>
      <c r="C83" s="126">
        <v>40</v>
      </c>
      <c r="D83" s="1827"/>
      <c r="E83" s="274" t="e">
        <f>E67/E64*100</f>
        <v>#DIV/0!</v>
      </c>
      <c r="I83" s="1852"/>
    </row>
    <row r="84" spans="1:9" x14ac:dyDescent="0.25">
      <c r="A84" s="15"/>
      <c r="B84" s="1767" t="s">
        <v>963</v>
      </c>
      <c r="C84" s="1772"/>
      <c r="D84" s="1817"/>
      <c r="E84" s="274"/>
      <c r="F84" s="750"/>
      <c r="G84" s="750"/>
      <c r="I84" s="1852"/>
    </row>
    <row r="85" spans="1:9" x14ac:dyDescent="0.25">
      <c r="A85" s="8"/>
      <c r="B85" s="14" t="s">
        <v>966</v>
      </c>
      <c r="C85" s="1707">
        <v>32</v>
      </c>
      <c r="D85" s="264" t="s">
        <v>1003</v>
      </c>
      <c r="E85" s="1672"/>
      <c r="F85" s="1657"/>
      <c r="G85" s="1656"/>
      <c r="H85" s="749"/>
      <c r="I85" s="1852"/>
    </row>
    <row r="86" spans="1:9" ht="15.75" thickBot="1" x14ac:dyDescent="0.3">
      <c r="A86" s="8"/>
      <c r="B86" s="14" t="s">
        <v>967</v>
      </c>
      <c r="C86" s="1707" t="s">
        <v>1013</v>
      </c>
      <c r="D86" s="264" t="s">
        <v>1004</v>
      </c>
      <c r="E86" s="1672"/>
      <c r="F86" s="1657"/>
      <c r="G86" s="1656"/>
      <c r="H86" s="749"/>
      <c r="I86" s="1852"/>
    </row>
    <row r="87" spans="1:9" ht="15.75" thickBot="1" x14ac:dyDescent="0.3">
      <c r="A87" s="1806">
        <v>2</v>
      </c>
      <c r="B87" s="1779" t="s">
        <v>18</v>
      </c>
      <c r="C87" s="1765"/>
      <c r="D87" s="1828"/>
      <c r="E87" s="1780" t="s">
        <v>911</v>
      </c>
      <c r="F87" s="1778" t="s">
        <v>912</v>
      </c>
      <c r="G87" s="1765" t="s">
        <v>188</v>
      </c>
      <c r="H87" s="1811" t="s">
        <v>1007</v>
      </c>
      <c r="I87" s="1852"/>
    </row>
    <row r="88" spans="1:9" x14ac:dyDescent="0.25">
      <c r="A88" s="8"/>
      <c r="B88" s="235" t="s">
        <v>4</v>
      </c>
      <c r="C88" s="1665">
        <v>408000</v>
      </c>
      <c r="D88" s="1816" t="s">
        <v>995</v>
      </c>
      <c r="E88" s="1634"/>
      <c r="F88" s="1659"/>
      <c r="G88" s="298">
        <v>183211</v>
      </c>
      <c r="H88" s="1659"/>
      <c r="I88" s="1852"/>
    </row>
    <row r="89" spans="1:9" x14ac:dyDescent="0.25">
      <c r="A89" s="8"/>
      <c r="B89" s="30" t="s">
        <v>17</v>
      </c>
      <c r="C89" s="61"/>
      <c r="D89" s="1838"/>
      <c r="E89" s="282"/>
      <c r="G89" s="750"/>
      <c r="I89" s="1852"/>
    </row>
    <row r="90" spans="1:9" x14ac:dyDescent="0.25">
      <c r="A90" s="15"/>
      <c r="B90" s="235" t="s">
        <v>968</v>
      </c>
      <c r="C90" s="1837">
        <v>87.5</v>
      </c>
      <c r="D90" s="1816" t="s">
        <v>995</v>
      </c>
      <c r="E90" s="1514">
        <v>308052</v>
      </c>
      <c r="F90" s="1685">
        <v>366933</v>
      </c>
      <c r="G90" s="1784">
        <f>F90-E90</f>
        <v>58881</v>
      </c>
      <c r="H90" s="1846">
        <f>G90/G15</f>
        <v>21.528702010968921</v>
      </c>
      <c r="I90" s="1855" t="s">
        <v>821</v>
      </c>
    </row>
    <row r="91" spans="1:9" hidden="1" x14ac:dyDescent="0.25">
      <c r="A91" s="15"/>
      <c r="B91" s="14"/>
      <c r="C91" s="234">
        <f>C90/2000</f>
        <v>4.3749999999999997E-2</v>
      </c>
      <c r="D91" s="1810"/>
      <c r="E91" s="33"/>
      <c r="G91" s="750"/>
      <c r="I91" s="1852"/>
    </row>
    <row r="92" spans="1:9" x14ac:dyDescent="0.25">
      <c r="A92" s="15"/>
      <c r="B92" s="14"/>
      <c r="C92" s="1799">
        <f>C90/2.5</f>
        <v>35</v>
      </c>
      <c r="D92" s="1829" t="s">
        <v>1006</v>
      </c>
      <c r="E92" s="33"/>
      <c r="G92" s="750"/>
      <c r="I92" s="1852"/>
    </row>
    <row r="93" spans="1:9" hidden="1" x14ac:dyDescent="0.25">
      <c r="A93" s="15"/>
      <c r="B93" s="235" t="s">
        <v>15</v>
      </c>
      <c r="C93" s="234">
        <v>122000</v>
      </c>
      <c r="D93" s="1810"/>
      <c r="E93" s="275"/>
      <c r="F93" s="1659"/>
      <c r="G93" s="1676"/>
      <c r="H93" s="1659"/>
      <c r="I93" s="1852"/>
    </row>
    <row r="94" spans="1:9" x14ac:dyDescent="0.25">
      <c r="A94" s="15"/>
      <c r="B94" s="14" t="s">
        <v>914</v>
      </c>
      <c r="C94" s="234">
        <v>106000</v>
      </c>
      <c r="D94" s="1810" t="s">
        <v>995</v>
      </c>
      <c r="E94" s="946"/>
      <c r="F94" s="511"/>
      <c r="G94" s="1688"/>
      <c r="H94" s="511"/>
      <c r="I94" s="1852"/>
    </row>
    <row r="95" spans="1:9" ht="15.75" thickBot="1" x14ac:dyDescent="0.3">
      <c r="A95" s="8"/>
      <c r="B95" s="28" t="s">
        <v>1</v>
      </c>
      <c r="C95" s="263">
        <v>408000</v>
      </c>
      <c r="D95" s="1830" t="s">
        <v>995</v>
      </c>
      <c r="E95" s="282"/>
      <c r="G95" s="42">
        <f>SUM(G90,G93,G94)</f>
        <v>58881</v>
      </c>
      <c r="I95" s="1852"/>
    </row>
    <row r="96" spans="1:9" ht="15.75" thickBot="1" x14ac:dyDescent="0.3">
      <c r="A96" s="1806">
        <v>3</v>
      </c>
      <c r="B96" s="1809" t="s">
        <v>13</v>
      </c>
      <c r="C96" s="1670"/>
      <c r="D96" s="1668"/>
      <c r="E96" s="1780" t="s">
        <v>911</v>
      </c>
      <c r="F96" s="1778" t="s">
        <v>912</v>
      </c>
      <c r="G96" s="1765" t="s">
        <v>188</v>
      </c>
      <c r="H96" s="1811" t="s">
        <v>1008</v>
      </c>
      <c r="I96" s="1852"/>
    </row>
    <row r="97" spans="1:11" hidden="1" x14ac:dyDescent="0.25">
      <c r="A97" s="17"/>
      <c r="B97" s="242" t="s">
        <v>12</v>
      </c>
      <c r="C97" s="264">
        <v>1100</v>
      </c>
      <c r="D97" s="264" t="s">
        <v>998</v>
      </c>
      <c r="E97" s="244"/>
      <c r="F97" s="1659"/>
      <c r="G97" s="244">
        <v>818</v>
      </c>
      <c r="H97" s="1659"/>
      <c r="I97" s="1852"/>
    </row>
    <row r="98" spans="1:11" x14ac:dyDescent="0.25">
      <c r="A98" s="17"/>
      <c r="B98" s="43" t="s">
        <v>11</v>
      </c>
      <c r="C98" s="251"/>
      <c r="D98" s="251"/>
      <c r="E98" s="34"/>
      <c r="G98" s="750"/>
      <c r="I98" s="1852"/>
      <c r="K98" s="1919"/>
    </row>
    <row r="99" spans="1:11" ht="15.75" thickBot="1" x14ac:dyDescent="0.3">
      <c r="A99" s="17"/>
      <c r="B99" s="242" t="s">
        <v>969</v>
      </c>
      <c r="C99" s="1812">
        <v>0.13</v>
      </c>
      <c r="D99" s="264" t="s">
        <v>998</v>
      </c>
      <c r="E99" s="245">
        <v>58</v>
      </c>
      <c r="F99" s="1785">
        <v>106</v>
      </c>
      <c r="G99" s="1786">
        <f>F99-E99</f>
        <v>48</v>
      </c>
      <c r="H99" s="1846">
        <f>G99/G15</f>
        <v>1.7550274223034734E-2</v>
      </c>
      <c r="I99" s="1852"/>
    </row>
    <row r="100" spans="1:11" hidden="1" x14ac:dyDescent="0.25">
      <c r="A100" s="17"/>
      <c r="B100" s="242" t="s">
        <v>9</v>
      </c>
      <c r="C100" s="265">
        <v>179.63</v>
      </c>
      <c r="D100" s="265"/>
      <c r="E100" s="245"/>
      <c r="F100" s="1659"/>
      <c r="G100" s="1676"/>
      <c r="H100" s="1659"/>
      <c r="I100" s="1852"/>
    </row>
    <row r="101" spans="1:11" hidden="1" x14ac:dyDescent="0.25">
      <c r="A101" s="17"/>
      <c r="B101" s="242"/>
      <c r="C101" s="265">
        <f>C99/2500</f>
        <v>5.2000000000000004E-5</v>
      </c>
      <c r="D101" s="264" t="s">
        <v>1009</v>
      </c>
      <c r="E101" s="245"/>
      <c r="F101" s="1659"/>
      <c r="G101" s="1676"/>
      <c r="H101" s="1659"/>
      <c r="I101" s="1852"/>
    </row>
    <row r="102" spans="1:11" hidden="1" x14ac:dyDescent="0.25">
      <c r="A102" s="17"/>
      <c r="B102" s="242" t="s">
        <v>8</v>
      </c>
      <c r="C102" s="264">
        <v>491.59</v>
      </c>
      <c r="D102" s="264" t="s">
        <v>998</v>
      </c>
      <c r="E102" s="245"/>
      <c r="F102" s="1659"/>
      <c r="G102" s="245">
        <v>304</v>
      </c>
      <c r="H102" s="1659"/>
      <c r="I102" s="1852"/>
    </row>
    <row r="103" spans="1:11" hidden="1" x14ac:dyDescent="0.25">
      <c r="A103" s="17"/>
      <c r="B103" s="31" t="s">
        <v>7</v>
      </c>
      <c r="C103" s="955">
        <v>337.28</v>
      </c>
      <c r="D103" s="955" t="s">
        <v>998</v>
      </c>
      <c r="E103" s="34"/>
      <c r="G103" s="34">
        <f>G97-G99-G100-G102</f>
        <v>466</v>
      </c>
      <c r="I103" s="1852"/>
    </row>
    <row r="104" spans="1:11" ht="15.75" hidden="1" thickBot="1" x14ac:dyDescent="0.3">
      <c r="A104" s="17"/>
      <c r="B104" s="242" t="s">
        <v>6</v>
      </c>
      <c r="C104" s="264">
        <v>330</v>
      </c>
      <c r="D104" s="264" t="s">
        <v>998</v>
      </c>
      <c r="E104" s="245"/>
      <c r="F104" s="1659"/>
      <c r="G104" s="245">
        <v>164</v>
      </c>
      <c r="H104" s="1659"/>
      <c r="I104" s="1852"/>
    </row>
    <row r="105" spans="1:11" ht="15.75" thickBot="1" x14ac:dyDescent="0.3">
      <c r="A105" s="1808">
        <v>4</v>
      </c>
      <c r="B105" s="1809" t="s">
        <v>5</v>
      </c>
      <c r="C105" s="1670"/>
      <c r="D105" s="1668"/>
      <c r="E105" s="1780" t="s">
        <v>911</v>
      </c>
      <c r="F105" s="1778" t="s">
        <v>912</v>
      </c>
      <c r="G105" s="1765" t="s">
        <v>188</v>
      </c>
      <c r="H105" s="1811" t="s">
        <v>1010</v>
      </c>
      <c r="I105" s="1852"/>
    </row>
    <row r="106" spans="1:11" x14ac:dyDescent="0.25">
      <c r="A106" s="83"/>
      <c r="B106" s="122" t="s">
        <v>4</v>
      </c>
      <c r="C106" s="1064"/>
      <c r="D106" s="1831"/>
      <c r="E106" s="33"/>
      <c r="G106" s="750"/>
      <c r="I106" s="1852"/>
    </row>
    <row r="107" spans="1:11" hidden="1" x14ac:dyDescent="0.25">
      <c r="A107" s="83"/>
      <c r="B107" s="235" t="s">
        <v>3</v>
      </c>
      <c r="C107" s="234">
        <v>28770</v>
      </c>
      <c r="D107" s="1810" t="s">
        <v>2</v>
      </c>
      <c r="E107" s="245"/>
      <c r="F107" s="1659"/>
      <c r="G107" s="245">
        <v>5.3</v>
      </c>
      <c r="H107" s="1659"/>
      <c r="I107" s="1853"/>
    </row>
    <row r="108" spans="1:11" x14ac:dyDescent="0.25">
      <c r="A108" s="83"/>
      <c r="B108" s="122" t="s">
        <v>1</v>
      </c>
      <c r="C108" s="13"/>
      <c r="D108" s="12"/>
      <c r="E108" s="1651"/>
      <c r="G108" s="1651">
        <f>G107</f>
        <v>5.3</v>
      </c>
      <c r="I108" s="1852"/>
    </row>
    <row r="109" spans="1:11" x14ac:dyDescent="0.25">
      <c r="A109" s="83"/>
      <c r="B109" s="122" t="s">
        <v>15</v>
      </c>
      <c r="C109" s="13"/>
      <c r="D109" s="12"/>
      <c r="E109" s="282"/>
      <c r="G109" s="750"/>
      <c r="I109" s="1852"/>
    </row>
    <row r="110" spans="1:11" x14ac:dyDescent="0.25">
      <c r="A110" s="15"/>
      <c r="B110" s="247" t="s">
        <v>906</v>
      </c>
      <c r="C110" s="1783">
        <v>10632</v>
      </c>
      <c r="D110" s="1832" t="s">
        <v>1011</v>
      </c>
      <c r="E110" s="275"/>
      <c r="F110" s="1686"/>
      <c r="G110" s="1514">
        <f>F110-E110</f>
        <v>0</v>
      </c>
      <c r="H110" s="1846">
        <f>G110/G15</f>
        <v>0</v>
      </c>
      <c r="I110" s="1852"/>
    </row>
    <row r="111" spans="1:11" x14ac:dyDescent="0.25">
      <c r="A111" s="15"/>
      <c r="B111" s="247"/>
      <c r="C111" s="1783">
        <v>4.3</v>
      </c>
      <c r="D111" s="251" t="s">
        <v>1000</v>
      </c>
      <c r="E111" s="275"/>
      <c r="F111" s="1686"/>
      <c r="G111" s="1514"/>
      <c r="H111" s="1847"/>
      <c r="I111" s="1852"/>
    </row>
    <row r="112" spans="1:11" x14ac:dyDescent="0.25">
      <c r="A112" s="15"/>
      <c r="B112" s="247" t="s">
        <v>970</v>
      </c>
      <c r="C112" s="266">
        <v>10503.3</v>
      </c>
      <c r="D112" s="1832" t="s">
        <v>1011</v>
      </c>
      <c r="E112" s="275">
        <v>65910.899999999994</v>
      </c>
      <c r="F112" s="1686">
        <v>75191.7</v>
      </c>
      <c r="G112" s="275">
        <f>F112-E112</f>
        <v>9280.8000000000029</v>
      </c>
      <c r="H112" s="1846">
        <f>G112/G15</f>
        <v>3.3933455210237669</v>
      </c>
      <c r="I112" s="1855" t="s">
        <v>821</v>
      </c>
    </row>
    <row r="113" spans="1:9" hidden="1" x14ac:dyDescent="0.25">
      <c r="A113" s="15"/>
      <c r="B113" s="951"/>
      <c r="C113" s="952"/>
      <c r="D113" s="1833"/>
      <c r="E113" s="946"/>
      <c r="G113" s="750"/>
      <c r="I113" s="1852"/>
    </row>
    <row r="114" spans="1:9" hidden="1" x14ac:dyDescent="0.25">
      <c r="A114" s="15"/>
      <c r="B114" s="44" t="s">
        <v>15</v>
      </c>
      <c r="C114" s="532"/>
      <c r="D114" s="436"/>
      <c r="E114" s="299"/>
      <c r="G114" s="750"/>
      <c r="I114" s="1852"/>
    </row>
    <row r="115" spans="1:9" hidden="1" x14ac:dyDescent="0.25">
      <c r="A115" s="15"/>
      <c r="B115" s="247" t="s">
        <v>120</v>
      </c>
      <c r="C115" s="266">
        <v>1308.96</v>
      </c>
      <c r="D115" s="1834"/>
      <c r="E115" s="275"/>
      <c r="G115" s="750"/>
      <c r="I115" s="1852"/>
    </row>
    <row r="116" spans="1:9" hidden="1" x14ac:dyDescent="0.25">
      <c r="A116" s="15"/>
      <c r="B116" s="951"/>
      <c r="C116" s="952"/>
      <c r="D116" s="1833"/>
      <c r="E116" s="33"/>
      <c r="G116" s="750"/>
      <c r="I116" s="1852"/>
    </row>
    <row r="117" spans="1:9" hidden="1" x14ac:dyDescent="0.25">
      <c r="A117" s="15"/>
      <c r="B117" s="247" t="s">
        <v>121</v>
      </c>
      <c r="C117" s="266">
        <v>5759.67</v>
      </c>
      <c r="D117" s="1834"/>
      <c r="E117" s="275">
        <v>792.3</v>
      </c>
      <c r="G117" s="750"/>
      <c r="I117" s="1852"/>
    </row>
    <row r="118" spans="1:9" hidden="1" x14ac:dyDescent="0.25">
      <c r="A118" s="15"/>
      <c r="B118" s="951"/>
      <c r="C118" s="952"/>
      <c r="D118" s="1833"/>
      <c r="E118" s="946"/>
      <c r="G118" s="750"/>
      <c r="I118" s="1852"/>
    </row>
    <row r="119" spans="1:9" hidden="1" x14ac:dyDescent="0.25">
      <c r="A119" s="15"/>
      <c r="B119" s="44" t="s">
        <v>7</v>
      </c>
      <c r="C119" s="532"/>
      <c r="D119" s="436"/>
      <c r="E119" s="299"/>
      <c r="G119" s="750"/>
      <c r="I119" s="1852"/>
    </row>
    <row r="120" spans="1:9" ht="15.75" thickBot="1" x14ac:dyDescent="0.3">
      <c r="A120" s="15"/>
      <c r="B120" s="1758"/>
      <c r="C120" s="1857">
        <v>4.2</v>
      </c>
      <c r="D120" s="1835" t="s">
        <v>1000</v>
      </c>
      <c r="E120" s="1760"/>
      <c r="F120" s="1761"/>
      <c r="G120" s="1762"/>
      <c r="H120" s="1761"/>
      <c r="I120" s="1854"/>
    </row>
    <row r="121" spans="1:9" ht="15.75" hidden="1" thickBot="1" x14ac:dyDescent="0.3">
      <c r="A121" s="19"/>
      <c r="B121" s="248" t="s">
        <v>123</v>
      </c>
      <c r="C121" s="267">
        <v>241.12</v>
      </c>
      <c r="D121" s="267"/>
      <c r="E121" s="1694"/>
      <c r="F121" s="1695"/>
      <c r="G121" s="1696"/>
      <c r="H121" s="1697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192"/>
      <c r="B1" s="1858"/>
      <c r="C1" s="2195" t="s">
        <v>1017</v>
      </c>
      <c r="D1" s="2196"/>
      <c r="E1" s="2196"/>
      <c r="F1" s="2196"/>
      <c r="G1" s="2196"/>
      <c r="H1" s="2196"/>
      <c r="I1" s="2197"/>
    </row>
    <row r="2" spans="1:9" ht="14.85" customHeight="1" x14ac:dyDescent="0.25">
      <c r="A2" s="2193"/>
      <c r="B2" s="1859"/>
      <c r="C2" s="2198" t="s">
        <v>1018</v>
      </c>
      <c r="D2" s="2199"/>
      <c r="E2" s="2199"/>
      <c r="F2" s="2199"/>
      <c r="G2" s="2199"/>
      <c r="H2" s="2199"/>
      <c r="I2" s="2200"/>
    </row>
    <row r="3" spans="1:9" ht="14.85" customHeight="1" x14ac:dyDescent="0.25">
      <c r="A3" s="2193"/>
      <c r="B3" s="1860"/>
      <c r="C3" s="2224" t="s">
        <v>1019</v>
      </c>
      <c r="D3" s="2225"/>
      <c r="E3" s="2225"/>
      <c r="F3" s="2225"/>
      <c r="G3" s="2225"/>
      <c r="H3" s="2225"/>
      <c r="I3" s="2226"/>
    </row>
    <row r="4" spans="1:9" ht="14.85" customHeight="1" x14ac:dyDescent="0.25">
      <c r="A4" s="2193"/>
      <c r="B4" s="1860"/>
      <c r="C4" s="2204" t="s">
        <v>1025</v>
      </c>
      <c r="D4" s="2205"/>
      <c r="E4" s="2205"/>
      <c r="F4" s="2205"/>
      <c r="G4" s="2205"/>
      <c r="H4" s="1868" t="s">
        <v>1026</v>
      </c>
      <c r="I4" s="1869">
        <v>1</v>
      </c>
    </row>
    <row r="5" spans="1:9" ht="14.85" customHeight="1" x14ac:dyDescent="0.25">
      <c r="A5" s="2193"/>
      <c r="B5" s="1860"/>
      <c r="C5" s="2206"/>
      <c r="D5" s="2207"/>
      <c r="E5" s="2207"/>
      <c r="F5" s="2207"/>
      <c r="G5" s="2207"/>
      <c r="H5" s="1870" t="s">
        <v>1021</v>
      </c>
      <c r="I5" s="1871" t="s">
        <v>1027</v>
      </c>
    </row>
    <row r="6" spans="1:9" ht="15" customHeight="1" thickBot="1" x14ac:dyDescent="0.3">
      <c r="A6" s="2194"/>
      <c r="B6" s="1861"/>
      <c r="C6" s="2208"/>
      <c r="D6" s="2209"/>
      <c r="E6" s="2209"/>
      <c r="F6" s="2209"/>
      <c r="G6" s="2209"/>
      <c r="H6" s="1872" t="s">
        <v>1022</v>
      </c>
      <c r="I6" s="1873" t="s">
        <v>1028</v>
      </c>
    </row>
    <row r="7" spans="1:9" ht="14.85" customHeight="1" thickTop="1" x14ac:dyDescent="0.25">
      <c r="A7" s="2184" t="s">
        <v>99</v>
      </c>
      <c r="B7" s="2188" t="s">
        <v>100</v>
      </c>
      <c r="C7" s="2186" t="s">
        <v>1014</v>
      </c>
      <c r="D7" s="2186" t="s">
        <v>974</v>
      </c>
      <c r="E7" s="2215" t="s">
        <v>1016</v>
      </c>
      <c r="F7" s="2216"/>
      <c r="G7" s="2216"/>
      <c r="H7" s="2216"/>
      <c r="I7" s="2217"/>
    </row>
    <row r="8" spans="1:9" ht="15.75" thickBot="1" x14ac:dyDescent="0.3">
      <c r="A8" s="2211"/>
      <c r="B8" s="2212"/>
      <c r="C8" s="2210"/>
      <c r="D8" s="2210"/>
      <c r="E8" s="2218"/>
      <c r="F8" s="2219"/>
      <c r="G8" s="2219"/>
      <c r="H8" s="2219"/>
      <c r="I8" s="2220"/>
    </row>
    <row r="9" spans="1:9" ht="15.75" thickBot="1" x14ac:dyDescent="0.3">
      <c r="A9" s="1806">
        <v>1</v>
      </c>
      <c r="B9" s="1667" t="s">
        <v>85</v>
      </c>
      <c r="C9" s="1668"/>
      <c r="D9" s="1668"/>
      <c r="E9" s="1669" t="s">
        <v>911</v>
      </c>
      <c r="F9" s="1669" t="s">
        <v>912</v>
      </c>
      <c r="G9" s="1670" t="s">
        <v>188</v>
      </c>
      <c r="H9" s="1671" t="s">
        <v>982</v>
      </c>
      <c r="I9" s="1856" t="s">
        <v>1015</v>
      </c>
    </row>
    <row r="10" spans="1:9" x14ac:dyDescent="0.25">
      <c r="A10" s="8"/>
      <c r="B10" s="1666" t="s">
        <v>16</v>
      </c>
      <c r="C10" s="251"/>
      <c r="D10" s="251"/>
      <c r="E10" s="33"/>
      <c r="F10" s="1698"/>
      <c r="G10" s="1698"/>
      <c r="H10" s="1698"/>
      <c r="I10" s="1851"/>
    </row>
    <row r="11" spans="1:9" ht="14.85" hidden="1" customHeight="1" x14ac:dyDescent="0.25">
      <c r="A11" s="8"/>
      <c r="B11" s="11" t="s">
        <v>84</v>
      </c>
      <c r="C11" s="251"/>
      <c r="D11" s="251"/>
      <c r="E11" s="33"/>
      <c r="I11" s="1852"/>
    </row>
    <row r="12" spans="1:9" ht="14.85" hidden="1" customHeight="1" x14ac:dyDescent="0.25">
      <c r="A12" s="8"/>
      <c r="B12" s="71" t="s">
        <v>125</v>
      </c>
      <c r="C12" s="251"/>
      <c r="D12" s="251"/>
      <c r="E12" s="270"/>
      <c r="I12" s="1852"/>
    </row>
    <row r="13" spans="1:9" ht="14.85" hidden="1" customHeight="1" x14ac:dyDescent="0.25">
      <c r="A13" s="8"/>
      <c r="B13" s="11" t="s">
        <v>103</v>
      </c>
      <c r="C13" s="251"/>
      <c r="D13" s="251"/>
      <c r="E13" s="34"/>
      <c r="I13" s="1852"/>
    </row>
    <row r="14" spans="1:9" x14ac:dyDescent="0.25">
      <c r="A14" s="8"/>
      <c r="B14" s="1664" t="s">
        <v>96</v>
      </c>
      <c r="C14" s="1665">
        <v>2500</v>
      </c>
      <c r="D14" s="1665" t="s">
        <v>379</v>
      </c>
      <c r="E14" s="1514">
        <v>13533.82</v>
      </c>
      <c r="F14" s="1514">
        <v>16053.42</v>
      </c>
      <c r="G14" s="245">
        <f>F14-E14</f>
        <v>2519.6000000000004</v>
      </c>
      <c r="H14" s="245"/>
      <c r="I14" s="1855" t="s">
        <v>821</v>
      </c>
    </row>
    <row r="15" spans="1:9" ht="14.85" hidden="1" customHeight="1" x14ac:dyDescent="0.25">
      <c r="A15" s="8"/>
      <c r="B15" s="944" t="s">
        <v>377</v>
      </c>
      <c r="C15" s="945"/>
      <c r="D15" s="945"/>
      <c r="E15" s="946"/>
      <c r="H15" s="1675"/>
      <c r="I15" s="1852"/>
    </row>
    <row r="16" spans="1:9" ht="14.85" hidden="1" customHeight="1" x14ac:dyDescent="0.25">
      <c r="A16" s="8"/>
      <c r="B16" s="21" t="s">
        <v>97</v>
      </c>
      <c r="C16" s="234">
        <v>29045000</v>
      </c>
      <c r="D16" s="234"/>
      <c r="E16" s="33"/>
      <c r="H16" s="1675"/>
      <c r="I16" s="1852"/>
    </row>
    <row r="17" spans="1:9" ht="14.85" hidden="1" customHeight="1" x14ac:dyDescent="0.25">
      <c r="A17" s="8"/>
      <c r="B17" s="21" t="s">
        <v>98</v>
      </c>
      <c r="C17" s="234">
        <v>7314000</v>
      </c>
      <c r="D17" s="234"/>
      <c r="E17" s="33">
        <f>E53+E62+E67</f>
        <v>0</v>
      </c>
      <c r="H17" s="1675"/>
      <c r="I17" s="1852"/>
    </row>
    <row r="18" spans="1:9" x14ac:dyDescent="0.25">
      <c r="A18" s="8"/>
      <c r="B18" s="14" t="s">
        <v>82</v>
      </c>
      <c r="C18" s="252">
        <v>5</v>
      </c>
      <c r="D18" s="252" t="s">
        <v>25</v>
      </c>
      <c r="E18" s="1672"/>
      <c r="F18" s="1657"/>
      <c r="G18" s="1874">
        <v>4</v>
      </c>
      <c r="H18" s="750"/>
      <c r="I18" s="1852"/>
    </row>
    <row r="19" spans="1:9" x14ac:dyDescent="0.25">
      <c r="A19" s="8"/>
      <c r="B19" s="14" t="s">
        <v>81</v>
      </c>
      <c r="C19" s="252">
        <v>0.5</v>
      </c>
      <c r="D19" s="252" t="s">
        <v>25</v>
      </c>
      <c r="E19" s="1672"/>
      <c r="F19" s="1657"/>
      <c r="G19" s="1656">
        <v>0.41</v>
      </c>
      <c r="H19" s="750"/>
      <c r="I19" s="1852"/>
    </row>
    <row r="20" spans="1:9" x14ac:dyDescent="0.25">
      <c r="A20" s="8"/>
      <c r="B20" s="14" t="s">
        <v>80</v>
      </c>
      <c r="C20" s="253">
        <v>2.2000000000000002</v>
      </c>
      <c r="D20" s="252" t="s">
        <v>975</v>
      </c>
      <c r="E20" s="1672"/>
      <c r="F20" s="1657"/>
      <c r="G20" s="1656">
        <v>2.42</v>
      </c>
      <c r="H20" s="750"/>
      <c r="I20" s="1852"/>
    </row>
    <row r="21" spans="1:9" x14ac:dyDescent="0.25">
      <c r="A21" s="8"/>
      <c r="B21" s="14" t="s">
        <v>1029</v>
      </c>
      <c r="C21" s="1707">
        <v>12</v>
      </c>
      <c r="D21" s="252" t="s">
        <v>1003</v>
      </c>
      <c r="E21" s="1672"/>
      <c r="F21" s="1657"/>
      <c r="G21" s="1757" t="s">
        <v>1030</v>
      </c>
      <c r="H21" s="750"/>
      <c r="I21" s="1852"/>
    </row>
    <row r="22" spans="1:9" x14ac:dyDescent="0.25">
      <c r="A22" s="8"/>
      <c r="B22" s="14" t="s">
        <v>1031</v>
      </c>
      <c r="C22" s="1707" t="s">
        <v>1032</v>
      </c>
      <c r="D22" s="252" t="s">
        <v>1033</v>
      </c>
      <c r="E22" s="1672"/>
      <c r="F22" s="1657"/>
      <c r="G22" s="1757" t="s">
        <v>1030</v>
      </c>
      <c r="H22" s="750"/>
      <c r="I22" s="1852"/>
    </row>
    <row r="23" spans="1:9" x14ac:dyDescent="0.25">
      <c r="A23" s="8"/>
      <c r="B23" s="14" t="s">
        <v>1034</v>
      </c>
      <c r="C23" s="1707" t="s">
        <v>1035</v>
      </c>
      <c r="D23" s="252" t="s">
        <v>1036</v>
      </c>
      <c r="E23" s="1672"/>
      <c r="F23" s="1657"/>
      <c r="G23" s="1757" t="s">
        <v>1030</v>
      </c>
      <c r="H23" s="750"/>
      <c r="I23" s="1852"/>
    </row>
    <row r="24" spans="1:9" x14ac:dyDescent="0.25">
      <c r="A24" s="8"/>
      <c r="B24" s="14" t="s">
        <v>1037</v>
      </c>
      <c r="C24" s="1707">
        <v>25</v>
      </c>
      <c r="D24" s="252" t="s">
        <v>1033</v>
      </c>
      <c r="E24" s="1672"/>
      <c r="F24" s="1657"/>
      <c r="G24" s="1757" t="s">
        <v>1030</v>
      </c>
      <c r="H24" s="750"/>
      <c r="I24" s="1852"/>
    </row>
    <row r="25" spans="1:9" x14ac:dyDescent="0.25">
      <c r="A25" s="8"/>
      <c r="B25" s="235" t="s">
        <v>1038</v>
      </c>
      <c r="C25" s="1665">
        <v>50</v>
      </c>
      <c r="D25" s="1665" t="s">
        <v>1039</v>
      </c>
      <c r="E25" s="1673"/>
      <c r="F25" s="1662"/>
      <c r="G25" s="1663">
        <v>50</v>
      </c>
      <c r="H25" s="1676"/>
      <c r="I25" s="1852"/>
    </row>
    <row r="26" spans="1:9" x14ac:dyDescent="0.25">
      <c r="A26" s="8"/>
      <c r="B26" s="1653" t="s">
        <v>78</v>
      </c>
      <c r="C26" s="1654"/>
      <c r="D26" s="1654"/>
      <c r="E26" s="272"/>
      <c r="F26" s="1674"/>
      <c r="G26" s="1655"/>
      <c r="H26" s="1674"/>
      <c r="I26" s="1852"/>
    </row>
    <row r="27" spans="1:9" x14ac:dyDescent="0.25">
      <c r="A27" s="15"/>
      <c r="B27" s="235" t="s">
        <v>193</v>
      </c>
      <c r="C27" s="1665">
        <f>C14*94.2%</f>
        <v>2355</v>
      </c>
      <c r="D27" s="1665" t="s">
        <v>379</v>
      </c>
      <c r="E27" s="1514">
        <v>12357.54</v>
      </c>
      <c r="F27" s="1514">
        <v>14705.95</v>
      </c>
      <c r="G27" s="1875">
        <f>F27-E27</f>
        <v>2348.41</v>
      </c>
      <c r="H27" s="1876">
        <f>G27/G14</f>
        <v>0.93205667566280348</v>
      </c>
      <c r="I27" s="1852"/>
    </row>
    <row r="28" spans="1:9" x14ac:dyDescent="0.25">
      <c r="A28" s="8"/>
      <c r="B28" s="14" t="s">
        <v>82</v>
      </c>
      <c r="C28" s="252">
        <v>0.05</v>
      </c>
      <c r="D28" s="252" t="s">
        <v>25</v>
      </c>
      <c r="E28" s="1672"/>
      <c r="F28" s="1877"/>
      <c r="G28" s="1878">
        <v>0.06</v>
      </c>
      <c r="H28" s="1879"/>
      <c r="I28" s="1852"/>
    </row>
    <row r="29" spans="1:9" x14ac:dyDescent="0.25">
      <c r="A29" s="8"/>
      <c r="B29" s="14" t="s">
        <v>81</v>
      </c>
      <c r="C29" s="252">
        <v>0.03</v>
      </c>
      <c r="D29" s="252" t="s">
        <v>25</v>
      </c>
      <c r="E29" s="1672"/>
      <c r="F29" s="1880"/>
      <c r="G29" s="1881">
        <v>0.05</v>
      </c>
      <c r="H29" s="1882"/>
      <c r="I29" s="1855"/>
    </row>
    <row r="30" spans="1:9" x14ac:dyDescent="0.25">
      <c r="A30" s="8"/>
      <c r="B30" s="14" t="s">
        <v>1040</v>
      </c>
      <c r="C30" s="252"/>
      <c r="D30" s="252" t="s">
        <v>1041</v>
      </c>
      <c r="E30" s="1672"/>
      <c r="F30" s="1880"/>
      <c r="G30" s="1881" t="s">
        <v>1042</v>
      </c>
      <c r="H30" s="1882"/>
      <c r="I30" s="1855"/>
    </row>
    <row r="31" spans="1:9" x14ac:dyDescent="0.25">
      <c r="A31" s="8"/>
      <c r="B31" s="14" t="s">
        <v>1043</v>
      </c>
      <c r="C31" s="234">
        <v>2</v>
      </c>
      <c r="D31" s="252" t="s">
        <v>1033</v>
      </c>
      <c r="E31" s="1672"/>
      <c r="F31" s="1880"/>
      <c r="G31" s="1881" t="s">
        <v>1030</v>
      </c>
      <c r="H31" s="1882"/>
      <c r="I31" s="1855"/>
    </row>
    <row r="32" spans="1:9" x14ac:dyDescent="0.25">
      <c r="A32" s="8"/>
      <c r="B32" s="14" t="s">
        <v>916</v>
      </c>
      <c r="C32" s="253">
        <v>2.5</v>
      </c>
      <c r="D32" s="252" t="s">
        <v>25</v>
      </c>
      <c r="E32" s="1672"/>
      <c r="F32" s="1880"/>
      <c r="G32" s="1881">
        <v>2.5</v>
      </c>
      <c r="H32" s="1882"/>
      <c r="I32" s="1852"/>
    </row>
    <row r="33" spans="1:9" x14ac:dyDescent="0.25">
      <c r="A33" s="8"/>
      <c r="B33" s="14" t="s">
        <v>922</v>
      </c>
      <c r="C33" s="1707">
        <v>60</v>
      </c>
      <c r="D33" s="234" t="s">
        <v>976</v>
      </c>
      <c r="E33" s="1672"/>
      <c r="F33" s="1880"/>
      <c r="G33" s="1771" t="s">
        <v>1030</v>
      </c>
      <c r="H33" s="1883"/>
      <c r="I33" s="1852"/>
    </row>
    <row r="34" spans="1:9" x14ac:dyDescent="0.25">
      <c r="A34" s="8"/>
      <c r="B34" s="14" t="s">
        <v>923</v>
      </c>
      <c r="C34" s="253" t="s">
        <v>924</v>
      </c>
      <c r="D34" s="253"/>
      <c r="E34" s="1672"/>
      <c r="F34" s="1880"/>
      <c r="G34" s="1771" t="s">
        <v>1030</v>
      </c>
      <c r="H34" s="1883"/>
      <c r="I34" s="1852"/>
    </row>
    <row r="35" spans="1:9" x14ac:dyDescent="0.25">
      <c r="A35" s="8"/>
      <c r="B35" s="14" t="s">
        <v>925</v>
      </c>
      <c r="C35" s="1707">
        <v>50</v>
      </c>
      <c r="D35" s="1707" t="s">
        <v>996</v>
      </c>
      <c r="E35" s="1672"/>
      <c r="F35" s="1884"/>
      <c r="G35" s="1885">
        <v>50</v>
      </c>
      <c r="H35" s="1886"/>
      <c r="I35" s="1852"/>
    </row>
    <row r="36" spans="1:9" x14ac:dyDescent="0.25">
      <c r="A36" s="15"/>
      <c r="B36" s="64" t="s">
        <v>64</v>
      </c>
      <c r="C36" s="1665">
        <f>C14*5%</f>
        <v>125</v>
      </c>
      <c r="D36" s="1665" t="s">
        <v>379</v>
      </c>
      <c r="E36" s="1652">
        <v>572.71</v>
      </c>
      <c r="F36" s="1652">
        <v>675.39</v>
      </c>
      <c r="G36" s="1887">
        <f>F36-E36</f>
        <v>102.67999999999995</v>
      </c>
      <c r="H36" s="1888">
        <f>G36/G14</f>
        <v>4.0752500396888366E-2</v>
      </c>
      <c r="I36" s="1855"/>
    </row>
    <row r="37" spans="1:9" ht="14.85" hidden="1" customHeight="1" x14ac:dyDescent="0.25">
      <c r="A37" s="15"/>
      <c r="B37" s="715" t="s">
        <v>351</v>
      </c>
      <c r="C37" s="740"/>
      <c r="D37" s="234"/>
      <c r="E37" s="33"/>
      <c r="H37" s="1675"/>
      <c r="I37" s="1852"/>
    </row>
    <row r="38" spans="1:9" ht="14.85" hidden="1" customHeight="1" x14ac:dyDescent="0.25">
      <c r="A38" s="8"/>
      <c r="B38" s="11" t="s">
        <v>84</v>
      </c>
      <c r="C38" s="251"/>
      <c r="D38" s="251"/>
      <c r="E38" s="33"/>
      <c r="H38" s="1675"/>
      <c r="I38" s="1852"/>
    </row>
    <row r="39" spans="1:9" ht="14.85" hidden="1" customHeight="1" x14ac:dyDescent="0.25">
      <c r="A39" s="8"/>
      <c r="B39" s="11" t="s">
        <v>355</v>
      </c>
      <c r="C39" s="251"/>
      <c r="D39" s="251"/>
      <c r="E39" s="33">
        <v>0</v>
      </c>
      <c r="H39" s="1675"/>
      <c r="I39" s="1852"/>
    </row>
    <row r="40" spans="1:9" ht="14.85" hidden="1" customHeight="1" x14ac:dyDescent="0.25">
      <c r="A40" s="15"/>
      <c r="B40" s="64" t="s">
        <v>354</v>
      </c>
      <c r="C40" s="234"/>
      <c r="D40" s="234"/>
      <c r="E40" s="270">
        <v>392100</v>
      </c>
      <c r="H40" s="1675"/>
      <c r="I40" s="1852"/>
    </row>
    <row r="41" spans="1:9" ht="14.85" hidden="1" customHeight="1" x14ac:dyDescent="0.25">
      <c r="A41" s="15"/>
      <c r="B41" s="944" t="s">
        <v>376</v>
      </c>
      <c r="C41" s="945"/>
      <c r="D41" s="945"/>
      <c r="E41" s="946"/>
      <c r="H41" s="1675"/>
      <c r="I41" s="1852"/>
    </row>
    <row r="42" spans="1:9" ht="14.85" hidden="1" customHeight="1" x14ac:dyDescent="0.25">
      <c r="A42" s="15"/>
      <c r="B42" s="14" t="s">
        <v>353</v>
      </c>
      <c r="C42" s="739"/>
      <c r="D42" s="739"/>
      <c r="E42" s="33">
        <f>SUM(E45,E49,E54,E58,E68)</f>
        <v>0</v>
      </c>
      <c r="H42" s="1675"/>
      <c r="I42" s="1852"/>
    </row>
    <row r="43" spans="1:9" ht="14.85" hidden="1" customHeight="1" x14ac:dyDescent="0.25">
      <c r="A43" s="15"/>
      <c r="B43" s="14" t="s">
        <v>352</v>
      </c>
      <c r="C43" s="741"/>
      <c r="D43" s="739"/>
      <c r="E43" s="33">
        <f>E40-E42</f>
        <v>392100</v>
      </c>
      <c r="H43" s="1675"/>
      <c r="I43" s="1852"/>
    </row>
    <row r="44" spans="1:9" ht="14.85" hidden="1" customHeight="1" x14ac:dyDescent="0.25">
      <c r="A44" s="15"/>
      <c r="B44" s="230" t="s">
        <v>76</v>
      </c>
      <c r="C44" s="231"/>
      <c r="D44" s="231"/>
      <c r="E44" s="94"/>
      <c r="H44" s="1675"/>
      <c r="I44" s="1852"/>
    </row>
    <row r="45" spans="1:9" ht="14.85" hidden="1" customHeight="1" x14ac:dyDescent="0.25">
      <c r="A45" s="15"/>
      <c r="B45" s="14" t="s">
        <v>75</v>
      </c>
      <c r="C45" s="255"/>
      <c r="D45" s="255"/>
      <c r="E45" s="33">
        <f>E46+E47</f>
        <v>0</v>
      </c>
      <c r="H45" s="1675"/>
      <c r="I45" s="1852"/>
    </row>
    <row r="46" spans="1:9" ht="14.85" hidden="1" customHeight="1" x14ac:dyDescent="0.25">
      <c r="A46" s="15"/>
      <c r="B46" s="64" t="s">
        <v>74</v>
      </c>
      <c r="C46" s="255"/>
      <c r="D46" s="255"/>
      <c r="E46" s="270">
        <v>0</v>
      </c>
      <c r="H46" s="1675"/>
      <c r="I46" s="1852"/>
    </row>
    <row r="47" spans="1:9" ht="14.85" hidden="1" customHeight="1" x14ac:dyDescent="0.25">
      <c r="A47" s="15"/>
      <c r="B47" s="64" t="s">
        <v>73</v>
      </c>
      <c r="C47" s="255"/>
      <c r="D47" s="255"/>
      <c r="E47" s="271">
        <v>0</v>
      </c>
      <c r="H47" s="1675"/>
      <c r="I47" s="1852"/>
    </row>
    <row r="48" spans="1:9" ht="14.85" hidden="1" customHeight="1" x14ac:dyDescent="0.25">
      <c r="A48" s="68"/>
      <c r="B48" s="230" t="s">
        <v>104</v>
      </c>
      <c r="C48" s="305"/>
      <c r="D48" s="1800"/>
      <c r="E48" s="272"/>
      <c r="H48" s="1675"/>
      <c r="I48" s="1852"/>
    </row>
    <row r="49" spans="1:9" ht="14.85" hidden="1" customHeight="1" x14ac:dyDescent="0.25">
      <c r="A49" s="15"/>
      <c r="B49" s="14" t="s">
        <v>75</v>
      </c>
      <c r="C49" s="255"/>
      <c r="D49" s="255"/>
      <c r="E49" s="33">
        <f>E50+E51</f>
        <v>0</v>
      </c>
      <c r="H49" s="1675"/>
      <c r="I49" s="1852"/>
    </row>
    <row r="50" spans="1:9" ht="14.85" hidden="1" customHeight="1" x14ac:dyDescent="0.25">
      <c r="A50" s="15"/>
      <c r="B50" s="64" t="s">
        <v>105</v>
      </c>
      <c r="C50" s="255"/>
      <c r="D50" s="255"/>
      <c r="E50" s="270">
        <v>0</v>
      </c>
      <c r="H50" s="1675"/>
      <c r="I50" s="1852"/>
    </row>
    <row r="51" spans="1:9" ht="14.85" hidden="1" customHeight="1" x14ac:dyDescent="0.25">
      <c r="A51" s="15"/>
      <c r="B51" s="64" t="s">
        <v>73</v>
      </c>
      <c r="C51" s="255"/>
      <c r="D51" s="255"/>
      <c r="E51" s="270">
        <v>0</v>
      </c>
      <c r="H51" s="1675"/>
      <c r="I51" s="1852"/>
    </row>
    <row r="52" spans="1:9" ht="14.85" hidden="1" customHeight="1" x14ac:dyDescent="0.25">
      <c r="A52" s="15"/>
      <c r="B52" s="230" t="s">
        <v>107</v>
      </c>
      <c r="C52" s="233"/>
      <c r="D52" s="233"/>
      <c r="E52" s="94"/>
      <c r="H52" s="1675"/>
      <c r="I52" s="1852"/>
    </row>
    <row r="53" spans="1:9" ht="14.85" hidden="1" customHeight="1" x14ac:dyDescent="0.25">
      <c r="A53" s="17"/>
      <c r="B53" s="11" t="s">
        <v>71</v>
      </c>
      <c r="C53" s="256"/>
      <c r="D53" s="256"/>
      <c r="E53" s="33"/>
      <c r="H53" s="1675"/>
      <c r="I53" s="1852"/>
    </row>
    <row r="54" spans="1:9" ht="14.85" hidden="1" customHeight="1" x14ac:dyDescent="0.25">
      <c r="A54" s="15"/>
      <c r="B54" s="14" t="s">
        <v>70</v>
      </c>
      <c r="C54" s="255"/>
      <c r="D54" s="255"/>
      <c r="E54" s="33">
        <f>E55+E56</f>
        <v>0</v>
      </c>
      <c r="H54" s="1675"/>
      <c r="I54" s="1852"/>
    </row>
    <row r="55" spans="1:9" ht="14.85" hidden="1" customHeight="1" x14ac:dyDescent="0.25">
      <c r="A55" s="15"/>
      <c r="B55" s="64" t="s">
        <v>109</v>
      </c>
      <c r="C55" s="255"/>
      <c r="D55" s="255"/>
      <c r="E55" s="270">
        <v>0</v>
      </c>
      <c r="H55" s="1675"/>
      <c r="I55" s="1852"/>
    </row>
    <row r="56" spans="1:9" ht="14.85" hidden="1" customHeight="1" x14ac:dyDescent="0.25">
      <c r="A56" s="15"/>
      <c r="B56" s="55" t="s">
        <v>73</v>
      </c>
      <c r="C56" s="255"/>
      <c r="D56" s="255"/>
      <c r="E56" s="271">
        <v>0</v>
      </c>
      <c r="H56" s="1675"/>
      <c r="I56" s="1852"/>
    </row>
    <row r="57" spans="1:9" ht="14.85" hidden="1" customHeight="1" x14ac:dyDescent="0.25">
      <c r="A57" s="68"/>
      <c r="B57" s="230" t="s">
        <v>110</v>
      </c>
      <c r="C57" s="305"/>
      <c r="D57" s="305"/>
      <c r="E57" s="94"/>
      <c r="H57" s="1675"/>
      <c r="I57" s="1852"/>
    </row>
    <row r="58" spans="1:9" ht="14.85" hidden="1" customHeight="1" x14ac:dyDescent="0.25">
      <c r="A58" s="15"/>
      <c r="B58" s="14" t="s">
        <v>75</v>
      </c>
      <c r="C58" s="229">
        <f>C59+C60</f>
        <v>21429000</v>
      </c>
      <c r="D58" s="229"/>
      <c r="E58" s="33">
        <f>E59+E60</f>
        <v>0</v>
      </c>
      <c r="H58" s="1675"/>
      <c r="I58" s="1852"/>
    </row>
    <row r="59" spans="1:9" ht="14.85" hidden="1" customHeight="1" x14ac:dyDescent="0.25">
      <c r="A59" s="15"/>
      <c r="B59" s="64" t="s">
        <v>112</v>
      </c>
      <c r="C59" s="67">
        <v>15000000</v>
      </c>
      <c r="D59" s="67"/>
      <c r="E59" s="270"/>
      <c r="H59" s="1675"/>
      <c r="I59" s="1852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71"/>
      <c r="H60" s="1675"/>
      <c r="I60" s="1852"/>
    </row>
    <row r="61" spans="1:9" ht="14.85" hidden="1" customHeight="1" x14ac:dyDescent="0.25">
      <c r="A61" s="68"/>
      <c r="B61" s="230" t="s">
        <v>818</v>
      </c>
      <c r="C61" s="305"/>
      <c r="D61" s="1800"/>
      <c r="E61" s="272"/>
      <c r="H61" s="1675"/>
      <c r="I61" s="1852"/>
    </row>
    <row r="62" spans="1:9" ht="14.85" hidden="1" customHeight="1" x14ac:dyDescent="0.25">
      <c r="A62" s="17"/>
      <c r="B62" s="11" t="s">
        <v>71</v>
      </c>
      <c r="C62" s="256"/>
      <c r="D62" s="256"/>
      <c r="E62" s="33"/>
      <c r="H62" s="1675"/>
      <c r="I62" s="1852"/>
    </row>
    <row r="63" spans="1:9" ht="14.85" hidden="1" customHeight="1" x14ac:dyDescent="0.25">
      <c r="A63" s="15"/>
      <c r="B63" s="14" t="s">
        <v>75</v>
      </c>
      <c r="C63" s="229">
        <f>C64+C65</f>
        <v>21429000</v>
      </c>
      <c r="D63" s="229"/>
      <c r="E63" s="33">
        <f>E64+E65</f>
        <v>0</v>
      </c>
      <c r="H63" s="1675"/>
      <c r="I63" s="1852"/>
    </row>
    <row r="64" spans="1:9" ht="14.85" hidden="1" customHeight="1" x14ac:dyDescent="0.25">
      <c r="A64" s="15"/>
      <c r="B64" s="64" t="s">
        <v>112</v>
      </c>
      <c r="C64" s="67">
        <v>15000000</v>
      </c>
      <c r="D64" s="67"/>
      <c r="E64" s="270">
        <v>0</v>
      </c>
      <c r="H64" s="1675"/>
      <c r="I64" s="1852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70">
        <v>0</v>
      </c>
      <c r="H65" s="1675"/>
      <c r="I65" s="1852"/>
    </row>
    <row r="66" spans="1:9" ht="14.85" hidden="1" customHeight="1" x14ac:dyDescent="0.25">
      <c r="A66" s="15"/>
      <c r="B66" s="230" t="s">
        <v>72</v>
      </c>
      <c r="C66" s="233"/>
      <c r="D66" s="233"/>
      <c r="E66" s="94"/>
      <c r="H66" s="1675"/>
      <c r="I66" s="1852"/>
    </row>
    <row r="67" spans="1:9" ht="14.85" hidden="1" customHeight="1" x14ac:dyDescent="0.25">
      <c r="A67" s="17"/>
      <c r="B67" s="11" t="s">
        <v>71</v>
      </c>
      <c r="C67" s="256"/>
      <c r="D67" s="256"/>
      <c r="E67" s="33"/>
      <c r="H67" s="1675"/>
      <c r="I67" s="1852"/>
    </row>
    <row r="68" spans="1:9" ht="14.85" hidden="1" customHeight="1" x14ac:dyDescent="0.25">
      <c r="A68" s="15"/>
      <c r="B68" s="14" t="s">
        <v>70</v>
      </c>
      <c r="C68" s="255"/>
      <c r="D68" s="255"/>
      <c r="E68" s="33">
        <f>E70+E71</f>
        <v>0</v>
      </c>
      <c r="H68" s="1675"/>
      <c r="I68" s="1852"/>
    </row>
    <row r="69" spans="1:9" ht="14.85" hidden="1" customHeight="1" x14ac:dyDescent="0.25">
      <c r="A69" s="15"/>
      <c r="B69" s="64" t="s">
        <v>69</v>
      </c>
      <c r="C69" s="255"/>
      <c r="D69" s="255"/>
      <c r="E69" s="270">
        <v>0</v>
      </c>
      <c r="H69" s="1675"/>
      <c r="I69" s="1852"/>
    </row>
    <row r="70" spans="1:9" ht="14.85" hidden="1" customHeight="1" x14ac:dyDescent="0.25">
      <c r="A70" s="15"/>
      <c r="B70" s="64" t="s">
        <v>68</v>
      </c>
      <c r="C70" s="255"/>
      <c r="D70" s="255"/>
      <c r="E70" s="270">
        <v>0</v>
      </c>
      <c r="H70" s="1675"/>
      <c r="I70" s="1852"/>
    </row>
    <row r="71" spans="1:9" ht="14.85" hidden="1" customHeight="1" x14ac:dyDescent="0.25">
      <c r="A71" s="15"/>
      <c r="B71" s="64" t="s">
        <v>67</v>
      </c>
      <c r="C71" s="255"/>
      <c r="D71" s="255"/>
      <c r="E71" s="270">
        <v>0</v>
      </c>
      <c r="H71" s="1675"/>
      <c r="I71" s="1852"/>
    </row>
    <row r="72" spans="1:9" ht="14.85" hidden="1" customHeight="1" x14ac:dyDescent="0.25">
      <c r="A72" s="15"/>
      <c r="B72" s="74" t="s">
        <v>113</v>
      </c>
      <c r="C72" s="255"/>
      <c r="D72" s="255"/>
      <c r="E72" s="273">
        <v>0</v>
      </c>
      <c r="H72" s="1675"/>
      <c r="I72" s="1852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75"/>
      <c r="I73" s="1852"/>
    </row>
    <row r="74" spans="1:9" ht="14.85" hidden="1" customHeight="1" x14ac:dyDescent="0.25">
      <c r="A74" s="15"/>
      <c r="B74" s="74" t="s">
        <v>65</v>
      </c>
      <c r="C74" s="1572">
        <v>94.2</v>
      </c>
      <c r="D74" s="1572"/>
      <c r="E74" s="274">
        <f>(E27/(E14))*100</f>
        <v>91.30858841036752</v>
      </c>
      <c r="H74" s="1675"/>
      <c r="I74" s="1852"/>
    </row>
    <row r="75" spans="1:9" ht="14.85" hidden="1" customHeight="1" x14ac:dyDescent="0.25">
      <c r="A75" s="15"/>
      <c r="B75" s="74" t="s">
        <v>64</v>
      </c>
      <c r="C75" s="126">
        <v>5</v>
      </c>
      <c r="D75" s="126"/>
      <c r="E75" s="274">
        <f>(E36/(E14))*100</f>
        <v>4.2316951163825145</v>
      </c>
      <c r="H75" s="1675"/>
      <c r="I75" s="1852"/>
    </row>
    <row r="76" spans="1:9" ht="14.85" hidden="1" customHeight="1" x14ac:dyDescent="0.25">
      <c r="A76" s="15"/>
      <c r="B76" s="74" t="s">
        <v>63</v>
      </c>
      <c r="C76" s="126">
        <v>82</v>
      </c>
      <c r="D76" s="126"/>
      <c r="E76" s="274" t="e">
        <f>E46/(E46+E47)*100</f>
        <v>#DIV/0!</v>
      </c>
      <c r="H76" s="1675"/>
      <c r="I76" s="1852"/>
    </row>
    <row r="77" spans="1:9" ht="14.85" hidden="1" customHeight="1" x14ac:dyDescent="0.25">
      <c r="A77" s="15"/>
      <c r="B77" s="74" t="s">
        <v>62</v>
      </c>
      <c r="C77" s="126">
        <v>18</v>
      </c>
      <c r="D77" s="126"/>
      <c r="E77" s="274" t="e">
        <f>(E47/E45)*100</f>
        <v>#DIV/0!</v>
      </c>
      <c r="H77" s="1675"/>
      <c r="I77" s="1852"/>
    </row>
    <row r="78" spans="1:9" ht="14.85" hidden="1" customHeight="1" x14ac:dyDescent="0.25">
      <c r="A78" s="15"/>
      <c r="B78" s="74" t="s">
        <v>106</v>
      </c>
      <c r="C78" s="126">
        <v>75</v>
      </c>
      <c r="D78" s="126"/>
      <c r="E78" s="274" t="e">
        <f>(E50/E49)*100</f>
        <v>#DIV/0!</v>
      </c>
      <c r="H78" s="1675"/>
      <c r="I78" s="1852"/>
    </row>
    <row r="79" spans="1:9" ht="14.85" hidden="1" customHeight="1" x14ac:dyDescent="0.25">
      <c r="A79" s="15"/>
      <c r="B79" s="74" t="s">
        <v>62</v>
      </c>
      <c r="C79" s="126">
        <v>25</v>
      </c>
      <c r="D79" s="126"/>
      <c r="E79" s="274" t="e">
        <f>(E51/E49)*100</f>
        <v>#DIV/0!</v>
      </c>
      <c r="H79" s="1675"/>
      <c r="I79" s="1852"/>
    </row>
    <row r="80" spans="1:9" ht="14.85" hidden="1" customHeight="1" x14ac:dyDescent="0.25">
      <c r="A80" s="15"/>
      <c r="B80" s="74" t="s">
        <v>108</v>
      </c>
      <c r="C80" s="126">
        <v>75</v>
      </c>
      <c r="D80" s="126"/>
      <c r="E80" s="274" t="e">
        <f>E55/E54*100</f>
        <v>#DIV/0!</v>
      </c>
      <c r="H80" s="1675"/>
      <c r="I80" s="1852"/>
    </row>
    <row r="81" spans="1:9" ht="14.85" hidden="1" customHeight="1" x14ac:dyDescent="0.25">
      <c r="A81" s="15"/>
      <c r="B81" s="74" t="s">
        <v>62</v>
      </c>
      <c r="C81" s="126">
        <v>25</v>
      </c>
      <c r="D81" s="126"/>
      <c r="E81" s="274" t="e">
        <f>E56/E54*100</f>
        <v>#DIV/0!</v>
      </c>
      <c r="H81" s="1675"/>
      <c r="I81" s="1852"/>
    </row>
    <row r="82" spans="1:9" ht="14.85" hidden="1" customHeight="1" x14ac:dyDescent="0.25">
      <c r="A82" s="15"/>
      <c r="B82" s="74" t="s">
        <v>111</v>
      </c>
      <c r="C82" s="126">
        <v>70</v>
      </c>
      <c r="D82" s="126"/>
      <c r="E82" s="274" t="e">
        <f>E59/(E59+E60)*100</f>
        <v>#DIV/0!</v>
      </c>
      <c r="H82" s="1675"/>
      <c r="I82" s="1852"/>
    </row>
    <row r="83" spans="1:9" ht="14.85" hidden="1" customHeight="1" x14ac:dyDescent="0.25">
      <c r="A83" s="15"/>
      <c r="B83" s="74" t="s">
        <v>62</v>
      </c>
      <c r="C83" s="126">
        <v>30</v>
      </c>
      <c r="D83" s="126"/>
      <c r="E83" s="274" t="e">
        <f>E60/(E60+E59)*100</f>
        <v>#DIV/0!</v>
      </c>
      <c r="H83" s="1675"/>
      <c r="I83" s="1852"/>
    </row>
    <row r="84" spans="1:9" ht="14.85" hidden="1" customHeight="1" x14ac:dyDescent="0.25">
      <c r="A84" s="15"/>
      <c r="B84" s="74" t="s">
        <v>819</v>
      </c>
      <c r="C84" s="126">
        <v>70</v>
      </c>
      <c r="D84" s="126"/>
      <c r="E84" s="274" t="e">
        <f>E64/(E64+E65)*100</f>
        <v>#DIV/0!</v>
      </c>
      <c r="H84" s="1675"/>
      <c r="I84" s="1852"/>
    </row>
    <row r="85" spans="1:9" ht="14.85" hidden="1" customHeight="1" x14ac:dyDescent="0.25">
      <c r="A85" s="15"/>
      <c r="B85" s="74" t="s">
        <v>62</v>
      </c>
      <c r="C85" s="126">
        <v>30</v>
      </c>
      <c r="D85" s="126"/>
      <c r="E85" s="274" t="e">
        <f>E65/(E64+E65)*100</f>
        <v>#DIV/0!</v>
      </c>
      <c r="H85" s="1675"/>
      <c r="I85" s="1852"/>
    </row>
    <row r="86" spans="1:9" ht="14.85" hidden="1" customHeight="1" x14ac:dyDescent="0.25">
      <c r="A86" s="15"/>
      <c r="B86" s="74" t="s">
        <v>61</v>
      </c>
      <c r="C86" s="126">
        <v>60</v>
      </c>
      <c r="D86" s="126"/>
      <c r="E86" s="274" t="e">
        <f>E69/E68*100</f>
        <v>#DIV/0!</v>
      </c>
      <c r="H86" s="1675"/>
      <c r="I86" s="1852"/>
    </row>
    <row r="87" spans="1:9" ht="15" hidden="1" customHeight="1" x14ac:dyDescent="0.25">
      <c r="A87" s="19"/>
      <c r="B87" s="74" t="s">
        <v>60</v>
      </c>
      <c r="C87" s="126">
        <v>40</v>
      </c>
      <c r="D87" s="126"/>
      <c r="E87" s="274" t="e">
        <f>E71/E68*100</f>
        <v>#DIV/0!</v>
      </c>
      <c r="H87" s="1675"/>
      <c r="I87" s="1852"/>
    </row>
    <row r="88" spans="1:9" x14ac:dyDescent="0.25">
      <c r="A88" s="8"/>
      <c r="B88" s="14" t="s">
        <v>82</v>
      </c>
      <c r="C88" s="253" t="s">
        <v>977</v>
      </c>
      <c r="D88" s="252" t="s">
        <v>25</v>
      </c>
      <c r="E88" s="1672"/>
      <c r="F88" s="1657"/>
      <c r="G88" s="1656">
        <v>90.21</v>
      </c>
      <c r="H88" s="750"/>
      <c r="I88" s="1852"/>
    </row>
    <row r="89" spans="1:9" ht="15.75" thickBot="1" x14ac:dyDescent="0.3">
      <c r="A89" s="8"/>
      <c r="B89" s="14" t="s">
        <v>81</v>
      </c>
      <c r="C89" s="253">
        <v>0.5</v>
      </c>
      <c r="D89" s="252" t="s">
        <v>25</v>
      </c>
      <c r="E89" s="1672"/>
      <c r="F89" s="1657"/>
      <c r="G89" s="1656">
        <v>0.33</v>
      </c>
      <c r="H89" s="750"/>
      <c r="I89" s="1852"/>
    </row>
    <row r="90" spans="1:9" ht="15.75" thickBot="1" x14ac:dyDescent="0.3">
      <c r="A90" s="1806">
        <v>2</v>
      </c>
      <c r="B90" s="1804" t="s">
        <v>59</v>
      </c>
      <c r="C90" s="1670"/>
      <c r="D90" s="1670"/>
      <c r="E90" s="1889" t="s">
        <v>911</v>
      </c>
      <c r="F90" s="1889" t="s">
        <v>912</v>
      </c>
      <c r="G90" s="1670" t="s">
        <v>188</v>
      </c>
      <c r="H90" s="1671" t="s">
        <v>984</v>
      </c>
      <c r="I90" s="1852"/>
    </row>
    <row r="91" spans="1:9" x14ac:dyDescent="0.25">
      <c r="A91" s="8"/>
      <c r="B91" s="235" t="s">
        <v>58</v>
      </c>
      <c r="C91" s="252">
        <v>9</v>
      </c>
      <c r="D91" s="252" t="s">
        <v>86</v>
      </c>
      <c r="E91" s="270">
        <v>122737</v>
      </c>
      <c r="F91" s="270">
        <v>143761</v>
      </c>
      <c r="G91" s="270">
        <f>F91-E91</f>
        <v>21024</v>
      </c>
      <c r="H91" s="1890">
        <f>G91/G14/10</f>
        <v>0.83441816161295423</v>
      </c>
      <c r="I91" s="1855" t="s">
        <v>821</v>
      </c>
    </row>
    <row r="92" spans="1:9" ht="14.85" hidden="1" customHeight="1" x14ac:dyDescent="0.25">
      <c r="A92" s="15"/>
      <c r="B92" s="21"/>
      <c r="C92" s="254"/>
      <c r="D92" s="254"/>
      <c r="E92" s="276" t="e">
        <f>E91/(E16)*100</f>
        <v>#DIV/0!</v>
      </c>
      <c r="H92" s="1891"/>
      <c r="I92" s="1852"/>
    </row>
    <row r="93" spans="1:9" ht="14.85" hidden="1" customHeight="1" x14ac:dyDescent="0.25">
      <c r="A93" s="8"/>
      <c r="B93" s="237" t="s">
        <v>57</v>
      </c>
      <c r="C93" s="257">
        <v>18</v>
      </c>
      <c r="D93" s="257"/>
      <c r="E93" s="277">
        <v>0</v>
      </c>
      <c r="H93" s="1891"/>
      <c r="I93" s="1852"/>
    </row>
    <row r="94" spans="1:9" ht="14.85" hidden="1" customHeight="1" x14ac:dyDescent="0.25">
      <c r="A94" s="15"/>
      <c r="B94" s="22"/>
      <c r="C94" s="258"/>
      <c r="D94" s="258"/>
      <c r="E94" s="278" t="e">
        <f>E93/(E17)*100</f>
        <v>#DIV/0!</v>
      </c>
      <c r="H94" s="1891"/>
      <c r="I94" s="1855" t="s">
        <v>821</v>
      </c>
    </row>
    <row r="95" spans="1:9" x14ac:dyDescent="0.25">
      <c r="A95" s="15"/>
      <c r="B95" s="235" t="s">
        <v>55</v>
      </c>
      <c r="C95" s="253" t="s">
        <v>978</v>
      </c>
      <c r="D95" s="252" t="s">
        <v>86</v>
      </c>
      <c r="E95" s="271">
        <v>1970.8</v>
      </c>
      <c r="F95" s="290">
        <v>867.36</v>
      </c>
      <c r="G95" s="1681">
        <f>E95-F95</f>
        <v>1103.44</v>
      </c>
      <c r="H95" s="1892">
        <f>G95/G14/10</f>
        <v>4.3794253056040636E-2</v>
      </c>
      <c r="I95" s="1855" t="s">
        <v>821</v>
      </c>
    </row>
    <row r="96" spans="1:9" ht="15" hidden="1" customHeight="1" x14ac:dyDescent="0.25">
      <c r="A96" s="19"/>
      <c r="B96" s="24"/>
      <c r="C96" s="254"/>
      <c r="D96" s="254"/>
      <c r="E96" s="279"/>
      <c r="H96" s="1675"/>
      <c r="I96" s="1852"/>
    </row>
    <row r="97" spans="1:9" x14ac:dyDescent="0.25">
      <c r="A97" s="138">
        <v>3</v>
      </c>
      <c r="B97" s="239" t="s">
        <v>168</v>
      </c>
      <c r="C97" s="1802" t="s">
        <v>980</v>
      </c>
      <c r="D97" s="240" t="s">
        <v>25</v>
      </c>
      <c r="E97" s="280"/>
      <c r="F97" s="1655"/>
      <c r="G97" s="280"/>
      <c r="H97" s="1893">
        <f>((SUM(G27+G36))-(SUM(G14)))/(SUM(G14))*100</f>
        <v>-2.7190823940308246</v>
      </c>
      <c r="I97" s="1852"/>
    </row>
    <row r="98" spans="1:9" x14ac:dyDescent="0.25">
      <c r="A98" s="138"/>
      <c r="B98" s="309"/>
      <c r="C98" s="310"/>
      <c r="D98" s="310"/>
      <c r="E98" s="312"/>
      <c r="G98" s="312"/>
      <c r="H98" s="1894">
        <f>H97%*G14</f>
        <v>-68.510000000000673</v>
      </c>
      <c r="I98" s="1852"/>
    </row>
    <row r="99" spans="1:9" x14ac:dyDescent="0.25">
      <c r="A99" s="68"/>
      <c r="B99" s="235" t="s">
        <v>54</v>
      </c>
      <c r="C99" s="1803" t="s">
        <v>979</v>
      </c>
      <c r="D99" s="1658" t="s">
        <v>25</v>
      </c>
      <c r="E99" s="281"/>
      <c r="F99" s="1659"/>
      <c r="G99" s="281"/>
      <c r="H99" s="1678"/>
      <c r="I99" s="1852"/>
    </row>
    <row r="100" spans="1:9" ht="15.75" thickBot="1" x14ac:dyDescent="0.3">
      <c r="A100" s="85"/>
      <c r="B100" s="86" t="s">
        <v>53</v>
      </c>
      <c r="C100" s="254"/>
      <c r="D100" s="254"/>
      <c r="E100" s="1682"/>
      <c r="F100" s="1683"/>
      <c r="G100" s="1682"/>
      <c r="H100" s="1682">
        <f>SUM(G91,G93)+(H99%*SUM(G91,G93))</f>
        <v>21024</v>
      </c>
      <c r="I100" s="1852"/>
    </row>
    <row r="101" spans="1:9" ht="15" hidden="1" customHeight="1" x14ac:dyDescent="0.25">
      <c r="A101" s="8">
        <v>4</v>
      </c>
      <c r="B101" s="47" t="s">
        <v>52</v>
      </c>
      <c r="C101" s="48"/>
      <c r="D101" s="1801"/>
      <c r="E101" s="272"/>
      <c r="H101" s="1675"/>
      <c r="I101" s="1852"/>
    </row>
    <row r="102" spans="1:9" ht="15" hidden="1" customHeight="1" x14ac:dyDescent="0.25">
      <c r="A102" s="8"/>
      <c r="B102" s="26" t="s">
        <v>51</v>
      </c>
      <c r="C102" s="88"/>
      <c r="D102" s="88"/>
      <c r="E102" s="282"/>
      <c r="H102" s="1675"/>
      <c r="I102" s="1852"/>
    </row>
    <row r="103" spans="1:9" ht="15" hidden="1" customHeight="1" x14ac:dyDescent="0.25">
      <c r="A103" s="15"/>
      <c r="B103" s="28" t="s">
        <v>46</v>
      </c>
      <c r="C103" s="90"/>
      <c r="D103" s="90"/>
      <c r="E103" s="283"/>
      <c r="H103" s="1675"/>
      <c r="I103" s="1852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75"/>
      <c r="I104" s="1852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75"/>
      <c r="I105" s="1852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75"/>
      <c r="I106" s="1852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75"/>
      <c r="I107" s="1852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75"/>
      <c r="I108" s="1852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75"/>
      <c r="I109" s="1852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75"/>
      <c r="I110" s="1852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75"/>
      <c r="I111" s="1852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75"/>
      <c r="I112" s="1852"/>
    </row>
    <row r="113" spans="1:9" ht="15" hidden="1" customHeight="1" x14ac:dyDescent="0.25">
      <c r="A113" s="15"/>
      <c r="B113" s="30" t="s">
        <v>36</v>
      </c>
      <c r="C113" s="60"/>
      <c r="D113" s="60"/>
      <c r="E113" s="284">
        <v>0</v>
      </c>
      <c r="H113" s="1675"/>
      <c r="I113" s="1852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75"/>
      <c r="I114" s="1852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75"/>
      <c r="I115" s="1852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75"/>
      <c r="I116" s="1852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75"/>
      <c r="I117" s="1852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75"/>
      <c r="I118" s="1852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75"/>
      <c r="I119" s="1852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75"/>
      <c r="I120" s="1852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75"/>
      <c r="I121" s="1852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75"/>
      <c r="I122" s="1852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75"/>
      <c r="I123" s="1852"/>
    </row>
    <row r="124" spans="1:9" ht="15" hidden="1" customHeight="1" x14ac:dyDescent="0.25">
      <c r="A124" s="15"/>
      <c r="B124" s="14" t="s">
        <v>49</v>
      </c>
      <c r="C124" s="126">
        <v>0.3</v>
      </c>
      <c r="D124" s="126"/>
      <c r="E124" s="34" t="e">
        <v>#DIV/0!</v>
      </c>
      <c r="H124" s="1675"/>
      <c r="I124" s="1852"/>
    </row>
    <row r="125" spans="1:9" ht="15" hidden="1" customHeight="1" x14ac:dyDescent="0.25">
      <c r="A125" s="15"/>
      <c r="B125" s="14" t="s">
        <v>48</v>
      </c>
      <c r="C125" s="126">
        <v>0.3</v>
      </c>
      <c r="D125" s="126"/>
      <c r="E125" s="34" t="e">
        <v>#DIV/0!</v>
      </c>
      <c r="H125" s="1675"/>
      <c r="I125" s="1852"/>
    </row>
    <row r="126" spans="1:9" ht="15" hidden="1" customHeight="1" x14ac:dyDescent="0.25">
      <c r="A126" s="15"/>
      <c r="B126" s="30" t="s">
        <v>28</v>
      </c>
      <c r="C126" s="126"/>
      <c r="D126" s="126"/>
      <c r="E126" s="34"/>
      <c r="H126" s="1675"/>
      <c r="I126" s="1852"/>
    </row>
    <row r="127" spans="1:9" ht="15" hidden="1" customHeight="1" x14ac:dyDescent="0.25">
      <c r="A127" s="15"/>
      <c r="B127" s="14" t="s">
        <v>49</v>
      </c>
      <c r="C127" s="126">
        <v>0.5</v>
      </c>
      <c r="D127" s="126"/>
      <c r="E127" s="34" t="e">
        <v>#DIV/0!</v>
      </c>
      <c r="H127" s="1675"/>
      <c r="I127" s="1852"/>
    </row>
    <row r="128" spans="1:9" ht="15" hidden="1" customHeight="1" x14ac:dyDescent="0.25">
      <c r="A128" s="19"/>
      <c r="B128" s="14" t="s">
        <v>48</v>
      </c>
      <c r="C128" s="126">
        <v>0.5</v>
      </c>
      <c r="D128" s="126"/>
      <c r="E128" s="34" t="e">
        <v>#DIV/0!</v>
      </c>
      <c r="H128" s="1675"/>
      <c r="I128" s="1852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75"/>
      <c r="I129" s="1852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75"/>
      <c r="I130" s="1852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75"/>
      <c r="I131" s="1852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75"/>
      <c r="I132" s="1852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75"/>
      <c r="I133" s="1852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75"/>
      <c r="I134" s="1852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75"/>
      <c r="I135" s="1852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75"/>
      <c r="I136" s="1852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75"/>
      <c r="I137" s="1852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75"/>
      <c r="I138" s="1852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75"/>
      <c r="I139" s="1852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75"/>
      <c r="I140" s="1852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75"/>
      <c r="I141" s="1852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75"/>
      <c r="I142" s="1852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75"/>
      <c r="I143" s="1852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75"/>
      <c r="I144" s="1852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75"/>
      <c r="I145" s="1852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75"/>
      <c r="I146" s="1852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75"/>
      <c r="I147" s="1852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75"/>
      <c r="I148" s="1852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75"/>
      <c r="I149" s="1852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75"/>
      <c r="I150" s="1852"/>
    </row>
    <row r="151" spans="1:9" ht="15" hidden="1" customHeight="1" x14ac:dyDescent="0.25">
      <c r="A151" s="15"/>
      <c r="B151" s="11" t="s">
        <v>45</v>
      </c>
      <c r="C151" s="126">
        <v>0.3</v>
      </c>
      <c r="D151" s="126"/>
      <c r="E151" s="34" t="e">
        <v>#DIV/0!</v>
      </c>
      <c r="H151" s="1675"/>
      <c r="I151" s="1852"/>
    </row>
    <row r="152" spans="1:9" ht="15" hidden="1" customHeight="1" x14ac:dyDescent="0.25">
      <c r="A152" s="15"/>
      <c r="B152" s="11" t="s">
        <v>44</v>
      </c>
      <c r="C152" s="126">
        <v>0.3</v>
      </c>
      <c r="D152" s="126"/>
      <c r="E152" s="34" t="e">
        <v>#DIV/0!</v>
      </c>
      <c r="H152" s="1675"/>
      <c r="I152" s="1852"/>
    </row>
    <row r="153" spans="1:9" ht="15" hidden="1" customHeight="1" x14ac:dyDescent="0.25">
      <c r="A153" s="15"/>
      <c r="B153" s="30" t="s">
        <v>28</v>
      </c>
      <c r="C153" s="126"/>
      <c r="D153" s="126"/>
      <c r="E153" s="34"/>
      <c r="H153" s="1675"/>
      <c r="I153" s="1852"/>
    </row>
    <row r="154" spans="1:9" ht="15" hidden="1" customHeight="1" x14ac:dyDescent="0.25">
      <c r="A154" s="15"/>
      <c r="B154" s="11" t="s">
        <v>45</v>
      </c>
      <c r="C154" s="126">
        <v>0.5</v>
      </c>
      <c r="D154" s="126"/>
      <c r="E154" s="34" t="e">
        <v>#DIV/0!</v>
      </c>
      <c r="H154" s="1675"/>
      <c r="I154" s="1852"/>
    </row>
    <row r="155" spans="1:9" ht="15" hidden="1" customHeight="1" x14ac:dyDescent="0.25">
      <c r="A155" s="15"/>
      <c r="B155" s="11" t="s">
        <v>44</v>
      </c>
      <c r="C155" s="126">
        <v>0.5</v>
      </c>
      <c r="D155" s="126"/>
      <c r="E155" s="34" t="e">
        <v>#DIV/0!</v>
      </c>
      <c r="H155" s="1675"/>
      <c r="I155" s="1852"/>
    </row>
    <row r="156" spans="1:9" ht="15" hidden="1" customHeight="1" x14ac:dyDescent="0.25">
      <c r="A156" s="15"/>
      <c r="B156" s="47" t="s">
        <v>43</v>
      </c>
      <c r="C156" s="127"/>
      <c r="D156" s="127"/>
      <c r="E156" s="285"/>
      <c r="H156" s="1675"/>
      <c r="I156" s="1852"/>
    </row>
    <row r="157" spans="1:9" ht="15" hidden="1" customHeight="1" x14ac:dyDescent="0.25">
      <c r="A157" s="15"/>
      <c r="B157" s="28" t="s">
        <v>114</v>
      </c>
      <c r="C157" s="126"/>
      <c r="D157" s="126"/>
      <c r="E157" s="42"/>
      <c r="H157" s="1675"/>
      <c r="I157" s="1852"/>
    </row>
    <row r="158" spans="1:9" ht="15" hidden="1" customHeight="1" x14ac:dyDescent="0.25">
      <c r="A158" s="15"/>
      <c r="B158" s="28" t="s">
        <v>115</v>
      </c>
      <c r="C158" s="126"/>
      <c r="D158" s="126"/>
      <c r="E158" s="34"/>
      <c r="H158" s="1675"/>
      <c r="I158" s="1852"/>
    </row>
    <row r="159" spans="1:9" ht="15" hidden="1" customHeight="1" x14ac:dyDescent="0.25">
      <c r="A159" s="15"/>
      <c r="B159" s="30" t="s">
        <v>39</v>
      </c>
      <c r="C159" s="126"/>
      <c r="D159" s="126"/>
      <c r="E159" s="34">
        <v>0</v>
      </c>
      <c r="H159" s="1675"/>
      <c r="I159" s="1852"/>
    </row>
    <row r="160" spans="1:9" ht="15" hidden="1" customHeight="1" x14ac:dyDescent="0.25">
      <c r="A160" s="15"/>
      <c r="B160" s="30" t="s">
        <v>38</v>
      </c>
      <c r="C160" s="126"/>
      <c r="D160" s="126"/>
      <c r="E160" s="34">
        <v>0</v>
      </c>
      <c r="H160" s="1675"/>
      <c r="I160" s="1852"/>
    </row>
    <row r="161" spans="1:9" ht="15" hidden="1" customHeight="1" x14ac:dyDescent="0.25">
      <c r="A161" s="15"/>
      <c r="B161" s="30" t="s">
        <v>29</v>
      </c>
      <c r="C161" s="126"/>
      <c r="D161" s="126"/>
      <c r="E161" s="33"/>
      <c r="H161" s="1675"/>
      <c r="I161" s="1852"/>
    </row>
    <row r="162" spans="1:9" ht="15" hidden="1" customHeight="1" x14ac:dyDescent="0.25">
      <c r="A162" s="15"/>
      <c r="B162" s="11" t="s">
        <v>42</v>
      </c>
      <c r="C162" s="126"/>
      <c r="D162" s="126"/>
      <c r="E162" s="33"/>
      <c r="H162" s="1675"/>
      <c r="I162" s="1852"/>
    </row>
    <row r="163" spans="1:9" ht="15" hidden="1" customHeight="1" x14ac:dyDescent="0.25">
      <c r="A163" s="15"/>
      <c r="B163" s="11" t="s">
        <v>41</v>
      </c>
      <c r="C163" s="126"/>
      <c r="D163" s="126"/>
      <c r="E163" s="33"/>
      <c r="H163" s="1675"/>
      <c r="I163" s="1852"/>
    </row>
    <row r="164" spans="1:9" ht="15" hidden="1" customHeight="1" x14ac:dyDescent="0.25">
      <c r="A164" s="15"/>
      <c r="B164" s="30" t="s">
        <v>28</v>
      </c>
      <c r="C164" s="126"/>
      <c r="D164" s="126"/>
      <c r="E164" s="33"/>
      <c r="H164" s="1675"/>
      <c r="I164" s="1852"/>
    </row>
    <row r="165" spans="1:9" ht="15" hidden="1" customHeight="1" x14ac:dyDescent="0.25">
      <c r="A165" s="15"/>
      <c r="B165" s="11" t="s">
        <v>42</v>
      </c>
      <c r="C165" s="126"/>
      <c r="D165" s="126"/>
      <c r="E165" s="33">
        <v>0</v>
      </c>
      <c r="H165" s="1675"/>
      <c r="I165" s="1852"/>
    </row>
    <row r="166" spans="1:9" ht="15" hidden="1" customHeight="1" x14ac:dyDescent="0.25">
      <c r="A166" s="15"/>
      <c r="B166" s="11" t="s">
        <v>41</v>
      </c>
      <c r="C166" s="126"/>
      <c r="D166" s="126"/>
      <c r="E166" s="33">
        <v>0</v>
      </c>
      <c r="H166" s="1675"/>
      <c r="I166" s="1852"/>
    </row>
    <row r="167" spans="1:9" ht="15" hidden="1" customHeight="1" x14ac:dyDescent="0.25">
      <c r="A167" s="15"/>
      <c r="B167" s="30" t="s">
        <v>36</v>
      </c>
      <c r="C167" s="126"/>
      <c r="D167" s="126"/>
      <c r="E167" s="33">
        <v>0</v>
      </c>
      <c r="H167" s="1675"/>
      <c r="I167" s="1852"/>
    </row>
    <row r="168" spans="1:9" ht="15" hidden="1" customHeight="1" x14ac:dyDescent="0.25">
      <c r="A168" s="15"/>
      <c r="B168" s="30" t="s">
        <v>34</v>
      </c>
      <c r="C168" s="126"/>
      <c r="D168" s="126"/>
      <c r="E168" s="33">
        <v>0</v>
      </c>
      <c r="H168" s="1675"/>
      <c r="I168" s="1852"/>
    </row>
    <row r="169" spans="1:9" ht="15" hidden="1" customHeight="1" x14ac:dyDescent="0.25">
      <c r="A169" s="15"/>
      <c r="B169" s="47" t="s">
        <v>32</v>
      </c>
      <c r="C169" s="127"/>
      <c r="D169" s="127"/>
      <c r="E169" s="94"/>
      <c r="H169" s="1675"/>
      <c r="I169" s="1852"/>
    </row>
    <row r="170" spans="1:9" ht="15" hidden="1" customHeight="1" x14ac:dyDescent="0.25">
      <c r="A170" s="15"/>
      <c r="B170" s="30" t="s">
        <v>29</v>
      </c>
      <c r="C170" s="126"/>
      <c r="D170" s="126"/>
      <c r="E170" s="33"/>
      <c r="H170" s="1675"/>
      <c r="I170" s="1852"/>
    </row>
    <row r="171" spans="1:9" ht="15" hidden="1" customHeight="1" x14ac:dyDescent="0.25">
      <c r="A171" s="15"/>
      <c r="B171" s="11" t="s">
        <v>42</v>
      </c>
      <c r="C171" s="126"/>
      <c r="D171" s="126"/>
      <c r="E171" s="33"/>
      <c r="H171" s="1675"/>
      <c r="I171" s="1852"/>
    </row>
    <row r="172" spans="1:9" ht="15" hidden="1" customHeight="1" x14ac:dyDescent="0.25">
      <c r="A172" s="15"/>
      <c r="B172" s="11" t="s">
        <v>41</v>
      </c>
      <c r="C172" s="126"/>
      <c r="D172" s="126"/>
      <c r="E172" s="33"/>
      <c r="H172" s="1675"/>
      <c r="I172" s="1852"/>
    </row>
    <row r="173" spans="1:9" ht="15" hidden="1" customHeight="1" x14ac:dyDescent="0.25">
      <c r="A173" s="15"/>
      <c r="B173" s="30" t="s">
        <v>28</v>
      </c>
      <c r="C173" s="126"/>
      <c r="D173" s="126"/>
      <c r="E173" s="33"/>
      <c r="H173" s="1675"/>
      <c r="I173" s="1852"/>
    </row>
    <row r="174" spans="1:9" ht="15" hidden="1" customHeight="1" x14ac:dyDescent="0.25">
      <c r="A174" s="15"/>
      <c r="B174" s="11" t="s">
        <v>42</v>
      </c>
      <c r="C174" s="126"/>
      <c r="D174" s="126"/>
      <c r="E174" s="33">
        <v>0</v>
      </c>
      <c r="H174" s="1675"/>
      <c r="I174" s="1852"/>
    </row>
    <row r="175" spans="1:9" ht="15" hidden="1" customHeight="1" x14ac:dyDescent="0.25">
      <c r="A175" s="15"/>
      <c r="B175" s="11" t="s">
        <v>41</v>
      </c>
      <c r="C175" s="126"/>
      <c r="D175" s="126"/>
      <c r="E175" s="33">
        <v>0</v>
      </c>
      <c r="H175" s="1675"/>
      <c r="I175" s="1852"/>
    </row>
    <row r="176" spans="1:9" ht="15" hidden="1" customHeight="1" x14ac:dyDescent="0.25">
      <c r="A176" s="15"/>
      <c r="B176" s="47" t="s">
        <v>30</v>
      </c>
      <c r="C176" s="127"/>
      <c r="D176" s="127"/>
      <c r="E176" s="94"/>
      <c r="H176" s="1675"/>
      <c r="I176" s="1852"/>
    </row>
    <row r="177" spans="1:9" ht="15" hidden="1" customHeight="1" x14ac:dyDescent="0.25">
      <c r="A177" s="15"/>
      <c r="B177" s="30" t="s">
        <v>29</v>
      </c>
      <c r="C177" s="126"/>
      <c r="D177" s="126"/>
      <c r="E177" s="33"/>
      <c r="H177" s="1675"/>
      <c r="I177" s="1852"/>
    </row>
    <row r="178" spans="1:9" ht="15" hidden="1" customHeight="1" x14ac:dyDescent="0.25">
      <c r="A178" s="15"/>
      <c r="B178" s="11" t="s">
        <v>42</v>
      </c>
      <c r="C178" s="126"/>
      <c r="D178" s="126"/>
      <c r="E178" s="33" t="e">
        <v>#DIV/0!</v>
      </c>
      <c r="H178" s="1675"/>
      <c r="I178" s="1852"/>
    </row>
    <row r="179" spans="1:9" ht="15" hidden="1" customHeight="1" x14ac:dyDescent="0.25">
      <c r="A179" s="15"/>
      <c r="B179" s="11" t="s">
        <v>91</v>
      </c>
      <c r="C179" s="126"/>
      <c r="D179" s="126"/>
      <c r="E179" s="33" t="e">
        <v>#DIV/0!</v>
      </c>
      <c r="H179" s="1675"/>
      <c r="I179" s="1852"/>
    </row>
    <row r="180" spans="1:9" ht="15" hidden="1" customHeight="1" x14ac:dyDescent="0.25">
      <c r="A180" s="15"/>
      <c r="B180" s="30" t="s">
        <v>28</v>
      </c>
      <c r="C180" s="126"/>
      <c r="D180" s="126"/>
      <c r="E180" s="33"/>
      <c r="H180" s="1675"/>
      <c r="I180" s="1852"/>
    </row>
    <row r="181" spans="1:9" ht="15" hidden="1" customHeight="1" x14ac:dyDescent="0.25">
      <c r="A181" s="15"/>
      <c r="B181" s="11" t="s">
        <v>42</v>
      </c>
      <c r="C181" s="126"/>
      <c r="D181" s="126"/>
      <c r="E181" s="33" t="e">
        <v>#DIV/0!</v>
      </c>
      <c r="H181" s="1675"/>
      <c r="I181" s="1852"/>
    </row>
    <row r="182" spans="1:9" ht="15" hidden="1" customHeight="1" x14ac:dyDescent="0.25">
      <c r="A182" s="19"/>
      <c r="B182" s="11" t="s">
        <v>91</v>
      </c>
      <c r="C182" s="126"/>
      <c r="D182" s="126"/>
      <c r="E182" s="33" t="e">
        <v>#DIV/0!</v>
      </c>
      <c r="H182" s="1675"/>
      <c r="I182" s="1852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75"/>
      <c r="I183" s="1852"/>
    </row>
    <row r="184" spans="1:9" ht="15" hidden="1" customHeight="1" x14ac:dyDescent="0.25">
      <c r="A184" s="15"/>
      <c r="B184" s="28" t="s">
        <v>115</v>
      </c>
      <c r="C184" s="90"/>
      <c r="D184" s="90"/>
      <c r="E184" s="42"/>
      <c r="H184" s="1675"/>
      <c r="I184" s="1852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75"/>
      <c r="I185" s="1852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75"/>
      <c r="I186" s="1852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75"/>
      <c r="I187" s="1852"/>
    </row>
    <row r="188" spans="1:9" ht="15" hidden="1" customHeight="1" x14ac:dyDescent="0.25">
      <c r="A188" s="15"/>
      <c r="B188" s="11" t="s">
        <v>116</v>
      </c>
      <c r="C188" s="60"/>
      <c r="D188" s="60"/>
      <c r="E188" s="33"/>
      <c r="H188" s="1675"/>
      <c r="I188" s="1852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75"/>
      <c r="I189" s="1852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75"/>
      <c r="I190" s="1852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75"/>
      <c r="I191" s="1852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75"/>
      <c r="I192" s="1852"/>
    </row>
    <row r="193" spans="1:9" ht="15" hidden="1" customHeight="1" x14ac:dyDescent="0.25">
      <c r="A193" s="15"/>
      <c r="B193" s="11" t="s">
        <v>116</v>
      </c>
      <c r="C193" s="60"/>
      <c r="D193" s="60"/>
      <c r="E193" s="33">
        <v>0</v>
      </c>
      <c r="H193" s="1675"/>
      <c r="I193" s="1852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75"/>
      <c r="I194" s="1852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75"/>
      <c r="I195" s="1852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75"/>
      <c r="I196" s="1852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75"/>
      <c r="I197" s="1852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75"/>
      <c r="I198" s="1852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75"/>
      <c r="I199" s="1852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75"/>
      <c r="I200" s="1852"/>
    </row>
    <row r="201" spans="1:9" ht="15" hidden="1" customHeight="1" x14ac:dyDescent="0.25">
      <c r="A201" s="15"/>
      <c r="B201" s="11" t="s">
        <v>116</v>
      </c>
      <c r="C201" s="60"/>
      <c r="D201" s="60"/>
      <c r="E201" s="33">
        <v>0</v>
      </c>
      <c r="H201" s="1675"/>
      <c r="I201" s="1852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75"/>
      <c r="I202" s="1852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75"/>
      <c r="I203" s="1852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75"/>
      <c r="I204" s="1852"/>
    </row>
    <row r="205" spans="1:9" ht="15" hidden="1" customHeight="1" x14ac:dyDescent="0.25">
      <c r="A205" s="15"/>
      <c r="B205" s="11" t="s">
        <v>116</v>
      </c>
      <c r="C205" s="60"/>
      <c r="D205" s="60"/>
      <c r="E205" s="33">
        <v>0</v>
      </c>
      <c r="H205" s="1675"/>
      <c r="I205" s="1852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75"/>
      <c r="I206" s="1852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75"/>
      <c r="I207" s="1852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75"/>
      <c r="I208" s="1852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75"/>
      <c r="I209" s="1852"/>
    </row>
    <row r="210" spans="1:9" ht="15" hidden="1" customHeight="1" x14ac:dyDescent="0.25">
      <c r="A210" s="15"/>
      <c r="B210" s="11" t="s">
        <v>116</v>
      </c>
      <c r="C210" s="126">
        <v>0.3</v>
      </c>
      <c r="D210" s="126"/>
      <c r="E210" s="34" t="e">
        <v>#DIV/0!</v>
      </c>
      <c r="H210" s="1675"/>
      <c r="I210" s="1852"/>
    </row>
    <row r="211" spans="1:9" ht="15" hidden="1" customHeight="1" x14ac:dyDescent="0.25">
      <c r="A211" s="15"/>
      <c r="B211" s="11" t="s">
        <v>27</v>
      </c>
      <c r="C211" s="126">
        <v>0.3</v>
      </c>
      <c r="D211" s="126"/>
      <c r="E211" s="34" t="e">
        <v>#DIV/0!</v>
      </c>
      <c r="H211" s="1675"/>
      <c r="I211" s="1852"/>
    </row>
    <row r="212" spans="1:9" ht="15" hidden="1" customHeight="1" x14ac:dyDescent="0.25">
      <c r="A212" s="15"/>
      <c r="B212" s="11" t="s">
        <v>26</v>
      </c>
      <c r="C212" s="126">
        <v>0.3</v>
      </c>
      <c r="D212" s="126"/>
      <c r="E212" s="34" t="e">
        <v>#DIV/0!</v>
      </c>
      <c r="H212" s="1675"/>
      <c r="I212" s="1852"/>
    </row>
    <row r="213" spans="1:9" ht="15" hidden="1" customHeight="1" x14ac:dyDescent="0.25">
      <c r="A213" s="15"/>
      <c r="B213" s="30" t="s">
        <v>28</v>
      </c>
      <c r="C213" s="126"/>
      <c r="D213" s="126"/>
      <c r="E213" s="34"/>
      <c r="H213" s="1675"/>
      <c r="I213" s="1852"/>
    </row>
    <row r="214" spans="1:9" ht="15" hidden="1" customHeight="1" x14ac:dyDescent="0.25">
      <c r="A214" s="15"/>
      <c r="B214" s="11" t="s">
        <v>116</v>
      </c>
      <c r="C214" s="126">
        <v>0.5</v>
      </c>
      <c r="D214" s="126"/>
      <c r="E214" s="34" t="e">
        <v>#DIV/0!</v>
      </c>
      <c r="H214" s="1675"/>
      <c r="I214" s="1852"/>
    </row>
    <row r="215" spans="1:9" ht="15" hidden="1" customHeight="1" x14ac:dyDescent="0.25">
      <c r="A215" s="15"/>
      <c r="B215" s="11" t="s">
        <v>27</v>
      </c>
      <c r="C215" s="126">
        <v>0.5</v>
      </c>
      <c r="D215" s="126"/>
      <c r="E215" s="34" t="e">
        <v>#DIV/0!</v>
      </c>
      <c r="H215" s="1675"/>
      <c r="I215" s="1852"/>
    </row>
    <row r="216" spans="1:9" ht="15" hidden="1" customHeight="1" x14ac:dyDescent="0.25">
      <c r="A216" s="19"/>
      <c r="B216" s="11" t="s">
        <v>26</v>
      </c>
      <c r="C216" s="126">
        <v>0.5</v>
      </c>
      <c r="D216" s="126"/>
      <c r="E216" s="34" t="e">
        <v>#DIV/0!</v>
      </c>
      <c r="H216" s="1675"/>
      <c r="I216" s="1852"/>
    </row>
    <row r="217" spans="1:9" ht="15" hidden="1" customHeight="1" x14ac:dyDescent="0.25">
      <c r="A217" s="8">
        <v>7</v>
      </c>
      <c r="B217" s="47" t="s">
        <v>87</v>
      </c>
      <c r="C217" s="127"/>
      <c r="D217" s="127"/>
      <c r="E217" s="286"/>
      <c r="H217" s="1675"/>
      <c r="I217" s="1852"/>
    </row>
    <row r="218" spans="1:9" ht="15" hidden="1" customHeight="1" x14ac:dyDescent="0.25">
      <c r="A218" s="15"/>
      <c r="B218" s="26" t="s">
        <v>92</v>
      </c>
      <c r="C218" s="126"/>
      <c r="D218" s="126"/>
      <c r="E218" s="42"/>
      <c r="H218" s="1675"/>
      <c r="I218" s="1852"/>
    </row>
    <row r="219" spans="1:9" ht="15" hidden="1" customHeight="1" x14ac:dyDescent="0.25">
      <c r="A219" s="15"/>
      <c r="B219" s="11" t="s">
        <v>93</v>
      </c>
      <c r="C219" s="126"/>
      <c r="D219" s="126"/>
      <c r="E219" s="34"/>
      <c r="H219" s="1675"/>
      <c r="I219" s="1852"/>
    </row>
    <row r="220" spans="1:9" ht="15" hidden="1" customHeight="1" x14ac:dyDescent="0.25">
      <c r="A220" s="15"/>
      <c r="B220" s="11" t="s">
        <v>39</v>
      </c>
      <c r="C220" s="126"/>
      <c r="D220" s="126"/>
      <c r="E220" s="34">
        <v>0</v>
      </c>
      <c r="H220" s="1675"/>
      <c r="I220" s="1852"/>
    </row>
    <row r="221" spans="1:9" ht="15" hidden="1" customHeight="1" x14ac:dyDescent="0.25">
      <c r="A221" s="15"/>
      <c r="B221" s="11" t="s">
        <v>38</v>
      </c>
      <c r="C221" s="126"/>
      <c r="D221" s="126"/>
      <c r="E221" s="34">
        <v>0</v>
      </c>
      <c r="H221" s="1675"/>
      <c r="I221" s="1852"/>
    </row>
    <row r="222" spans="1:9" ht="15" hidden="1" customHeight="1" x14ac:dyDescent="0.25">
      <c r="A222" s="15"/>
      <c r="B222" s="30" t="s">
        <v>50</v>
      </c>
      <c r="C222" s="126"/>
      <c r="D222" s="126"/>
      <c r="E222" s="34">
        <v>0</v>
      </c>
      <c r="H222" s="1675"/>
      <c r="I222" s="1852"/>
    </row>
    <row r="223" spans="1:9" ht="15" hidden="1" customHeight="1" x14ac:dyDescent="0.25">
      <c r="A223" s="15"/>
      <c r="B223" s="11" t="s">
        <v>29</v>
      </c>
      <c r="C223" s="126"/>
      <c r="D223" s="126"/>
      <c r="E223" s="34"/>
      <c r="H223" s="1675"/>
      <c r="I223" s="1852"/>
    </row>
    <row r="224" spans="1:9" ht="15" hidden="1" customHeight="1" x14ac:dyDescent="0.25">
      <c r="A224" s="15"/>
      <c r="B224" s="11" t="s">
        <v>88</v>
      </c>
      <c r="C224" s="126"/>
      <c r="D224" s="126"/>
      <c r="E224" s="33"/>
      <c r="H224" s="1675"/>
      <c r="I224" s="1852"/>
    </row>
    <row r="225" spans="1:9" ht="15" hidden="1" customHeight="1" x14ac:dyDescent="0.25">
      <c r="A225" s="15"/>
      <c r="B225" s="11" t="s">
        <v>117</v>
      </c>
      <c r="C225" s="126"/>
      <c r="D225" s="126"/>
      <c r="E225" s="33"/>
      <c r="H225" s="1675"/>
      <c r="I225" s="1852"/>
    </row>
    <row r="226" spans="1:9" ht="15" hidden="1" customHeight="1" x14ac:dyDescent="0.25">
      <c r="A226" s="15"/>
      <c r="B226" s="38" t="s">
        <v>28</v>
      </c>
      <c r="C226" s="126"/>
      <c r="D226" s="126"/>
      <c r="E226" s="34"/>
      <c r="H226" s="1675"/>
      <c r="I226" s="1852"/>
    </row>
    <row r="227" spans="1:9" ht="15" hidden="1" customHeight="1" x14ac:dyDescent="0.25">
      <c r="A227" s="15"/>
      <c r="B227" s="11" t="s">
        <v>88</v>
      </c>
      <c r="C227" s="126"/>
      <c r="D227" s="126"/>
      <c r="E227" s="33">
        <v>0</v>
      </c>
      <c r="H227" s="1675"/>
      <c r="I227" s="1852"/>
    </row>
    <row r="228" spans="1:9" ht="15" hidden="1" customHeight="1" x14ac:dyDescent="0.25">
      <c r="A228" s="15"/>
      <c r="B228" s="11" t="s">
        <v>117</v>
      </c>
      <c r="C228" s="126"/>
      <c r="D228" s="126"/>
      <c r="E228" s="33">
        <v>0</v>
      </c>
      <c r="H228" s="1675"/>
      <c r="I228" s="1852"/>
    </row>
    <row r="229" spans="1:9" ht="15" hidden="1" customHeight="1" x14ac:dyDescent="0.25">
      <c r="A229" s="15"/>
      <c r="B229" s="11" t="s">
        <v>36</v>
      </c>
      <c r="C229" s="126"/>
      <c r="D229" s="126"/>
      <c r="E229" s="33">
        <v>0</v>
      </c>
      <c r="H229" s="1675"/>
      <c r="I229" s="1852"/>
    </row>
    <row r="230" spans="1:9" ht="15" hidden="1" customHeight="1" x14ac:dyDescent="0.25">
      <c r="A230" s="15"/>
      <c r="B230" s="11" t="s">
        <v>34</v>
      </c>
      <c r="C230" s="126"/>
      <c r="D230" s="126"/>
      <c r="E230" s="33">
        <v>0</v>
      </c>
      <c r="H230" s="1675"/>
      <c r="I230" s="1852"/>
    </row>
    <row r="231" spans="1:9" ht="15" hidden="1" customHeight="1" x14ac:dyDescent="0.25">
      <c r="A231" s="15"/>
      <c r="B231" s="47" t="s">
        <v>32</v>
      </c>
      <c r="C231" s="127"/>
      <c r="D231" s="127"/>
      <c r="E231" s="287"/>
      <c r="H231" s="1675"/>
      <c r="I231" s="1852"/>
    </row>
    <row r="232" spans="1:9" ht="15" hidden="1" customHeight="1" x14ac:dyDescent="0.25">
      <c r="A232" s="15"/>
      <c r="B232" s="11" t="s">
        <v>29</v>
      </c>
      <c r="C232" s="126"/>
      <c r="D232" s="126"/>
      <c r="E232" s="34"/>
      <c r="H232" s="1675"/>
      <c r="I232" s="1852"/>
    </row>
    <row r="233" spans="1:9" ht="15" hidden="1" customHeight="1" x14ac:dyDescent="0.25">
      <c r="A233" s="15"/>
      <c r="B233" s="11" t="s">
        <v>88</v>
      </c>
      <c r="C233" s="126"/>
      <c r="D233" s="126"/>
      <c r="E233" s="33"/>
      <c r="H233" s="1675"/>
      <c r="I233" s="1852"/>
    </row>
    <row r="234" spans="1:9" ht="15" hidden="1" customHeight="1" x14ac:dyDescent="0.25">
      <c r="A234" s="15"/>
      <c r="B234" s="11" t="s">
        <v>117</v>
      </c>
      <c r="C234" s="126"/>
      <c r="D234" s="126"/>
      <c r="E234" s="33"/>
      <c r="H234" s="1675"/>
      <c r="I234" s="1852"/>
    </row>
    <row r="235" spans="1:9" ht="15" hidden="1" customHeight="1" x14ac:dyDescent="0.25">
      <c r="A235" s="15"/>
      <c r="B235" s="11" t="s">
        <v>28</v>
      </c>
      <c r="C235" s="126"/>
      <c r="D235" s="126"/>
      <c r="E235" s="34"/>
      <c r="H235" s="1675"/>
      <c r="I235" s="1852"/>
    </row>
    <row r="236" spans="1:9" ht="15" hidden="1" customHeight="1" x14ac:dyDescent="0.25">
      <c r="A236" s="15"/>
      <c r="B236" s="11" t="s">
        <v>88</v>
      </c>
      <c r="C236" s="126"/>
      <c r="D236" s="126"/>
      <c r="E236" s="33">
        <v>0</v>
      </c>
      <c r="H236" s="1675"/>
      <c r="I236" s="1852"/>
    </row>
    <row r="237" spans="1:9" ht="15" hidden="1" customHeight="1" x14ac:dyDescent="0.25">
      <c r="A237" s="15"/>
      <c r="B237" s="11" t="s">
        <v>117</v>
      </c>
      <c r="C237" s="126"/>
      <c r="D237" s="126"/>
      <c r="E237" s="33">
        <v>0</v>
      </c>
      <c r="H237" s="1675"/>
      <c r="I237" s="1852"/>
    </row>
    <row r="238" spans="1:9" ht="15" hidden="1" customHeight="1" x14ac:dyDescent="0.25">
      <c r="A238" s="15"/>
      <c r="B238" s="47" t="s">
        <v>30</v>
      </c>
      <c r="C238" s="130"/>
      <c r="D238" s="130"/>
      <c r="E238" s="272"/>
      <c r="H238" s="1675"/>
      <c r="I238" s="1852"/>
    </row>
    <row r="239" spans="1:9" ht="15" hidden="1" customHeight="1" x14ac:dyDescent="0.25">
      <c r="A239" s="15"/>
      <c r="B239" s="30" t="s">
        <v>29</v>
      </c>
      <c r="C239" s="126"/>
      <c r="D239" s="126"/>
      <c r="E239" s="33"/>
      <c r="H239" s="1675"/>
      <c r="I239" s="1852"/>
    </row>
    <row r="240" spans="1:9" ht="15" hidden="1" customHeight="1" x14ac:dyDescent="0.25">
      <c r="A240" s="15"/>
      <c r="B240" s="11" t="s">
        <v>88</v>
      </c>
      <c r="C240" s="126">
        <v>0.3</v>
      </c>
      <c r="D240" s="126"/>
      <c r="E240" s="33" t="e">
        <v>#DIV/0!</v>
      </c>
      <c r="H240" s="1675"/>
      <c r="I240" s="1852"/>
    </row>
    <row r="241" spans="1:9" ht="15" hidden="1" customHeight="1" x14ac:dyDescent="0.25">
      <c r="A241" s="15"/>
      <c r="B241" s="11" t="s">
        <v>117</v>
      </c>
      <c r="C241" s="126">
        <v>0.3</v>
      </c>
      <c r="D241" s="126"/>
      <c r="E241" s="33" t="e">
        <v>#DIV/0!</v>
      </c>
      <c r="H241" s="1675"/>
      <c r="I241" s="1852"/>
    </row>
    <row r="242" spans="1:9" ht="15" hidden="1" customHeight="1" x14ac:dyDescent="0.25">
      <c r="A242" s="15"/>
      <c r="B242" s="30" t="s">
        <v>28</v>
      </c>
      <c r="C242" s="126"/>
      <c r="D242" s="126"/>
      <c r="E242" s="33"/>
      <c r="H242" s="1675"/>
      <c r="I242" s="1852"/>
    </row>
    <row r="243" spans="1:9" ht="15" hidden="1" customHeight="1" x14ac:dyDescent="0.25">
      <c r="A243" s="15"/>
      <c r="B243" s="11" t="s">
        <v>88</v>
      </c>
      <c r="C243" s="126">
        <v>0.5</v>
      </c>
      <c r="D243" s="126"/>
      <c r="E243" s="33" t="e">
        <v>#DIV/0!</v>
      </c>
      <c r="H243" s="1675"/>
      <c r="I243" s="1852"/>
    </row>
    <row r="244" spans="1:9" ht="15" hidden="1" customHeight="1" x14ac:dyDescent="0.25">
      <c r="A244" s="15"/>
      <c r="B244" s="11" t="s">
        <v>117</v>
      </c>
      <c r="C244" s="126">
        <v>0.5</v>
      </c>
      <c r="D244" s="126"/>
      <c r="E244" s="33" t="e">
        <v>#DIV/0!</v>
      </c>
      <c r="H244" s="1675"/>
      <c r="I244" s="1852"/>
    </row>
    <row r="245" spans="1:9" ht="15" hidden="1" customHeight="1" x14ac:dyDescent="0.25">
      <c r="A245" s="15"/>
      <c r="B245" s="101" t="s">
        <v>94</v>
      </c>
      <c r="C245" s="131"/>
      <c r="D245" s="131"/>
      <c r="E245" s="288">
        <v>0</v>
      </c>
      <c r="H245" s="1675"/>
      <c r="I245" s="1852"/>
    </row>
    <row r="246" spans="1:9" ht="15" hidden="1" customHeight="1" x14ac:dyDescent="0.25">
      <c r="A246" s="15"/>
      <c r="B246" s="71" t="s">
        <v>118</v>
      </c>
      <c r="C246" s="133"/>
      <c r="D246" s="133"/>
      <c r="E246" s="289">
        <v>0</v>
      </c>
      <c r="H246" s="1675"/>
      <c r="I246" s="1852"/>
    </row>
    <row r="247" spans="1:9" ht="15" hidden="1" customHeight="1" x14ac:dyDescent="0.25">
      <c r="A247" s="15"/>
      <c r="B247" s="104" t="s">
        <v>89</v>
      </c>
      <c r="C247" s="134"/>
      <c r="D247" s="134"/>
      <c r="E247" s="290">
        <v>0</v>
      </c>
      <c r="H247" s="1675"/>
      <c r="I247" s="1852"/>
    </row>
    <row r="248" spans="1:9" ht="15" hidden="1" customHeight="1" x14ac:dyDescent="0.25">
      <c r="A248" s="15"/>
      <c r="B248" s="107" t="s">
        <v>90</v>
      </c>
      <c r="C248" s="135"/>
      <c r="D248" s="135"/>
      <c r="E248" s="291">
        <v>0</v>
      </c>
      <c r="H248" s="1675"/>
      <c r="I248" s="1852"/>
    </row>
    <row r="249" spans="1:9" ht="15" hidden="1" customHeight="1" x14ac:dyDescent="0.25">
      <c r="A249" s="15"/>
      <c r="B249" s="110" t="s">
        <v>95</v>
      </c>
      <c r="C249" s="131"/>
      <c r="D249" s="131"/>
      <c r="E249" s="292">
        <v>0</v>
      </c>
      <c r="H249" s="1675"/>
      <c r="I249" s="1852"/>
    </row>
    <row r="250" spans="1:9" ht="15.75" thickBot="1" x14ac:dyDescent="0.3">
      <c r="A250" s="1806">
        <v>4</v>
      </c>
      <c r="B250" s="1779" t="s">
        <v>24</v>
      </c>
      <c r="C250" s="1668"/>
      <c r="D250" s="1668"/>
      <c r="E250" s="1889" t="s">
        <v>911</v>
      </c>
      <c r="F250" s="1889" t="s">
        <v>912</v>
      </c>
      <c r="G250" s="1670" t="s">
        <v>188</v>
      </c>
      <c r="H250" s="1671" t="s">
        <v>986</v>
      </c>
      <c r="I250" s="1852"/>
    </row>
    <row r="251" spans="1:9" hidden="1" x14ac:dyDescent="0.25">
      <c r="A251" s="68"/>
      <c r="B251" s="235" t="s">
        <v>22</v>
      </c>
      <c r="C251" s="260">
        <v>1460.001</v>
      </c>
      <c r="D251" s="260" t="s">
        <v>981</v>
      </c>
      <c r="E251" s="293"/>
      <c r="F251" s="1659"/>
      <c r="G251" s="293">
        <v>1236.1327000000001</v>
      </c>
      <c r="H251" s="1678"/>
      <c r="I251" s="1852"/>
    </row>
    <row r="252" spans="1:9" hidden="1" x14ac:dyDescent="0.25">
      <c r="A252" s="8"/>
      <c r="B252" s="235" t="s">
        <v>23</v>
      </c>
      <c r="C252" s="254"/>
      <c r="D252" s="254"/>
      <c r="E252" s="293"/>
      <c r="F252" s="1659"/>
      <c r="G252" s="293">
        <v>949.19</v>
      </c>
      <c r="H252" s="1678"/>
      <c r="I252" s="1852"/>
    </row>
    <row r="253" spans="1:9" x14ac:dyDescent="0.25">
      <c r="A253" s="15"/>
      <c r="B253" s="28" t="s">
        <v>11</v>
      </c>
      <c r="C253" s="477"/>
      <c r="D253" s="477"/>
      <c r="E253" s="295"/>
      <c r="G253" s="750"/>
      <c r="H253" s="1675"/>
      <c r="I253" s="1852"/>
    </row>
    <row r="254" spans="1:9" ht="15.75" thickBot="1" x14ac:dyDescent="0.3">
      <c r="A254" s="15"/>
      <c r="B254" s="235" t="s">
        <v>21</v>
      </c>
      <c r="C254" s="252">
        <v>4.3</v>
      </c>
      <c r="D254" s="252" t="s">
        <v>1044</v>
      </c>
      <c r="E254" s="245">
        <v>50922.43</v>
      </c>
      <c r="F254" s="245">
        <v>58347.35</v>
      </c>
      <c r="G254" s="1514">
        <f>F254-E254</f>
        <v>7424.9199999999983</v>
      </c>
      <c r="H254" s="1798">
        <f>G254/G14</f>
        <v>2.9468645816796304</v>
      </c>
      <c r="I254" s="1855" t="s">
        <v>821</v>
      </c>
    </row>
    <row r="255" spans="1:9" ht="15.75" hidden="1" thickBot="1" x14ac:dyDescent="0.3">
      <c r="A255" s="15"/>
      <c r="B255" s="74" t="s">
        <v>378</v>
      </c>
      <c r="C255" s="948">
        <v>4.3</v>
      </c>
      <c r="D255" s="948" t="s">
        <v>985</v>
      </c>
      <c r="E255" s="949"/>
      <c r="G255" s="750"/>
      <c r="H255" s="1675"/>
      <c r="I255" s="1852"/>
    </row>
    <row r="256" spans="1:9" ht="15.75" hidden="1" thickBot="1" x14ac:dyDescent="0.3">
      <c r="A256" s="15"/>
      <c r="B256" s="14" t="s">
        <v>20</v>
      </c>
      <c r="C256" s="252">
        <v>1168.001</v>
      </c>
      <c r="D256" s="252" t="s">
        <v>981</v>
      </c>
      <c r="E256" s="294"/>
      <c r="F256" s="1659"/>
      <c r="G256" s="294">
        <f>G251-G254</f>
        <v>-6188.7872999999981</v>
      </c>
      <c r="H256" s="1678"/>
      <c r="I256" s="1852"/>
    </row>
    <row r="257" spans="1:18" ht="15.75" hidden="1" thickBot="1" x14ac:dyDescent="0.3">
      <c r="A257" s="40"/>
      <c r="B257" s="41" t="s">
        <v>1</v>
      </c>
      <c r="C257" s="1805">
        <v>1460.001</v>
      </c>
      <c r="D257" s="1805" t="s">
        <v>981</v>
      </c>
      <c r="E257" s="1660"/>
      <c r="F257" s="1689"/>
      <c r="G257" s="1660">
        <f>G254+G256</f>
        <v>1236.1327000000001</v>
      </c>
      <c r="H257" s="1690"/>
      <c r="I257" s="1852"/>
    </row>
    <row r="258" spans="1:18" ht="15.75" thickBot="1" x14ac:dyDescent="0.3">
      <c r="A258" s="1806">
        <v>5</v>
      </c>
      <c r="B258" s="1779" t="s">
        <v>18</v>
      </c>
      <c r="C258" s="1765"/>
      <c r="D258" s="1765"/>
      <c r="E258" s="1889" t="s">
        <v>911</v>
      </c>
      <c r="F258" s="1889" t="s">
        <v>912</v>
      </c>
      <c r="G258" s="1670" t="s">
        <v>188</v>
      </c>
      <c r="H258" s="1671" t="s">
        <v>987</v>
      </c>
      <c r="I258" s="1852"/>
    </row>
    <row r="259" spans="1:18" hidden="1" x14ac:dyDescent="0.25">
      <c r="A259" s="8"/>
      <c r="B259" s="235" t="s">
        <v>4</v>
      </c>
      <c r="C259" s="234">
        <v>408000</v>
      </c>
      <c r="D259" s="234" t="s">
        <v>994</v>
      </c>
      <c r="E259" s="1634"/>
      <c r="F259" s="1659"/>
      <c r="G259" s="298">
        <v>186740</v>
      </c>
      <c r="H259" s="1678"/>
      <c r="I259" s="1852"/>
    </row>
    <row r="260" spans="1:18" hidden="1" x14ac:dyDescent="0.25">
      <c r="A260" s="8"/>
      <c r="B260" s="30" t="s">
        <v>17</v>
      </c>
      <c r="C260" s="262"/>
      <c r="D260" s="262"/>
      <c r="E260" s="282"/>
      <c r="G260" s="750"/>
      <c r="H260" s="1675"/>
      <c r="I260" s="1852"/>
      <c r="R260">
        <v>1.8</v>
      </c>
    </row>
    <row r="261" spans="1:18" x14ac:dyDescent="0.25">
      <c r="A261" s="8"/>
      <c r="B261" s="30"/>
      <c r="C261" s="61"/>
      <c r="D261" s="61"/>
      <c r="E261" s="282"/>
      <c r="G261" s="750"/>
      <c r="H261" s="1675"/>
      <c r="I261" s="1852"/>
    </row>
    <row r="262" spans="1:18" ht="15.75" thickBot="1" x14ac:dyDescent="0.3">
      <c r="A262" s="15"/>
      <c r="B262" s="235" t="s">
        <v>16</v>
      </c>
      <c r="C262" s="252">
        <v>28</v>
      </c>
      <c r="D262" s="1700" t="s">
        <v>86</v>
      </c>
      <c r="E262" s="1875">
        <v>797.79</v>
      </c>
      <c r="F262" s="1895">
        <v>878.49</v>
      </c>
      <c r="G262" s="1687">
        <f>F262-E262</f>
        <v>80.700000000000045</v>
      </c>
      <c r="H262" s="1798">
        <f>G262/G14*1000</f>
        <v>32.028893475154803</v>
      </c>
      <c r="I262" s="1852"/>
      <c r="R262">
        <v>1.9</v>
      </c>
    </row>
    <row r="263" spans="1:18" ht="14.85" hidden="1" customHeight="1" x14ac:dyDescent="0.25">
      <c r="A263" s="15"/>
      <c r="B263" s="14"/>
      <c r="C263" s="234">
        <f>C262/2000</f>
        <v>1.4E-2</v>
      </c>
      <c r="D263" s="234"/>
      <c r="E263" s="33"/>
      <c r="G263" s="750"/>
      <c r="H263" s="1675"/>
      <c r="I263" s="1852"/>
    </row>
    <row r="264" spans="1:18" ht="14.85" hidden="1" customHeight="1" x14ac:dyDescent="0.25">
      <c r="A264" s="15"/>
      <c r="B264" s="235" t="s">
        <v>15</v>
      </c>
      <c r="C264" s="234">
        <v>122000</v>
      </c>
      <c r="D264" s="234"/>
      <c r="E264" s="275"/>
      <c r="F264" s="1659"/>
      <c r="G264" s="1676"/>
      <c r="H264" s="1678"/>
      <c r="I264" s="1852"/>
    </row>
    <row r="265" spans="1:18" ht="15.75" hidden="1" thickBot="1" x14ac:dyDescent="0.3">
      <c r="A265" s="15"/>
      <c r="B265" s="14" t="s">
        <v>914</v>
      </c>
      <c r="C265" s="234">
        <v>106000</v>
      </c>
      <c r="D265" s="234"/>
      <c r="E265" s="946"/>
      <c r="F265" s="511"/>
      <c r="G265" s="1688"/>
      <c r="H265" s="1680"/>
      <c r="I265" s="1852"/>
      <c r="R265">
        <v>2.2999999999999998</v>
      </c>
    </row>
    <row r="266" spans="1:18" ht="15.75" hidden="1" thickBot="1" x14ac:dyDescent="0.3">
      <c r="A266" s="40"/>
      <c r="B266" s="28" t="s">
        <v>1</v>
      </c>
      <c r="C266" s="263">
        <v>408000</v>
      </c>
      <c r="D266" s="263"/>
      <c r="E266" s="1691"/>
      <c r="F266" s="1683"/>
      <c r="G266" s="1692">
        <f>SUM(G262,G264,G265)</f>
        <v>80.700000000000045</v>
      </c>
      <c r="H266" s="1684"/>
      <c r="I266" s="1852"/>
      <c r="R266" s="1796">
        <f>SUM(R260:R265)</f>
        <v>6</v>
      </c>
    </row>
    <row r="267" spans="1:18" ht="15.75" thickBot="1" x14ac:dyDescent="0.3">
      <c r="A267" s="1806">
        <v>6</v>
      </c>
      <c r="B267" s="1779" t="s">
        <v>13</v>
      </c>
      <c r="C267" s="1670"/>
      <c r="D267" s="1670"/>
      <c r="E267" s="1889" t="s">
        <v>911</v>
      </c>
      <c r="F267" s="1889" t="s">
        <v>912</v>
      </c>
      <c r="G267" s="1670" t="s">
        <v>188</v>
      </c>
      <c r="H267" s="1671" t="s">
        <v>988</v>
      </c>
      <c r="I267" s="1852"/>
      <c r="K267" s="1919">
        <f>C262*2500</f>
        <v>70000</v>
      </c>
      <c r="R267">
        <f>R266/2500*1000</f>
        <v>2.4</v>
      </c>
    </row>
    <row r="268" spans="1:18" hidden="1" x14ac:dyDescent="0.25">
      <c r="A268" s="17"/>
      <c r="B268" s="242" t="s">
        <v>12</v>
      </c>
      <c r="C268" s="264">
        <v>1100</v>
      </c>
      <c r="D268" s="264" t="s">
        <v>998</v>
      </c>
      <c r="E268" s="244"/>
      <c r="F268" s="1659"/>
      <c r="G268" s="244">
        <v>572</v>
      </c>
      <c r="H268" s="1678"/>
      <c r="I268" s="1852"/>
    </row>
    <row r="269" spans="1:18" x14ac:dyDescent="0.25">
      <c r="A269" s="17"/>
      <c r="B269" s="43" t="s">
        <v>11</v>
      </c>
      <c r="C269" s="1896"/>
      <c r="D269" s="1896"/>
      <c r="E269" s="34"/>
      <c r="G269" s="750"/>
      <c r="H269" s="1675"/>
      <c r="I269" s="1852"/>
    </row>
    <row r="270" spans="1:18" ht="15.75" thickBot="1" x14ac:dyDescent="0.3">
      <c r="A270" s="17"/>
      <c r="B270" s="242" t="s">
        <v>10</v>
      </c>
      <c r="C270" s="1795">
        <v>3.9</v>
      </c>
      <c r="D270" s="1810" t="s">
        <v>1045</v>
      </c>
      <c r="E270" s="245">
        <v>107</v>
      </c>
      <c r="F270" s="245">
        <v>272</v>
      </c>
      <c r="G270" s="245">
        <f>F270-E270</f>
        <v>165</v>
      </c>
      <c r="H270" s="1897">
        <f>G270/G14*10</f>
        <v>0.65486585172249545</v>
      </c>
      <c r="I270" s="1855" t="s">
        <v>821</v>
      </c>
      <c r="K270" s="1917">
        <f>C270*24</f>
        <v>93.6</v>
      </c>
      <c r="L270" s="1918">
        <f>K270/2500</f>
        <v>3.7440000000000001E-2</v>
      </c>
    </row>
    <row r="271" spans="1:18" ht="15.75" hidden="1" thickBot="1" x14ac:dyDescent="0.3">
      <c r="A271" s="17"/>
      <c r="B271" s="242"/>
      <c r="C271" s="1702">
        <f>C270/C14</f>
        <v>1.56E-3</v>
      </c>
      <c r="D271" s="1810" t="s">
        <v>999</v>
      </c>
      <c r="E271" s="245"/>
      <c r="F271" s="1659"/>
      <c r="G271" s="1676"/>
      <c r="H271" s="1678"/>
      <c r="I271" s="1852"/>
    </row>
    <row r="272" spans="1:18" ht="14.85" hidden="1" customHeight="1" x14ac:dyDescent="0.25">
      <c r="A272" s="17"/>
      <c r="B272" s="242" t="s">
        <v>9</v>
      </c>
      <c r="C272" s="265">
        <v>179.63</v>
      </c>
      <c r="D272" s="265"/>
      <c r="E272" s="245"/>
      <c r="F272" s="1659"/>
      <c r="G272" s="1676"/>
      <c r="H272" s="1678"/>
      <c r="I272" s="1852"/>
    </row>
    <row r="273" spans="1:9" ht="15.75" hidden="1" thickBot="1" x14ac:dyDescent="0.3">
      <c r="A273" s="17"/>
      <c r="B273" s="242" t="s">
        <v>8</v>
      </c>
      <c r="C273" s="264">
        <v>491.59</v>
      </c>
      <c r="D273" s="264" t="s">
        <v>998</v>
      </c>
      <c r="E273" s="245"/>
      <c r="F273" s="1659"/>
      <c r="G273" s="245">
        <v>368</v>
      </c>
      <c r="H273" s="1678"/>
      <c r="I273" s="1852"/>
    </row>
    <row r="274" spans="1:9" ht="15.75" hidden="1" thickBot="1" x14ac:dyDescent="0.3">
      <c r="A274" s="17"/>
      <c r="B274" s="31" t="s">
        <v>7</v>
      </c>
      <c r="C274" s="264">
        <v>337.28</v>
      </c>
      <c r="D274" s="264" t="s">
        <v>998</v>
      </c>
      <c r="E274" s="34"/>
      <c r="G274" s="34">
        <f>G268-G270-G272-G273</f>
        <v>39</v>
      </c>
      <c r="H274" s="1675"/>
      <c r="I274" s="1852"/>
    </row>
    <row r="275" spans="1:9" ht="15.75" hidden="1" thickBot="1" x14ac:dyDescent="0.3">
      <c r="A275" s="17"/>
      <c r="B275" s="242" t="s">
        <v>6</v>
      </c>
      <c r="C275" s="264">
        <v>330</v>
      </c>
      <c r="D275" s="264" t="s">
        <v>998</v>
      </c>
      <c r="E275" s="1693"/>
      <c r="F275" s="1689"/>
      <c r="G275" s="245">
        <v>298</v>
      </c>
      <c r="H275" s="1690"/>
      <c r="I275" s="1852"/>
    </row>
    <row r="276" spans="1:9" ht="15.75" thickBot="1" x14ac:dyDescent="0.3">
      <c r="A276" s="1808">
        <v>7</v>
      </c>
      <c r="B276" s="1809" t="s">
        <v>5</v>
      </c>
      <c r="C276" s="1670"/>
      <c r="D276" s="1670"/>
      <c r="E276" s="1889" t="s">
        <v>911</v>
      </c>
      <c r="F276" s="1889" t="s">
        <v>912</v>
      </c>
      <c r="G276" s="1670" t="s">
        <v>188</v>
      </c>
      <c r="H276" s="1671" t="s">
        <v>989</v>
      </c>
      <c r="I276" s="1852"/>
    </row>
    <row r="277" spans="1:9" hidden="1" x14ac:dyDescent="0.25">
      <c r="A277" s="83"/>
      <c r="B277" s="122" t="s">
        <v>4</v>
      </c>
      <c r="C277" s="1064"/>
      <c r="D277" s="1064"/>
      <c r="E277" s="33"/>
      <c r="G277" s="750"/>
      <c r="H277" s="1675"/>
      <c r="I277" s="1852"/>
    </row>
    <row r="278" spans="1:9" hidden="1" x14ac:dyDescent="0.25">
      <c r="A278" s="83"/>
      <c r="B278" s="235" t="s">
        <v>3</v>
      </c>
      <c r="C278" s="234">
        <v>28770</v>
      </c>
      <c r="D278" s="234" t="s">
        <v>915</v>
      </c>
      <c r="E278" s="245"/>
      <c r="F278" s="1659"/>
      <c r="G278" s="245">
        <v>5.9</v>
      </c>
      <c r="H278" s="1678"/>
      <c r="I278" s="1852"/>
    </row>
    <row r="279" spans="1:9" x14ac:dyDescent="0.25">
      <c r="A279" s="83"/>
      <c r="B279" s="122" t="s">
        <v>1</v>
      </c>
      <c r="C279" s="13"/>
      <c r="D279" s="13"/>
      <c r="E279" s="1651"/>
      <c r="G279" s="1651"/>
      <c r="H279" s="1675"/>
      <c r="I279" s="1852"/>
    </row>
    <row r="280" spans="1:9" x14ac:dyDescent="0.25">
      <c r="A280" s="83"/>
      <c r="B280" s="122" t="s">
        <v>16</v>
      </c>
      <c r="C280" s="13"/>
      <c r="D280" s="13"/>
      <c r="E280" s="282"/>
      <c r="G280" s="750"/>
      <c r="H280" s="1675"/>
      <c r="I280" s="1852"/>
    </row>
    <row r="281" spans="1:9" x14ac:dyDescent="0.25">
      <c r="A281" s="15"/>
      <c r="B281" s="247" t="s">
        <v>906</v>
      </c>
      <c r="C281" s="266">
        <v>18374.400000000001</v>
      </c>
      <c r="D281" s="254" t="s">
        <v>992</v>
      </c>
      <c r="E281" s="275">
        <v>147816.79999999999</v>
      </c>
      <c r="F281" s="1686">
        <v>162684.79999999999</v>
      </c>
      <c r="G281" s="1652">
        <f>F281-E281</f>
        <v>14868</v>
      </c>
      <c r="H281" s="1890">
        <f>G281/G14</f>
        <v>5.9009366566121599</v>
      </c>
      <c r="I281" s="1852"/>
    </row>
    <row r="282" spans="1:9" x14ac:dyDescent="0.25">
      <c r="A282" s="15"/>
      <c r="B282" s="247" t="s">
        <v>119</v>
      </c>
      <c r="C282" s="266">
        <v>10946.28</v>
      </c>
      <c r="D282" s="254" t="s">
        <v>993</v>
      </c>
      <c r="E282" s="275">
        <v>126048.5</v>
      </c>
      <c r="F282" s="1686">
        <v>137097</v>
      </c>
      <c r="G282" s="1652">
        <f>F282-E282</f>
        <v>11048.5</v>
      </c>
      <c r="H282" s="1890">
        <f>G282/G14</f>
        <v>4.3850214319733283</v>
      </c>
      <c r="I282" s="1852"/>
    </row>
    <row r="283" spans="1:9" ht="14.85" hidden="1" customHeight="1" x14ac:dyDescent="0.25">
      <c r="A283" s="15"/>
      <c r="B283" s="951"/>
      <c r="C283" s="952"/>
      <c r="D283" s="952"/>
      <c r="E283" s="946"/>
      <c r="G283" s="750"/>
      <c r="H283" s="1675"/>
      <c r="I283" s="1852"/>
    </row>
    <row r="284" spans="1:9" ht="14.85" hidden="1" customHeight="1" x14ac:dyDescent="0.25">
      <c r="A284" s="15"/>
      <c r="B284" s="44" t="s">
        <v>15</v>
      </c>
      <c r="C284" s="532"/>
      <c r="D284" s="532"/>
      <c r="E284" s="299"/>
      <c r="G284" s="750"/>
      <c r="H284" s="1675"/>
      <c r="I284" s="1852"/>
    </row>
    <row r="285" spans="1:9" ht="14.85" hidden="1" customHeight="1" x14ac:dyDescent="0.25">
      <c r="A285" s="15"/>
      <c r="B285" s="247" t="s">
        <v>120</v>
      </c>
      <c r="C285" s="266">
        <v>1308.96</v>
      </c>
      <c r="D285" s="266"/>
      <c r="E285" s="275"/>
      <c r="G285" s="750"/>
      <c r="H285" s="1675"/>
      <c r="I285" s="1852"/>
    </row>
    <row r="286" spans="1:9" ht="14.85" hidden="1" customHeight="1" x14ac:dyDescent="0.25">
      <c r="A286" s="15"/>
      <c r="B286" s="951"/>
      <c r="C286" s="952"/>
      <c r="D286" s="952"/>
      <c r="E286" s="33"/>
      <c r="G286" s="750"/>
      <c r="H286" s="1675"/>
      <c r="I286" s="1852"/>
    </row>
    <row r="287" spans="1:9" ht="14.85" hidden="1" customHeight="1" x14ac:dyDescent="0.25">
      <c r="A287" s="15"/>
      <c r="B287" s="247" t="s">
        <v>121</v>
      </c>
      <c r="C287" s="266">
        <v>5759.67</v>
      </c>
      <c r="D287" s="266"/>
      <c r="E287" s="275">
        <v>792.3</v>
      </c>
      <c r="G287" s="750"/>
      <c r="H287" s="1675"/>
      <c r="I287" s="1852"/>
    </row>
    <row r="288" spans="1:9" ht="14.85" hidden="1" customHeight="1" x14ac:dyDescent="0.25">
      <c r="A288" s="15"/>
      <c r="B288" s="951"/>
      <c r="C288" s="952"/>
      <c r="D288" s="952"/>
      <c r="E288" s="946"/>
      <c r="G288" s="750"/>
      <c r="H288" s="1675"/>
      <c r="I288" s="1852"/>
    </row>
    <row r="289" spans="1:9" ht="14.85" hidden="1" customHeight="1" x14ac:dyDescent="0.25">
      <c r="A289" s="15"/>
      <c r="B289" s="44" t="s">
        <v>7</v>
      </c>
      <c r="C289" s="532"/>
      <c r="D289" s="532"/>
      <c r="E289" s="299"/>
      <c r="G289" s="750"/>
      <c r="H289" s="1675"/>
      <c r="I289" s="1852"/>
    </row>
    <row r="290" spans="1:9" ht="15.75" thickBot="1" x14ac:dyDescent="0.3">
      <c r="A290" s="15"/>
      <c r="B290" s="1758"/>
      <c r="C290" s="1759">
        <v>11.7</v>
      </c>
      <c r="D290" s="1759" t="s">
        <v>1000</v>
      </c>
      <c r="E290" s="1760"/>
      <c r="F290" s="1761"/>
      <c r="G290" s="1898" t="s">
        <v>158</v>
      </c>
      <c r="H290" s="1899">
        <f>H281+H282</f>
        <v>10.285958088585488</v>
      </c>
      <c r="I290" s="1855" t="s">
        <v>821</v>
      </c>
    </row>
    <row r="291" spans="1:9" ht="15" hidden="1" customHeight="1" x14ac:dyDescent="0.25">
      <c r="A291" s="19"/>
      <c r="B291" s="248" t="s">
        <v>123</v>
      </c>
      <c r="C291" s="267">
        <v>241.12</v>
      </c>
      <c r="D291" s="267"/>
      <c r="E291" s="1694"/>
      <c r="F291" s="1695"/>
      <c r="G291" s="1696"/>
      <c r="H291" s="1697"/>
      <c r="I291" s="1900"/>
    </row>
    <row r="292" spans="1:9" ht="15.75" thickBot="1" x14ac:dyDescent="0.3">
      <c r="A292" s="1901"/>
    </row>
    <row r="293" spans="1:9" ht="15.75" thickBot="1" x14ac:dyDescent="0.3">
      <c r="A293" s="1902"/>
      <c r="B293" s="1903" t="s">
        <v>1046</v>
      </c>
      <c r="C293" s="2221" t="s">
        <v>1047</v>
      </c>
      <c r="D293" s="2222"/>
      <c r="E293" s="2221" t="s">
        <v>1048</v>
      </c>
      <c r="F293" s="2223"/>
      <c r="G293" s="2223"/>
      <c r="H293" s="2223"/>
      <c r="I293" s="2222"/>
    </row>
    <row r="294" spans="1:9" x14ac:dyDescent="0.25">
      <c r="A294" s="1902"/>
      <c r="B294" s="1905"/>
      <c r="C294" s="1906"/>
      <c r="D294" s="1907"/>
      <c r="E294" s="1908"/>
      <c r="F294" s="1909"/>
      <c r="G294" s="1908"/>
      <c r="H294" s="1905"/>
      <c r="I294" s="1905"/>
    </row>
    <row r="295" spans="1:9" x14ac:dyDescent="0.25">
      <c r="A295" s="1902"/>
      <c r="B295" s="1909"/>
      <c r="C295" s="1910"/>
      <c r="D295" s="1908"/>
      <c r="E295" s="1908"/>
      <c r="F295" s="1909"/>
      <c r="G295" s="1908"/>
      <c r="H295" s="1909"/>
      <c r="I295" s="1909"/>
    </row>
    <row r="296" spans="1:9" x14ac:dyDescent="0.25">
      <c r="A296" s="1902"/>
      <c r="B296" s="1909"/>
      <c r="C296" s="1910"/>
      <c r="D296" s="1908"/>
      <c r="E296" s="1908"/>
      <c r="F296" s="1909"/>
      <c r="G296" s="1908"/>
      <c r="H296" s="1909"/>
      <c r="I296" s="1909"/>
    </row>
    <row r="297" spans="1:9" x14ac:dyDescent="0.25">
      <c r="A297" s="1902"/>
      <c r="B297" s="1909"/>
      <c r="C297" s="1910"/>
      <c r="D297" s="1908"/>
      <c r="E297" s="1908"/>
      <c r="F297" s="1909"/>
      <c r="G297" s="1908"/>
      <c r="H297" s="1909"/>
      <c r="I297" s="1909"/>
    </row>
    <row r="298" spans="1:9" ht="15.75" thickBot="1" x14ac:dyDescent="0.3">
      <c r="A298" s="1902"/>
      <c r="B298" s="1911"/>
      <c r="C298" s="1912"/>
      <c r="D298" s="1913"/>
      <c r="E298" s="1913"/>
      <c r="F298" s="1911"/>
      <c r="G298" s="1913"/>
      <c r="H298" s="1909"/>
      <c r="I298" s="1909"/>
    </row>
    <row r="299" spans="1:9" ht="15.75" thickBot="1" x14ac:dyDescent="0.3">
      <c r="A299" s="1902"/>
      <c r="B299" s="1903" t="s">
        <v>1049</v>
      </c>
      <c r="C299" s="2221" t="s">
        <v>1050</v>
      </c>
      <c r="D299" s="2222"/>
      <c r="E299" s="1914" t="s">
        <v>1051</v>
      </c>
      <c r="F299" s="1915" t="s">
        <v>1052</v>
      </c>
      <c r="G299" s="1904" t="s">
        <v>1053</v>
      </c>
      <c r="H299" s="1903" t="s">
        <v>1054</v>
      </c>
      <c r="I299" s="1903" t="s">
        <v>1055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234" t="s">
        <v>913</v>
      </c>
      <c r="B1" s="2234"/>
      <c r="C1" s="2234"/>
      <c r="D1" s="2234"/>
      <c r="E1" s="2234"/>
      <c r="F1" s="2234"/>
      <c r="G1" s="2234"/>
      <c r="H1" s="2234"/>
    </row>
    <row r="2" spans="1:8" ht="14.85" customHeight="1" x14ac:dyDescent="0.25">
      <c r="A2" s="2184" t="s">
        <v>99</v>
      </c>
      <c r="B2" s="2188" t="s">
        <v>100</v>
      </c>
      <c r="C2" s="2186" t="s">
        <v>990</v>
      </c>
      <c r="D2" s="2186" t="s">
        <v>974</v>
      </c>
      <c r="E2" s="2235" t="s">
        <v>954</v>
      </c>
      <c r="F2" s="2235"/>
      <c r="G2" s="2235"/>
      <c r="H2" s="2236"/>
    </row>
    <row r="3" spans="1:8" ht="15.75" thickBot="1" x14ac:dyDescent="0.3">
      <c r="A3" s="2211"/>
      <c r="B3" s="2212"/>
      <c r="C3" s="2210"/>
      <c r="D3" s="2210"/>
      <c r="E3" s="2237"/>
      <c r="F3" s="2237"/>
      <c r="G3" s="2237"/>
      <c r="H3" s="2238"/>
    </row>
    <row r="4" spans="1:8" ht="15.75" thickBot="1" x14ac:dyDescent="0.3">
      <c r="A4" s="1806">
        <v>1</v>
      </c>
      <c r="B4" s="1667" t="s">
        <v>85</v>
      </c>
      <c r="C4" s="1668"/>
      <c r="D4" s="1668"/>
      <c r="E4" s="1669" t="s">
        <v>911</v>
      </c>
      <c r="F4" s="1669" t="s">
        <v>912</v>
      </c>
      <c r="G4" s="1670" t="s">
        <v>188</v>
      </c>
      <c r="H4" s="1671" t="s">
        <v>982</v>
      </c>
    </row>
    <row r="5" spans="1:8" x14ac:dyDescent="0.25">
      <c r="A5" s="8"/>
      <c r="B5" s="1666" t="s">
        <v>16</v>
      </c>
      <c r="C5" s="251"/>
      <c r="D5" s="251"/>
      <c r="E5" s="33"/>
      <c r="F5" s="1698"/>
      <c r="G5" s="1698"/>
      <c r="H5" s="1698"/>
    </row>
    <row r="6" spans="1:8" ht="14.85" hidden="1" customHeight="1" x14ac:dyDescent="0.25">
      <c r="A6" s="8"/>
      <c r="B6" s="11" t="s">
        <v>84</v>
      </c>
      <c r="C6" s="251"/>
      <c r="D6" s="251"/>
      <c r="E6" s="33"/>
    </row>
    <row r="7" spans="1:8" ht="14.85" hidden="1" customHeight="1" x14ac:dyDescent="0.25">
      <c r="A7" s="8"/>
      <c r="B7" s="71" t="s">
        <v>125</v>
      </c>
      <c r="C7" s="251"/>
      <c r="D7" s="251"/>
      <c r="E7" s="270"/>
    </row>
    <row r="8" spans="1:8" ht="14.85" hidden="1" customHeight="1" x14ac:dyDescent="0.25">
      <c r="A8" s="8"/>
      <c r="B8" s="11" t="s">
        <v>103</v>
      </c>
      <c r="C8" s="251"/>
      <c r="D8" s="251"/>
      <c r="E8" s="34"/>
    </row>
    <row r="9" spans="1:8" x14ac:dyDescent="0.25">
      <c r="A9" s="8"/>
      <c r="B9" s="1664" t="s">
        <v>96</v>
      </c>
      <c r="C9" s="1665">
        <v>2500</v>
      </c>
      <c r="D9" s="1665" t="s">
        <v>379</v>
      </c>
      <c r="E9" s="1514">
        <v>5880.74</v>
      </c>
      <c r="F9" s="1514">
        <v>8383.74</v>
      </c>
      <c r="G9" s="245">
        <f>F9-E9</f>
        <v>2503</v>
      </c>
      <c r="H9" s="1866">
        <f>G9/2500000*100000</f>
        <v>100.12</v>
      </c>
    </row>
    <row r="10" spans="1:8" ht="14.85" hidden="1" customHeight="1" x14ac:dyDescent="0.25">
      <c r="A10" s="8"/>
      <c r="B10" s="944" t="s">
        <v>377</v>
      </c>
      <c r="C10" s="945"/>
      <c r="D10" s="945"/>
      <c r="E10" s="946"/>
      <c r="H10" s="1675"/>
    </row>
    <row r="11" spans="1:8" ht="14.85" hidden="1" customHeight="1" x14ac:dyDescent="0.25">
      <c r="A11" s="8"/>
      <c r="B11" s="21" t="s">
        <v>97</v>
      </c>
      <c r="C11" s="234">
        <v>29045000</v>
      </c>
      <c r="D11" s="234"/>
      <c r="E11" s="33"/>
      <c r="H11" s="1675"/>
    </row>
    <row r="12" spans="1:8" ht="14.85" hidden="1" customHeight="1" x14ac:dyDescent="0.25">
      <c r="A12" s="8"/>
      <c r="B12" s="21" t="s">
        <v>98</v>
      </c>
      <c r="C12" s="234">
        <v>7314000</v>
      </c>
      <c r="D12" s="234"/>
      <c r="E12" s="33">
        <f>E43+E52+E57</f>
        <v>0</v>
      </c>
      <c r="H12" s="1675"/>
    </row>
    <row r="13" spans="1:8" x14ac:dyDescent="0.25">
      <c r="A13" s="8"/>
      <c r="B13" s="14" t="s">
        <v>82</v>
      </c>
      <c r="C13" s="252">
        <v>5</v>
      </c>
      <c r="D13" s="252" t="s">
        <v>25</v>
      </c>
      <c r="E13" s="1672"/>
      <c r="F13" s="1657"/>
      <c r="G13" s="1656">
        <v>3.97</v>
      </c>
      <c r="H13" s="750"/>
    </row>
    <row r="14" spans="1:8" x14ac:dyDescent="0.25">
      <c r="A14" s="8"/>
      <c r="B14" s="14" t="s">
        <v>81</v>
      </c>
      <c r="C14" s="252">
        <v>0.5</v>
      </c>
      <c r="D14" s="252" t="s">
        <v>25</v>
      </c>
      <c r="E14" s="1672"/>
      <c r="F14" s="1657"/>
      <c r="G14" s="1656">
        <v>0.4</v>
      </c>
      <c r="H14" s="750"/>
    </row>
    <row r="15" spans="1:8" x14ac:dyDescent="0.25">
      <c r="A15" s="8"/>
      <c r="B15" s="14" t="s">
        <v>80</v>
      </c>
      <c r="C15" s="253">
        <v>2.2000000000000002</v>
      </c>
      <c r="D15" s="252" t="s">
        <v>975</v>
      </c>
      <c r="E15" s="1672"/>
      <c r="F15" s="1657"/>
      <c r="G15" s="1656">
        <v>2.42</v>
      </c>
      <c r="H15" s="750"/>
    </row>
    <row r="16" spans="1:8" x14ac:dyDescent="0.25">
      <c r="A16" s="8"/>
      <c r="B16" s="235" t="s">
        <v>907</v>
      </c>
      <c r="C16" s="1661"/>
      <c r="D16" s="1661"/>
      <c r="E16" s="1673"/>
      <c r="F16" s="1662"/>
      <c r="G16" s="1663">
        <v>105</v>
      </c>
      <c r="H16" s="1676"/>
    </row>
    <row r="17" spans="1:8" x14ac:dyDescent="0.25">
      <c r="A17" s="8"/>
      <c r="B17" s="1653" t="s">
        <v>78</v>
      </c>
      <c r="C17" s="1654"/>
      <c r="D17" s="1654"/>
      <c r="E17" s="272"/>
      <c r="F17" s="1674"/>
      <c r="G17" s="1655"/>
      <c r="H17" s="1674"/>
    </row>
    <row r="18" spans="1:8" x14ac:dyDescent="0.25">
      <c r="A18" s="8"/>
      <c r="B18" s="827" t="s">
        <v>358</v>
      </c>
      <c r="C18" s="254"/>
      <c r="D18" s="254"/>
      <c r="E18" s="33"/>
      <c r="F18" s="750"/>
      <c r="H18" s="750"/>
    </row>
    <row r="19" spans="1:8" x14ac:dyDescent="0.25">
      <c r="A19" s="15"/>
      <c r="B19" s="64" t="s">
        <v>193</v>
      </c>
      <c r="C19" s="1665">
        <f>C9*94.2%</f>
        <v>2355</v>
      </c>
      <c r="D19" s="1665" t="s">
        <v>379</v>
      </c>
      <c r="E19" s="1652">
        <v>5143.38</v>
      </c>
      <c r="F19" s="1652">
        <v>7493.18</v>
      </c>
      <c r="G19" s="1652">
        <f>F19-E19</f>
        <v>2349.8000000000002</v>
      </c>
      <c r="H19" s="1705">
        <f>G19/G9*100</f>
        <v>93.879344786256496</v>
      </c>
    </row>
    <row r="20" spans="1:8" x14ac:dyDescent="0.25">
      <c r="A20" s="8"/>
      <c r="B20" s="14" t="s">
        <v>82</v>
      </c>
      <c r="C20" s="252">
        <v>0.05</v>
      </c>
      <c r="D20" s="252" t="s">
        <v>25</v>
      </c>
      <c r="E20" s="1672"/>
      <c r="F20" s="1657"/>
      <c r="G20" s="1757">
        <v>4.2999999999999997E-2</v>
      </c>
      <c r="H20" s="750"/>
    </row>
    <row r="21" spans="1:8" x14ac:dyDescent="0.25">
      <c r="A21" s="8"/>
      <c r="B21" s="14" t="s">
        <v>81</v>
      </c>
      <c r="C21" s="252">
        <v>0.03</v>
      </c>
      <c r="D21" s="252" t="s">
        <v>25</v>
      </c>
      <c r="E21" s="1672"/>
      <c r="F21" s="1657"/>
      <c r="G21" s="1706">
        <v>0.04</v>
      </c>
      <c r="H21" s="750"/>
    </row>
    <row r="22" spans="1:8" x14ac:dyDescent="0.25">
      <c r="A22" s="8"/>
      <c r="B22" s="14" t="s">
        <v>916</v>
      </c>
      <c r="C22" s="253">
        <v>2.5</v>
      </c>
      <c r="D22" s="252" t="s">
        <v>25</v>
      </c>
      <c r="E22" s="1672"/>
      <c r="F22" s="1657"/>
      <c r="G22" s="1706">
        <v>2.5</v>
      </c>
      <c r="H22" s="750"/>
    </row>
    <row r="23" spans="1:8" x14ac:dyDescent="0.25">
      <c r="A23" s="8"/>
      <c r="B23" s="14" t="s">
        <v>922</v>
      </c>
      <c r="C23" s="1707">
        <v>60</v>
      </c>
      <c r="D23" s="234" t="s">
        <v>976</v>
      </c>
      <c r="E23" s="1672"/>
      <c r="F23" s="1657"/>
      <c r="G23" s="1699"/>
      <c r="H23" s="1675"/>
    </row>
    <row r="24" spans="1:8" x14ac:dyDescent="0.25">
      <c r="A24" s="8"/>
      <c r="B24" s="14" t="s">
        <v>923</v>
      </c>
      <c r="C24" s="253" t="s">
        <v>924</v>
      </c>
      <c r="D24" s="253"/>
      <c r="E24" s="1672"/>
      <c r="F24" s="1657"/>
      <c r="G24" s="1699"/>
      <c r="H24" s="1675"/>
    </row>
    <row r="25" spans="1:8" x14ac:dyDescent="0.25">
      <c r="A25" s="8"/>
      <c r="B25" s="14" t="s">
        <v>925</v>
      </c>
      <c r="C25" s="1707">
        <v>50</v>
      </c>
      <c r="D25" s="1707" t="s">
        <v>996</v>
      </c>
      <c r="E25" s="1672"/>
      <c r="F25" s="1657"/>
      <c r="G25" s="1699"/>
      <c r="H25" s="1675"/>
    </row>
    <row r="26" spans="1:8" x14ac:dyDescent="0.25">
      <c r="A26" s="15"/>
      <c r="B26" s="64" t="s">
        <v>64</v>
      </c>
      <c r="C26" s="1665">
        <f>C9*5%</f>
        <v>125</v>
      </c>
      <c r="D26" s="1665" t="s">
        <v>379</v>
      </c>
      <c r="E26" s="1652">
        <v>243.04</v>
      </c>
      <c r="F26" s="1652">
        <v>347.1</v>
      </c>
      <c r="G26" s="1652">
        <f>F26-E26</f>
        <v>104.06000000000003</v>
      </c>
      <c r="H26" s="1705">
        <f>G26/G9*100</f>
        <v>4.1574111066719945</v>
      </c>
    </row>
    <row r="27" spans="1:8" ht="14.85" hidden="1" customHeight="1" x14ac:dyDescent="0.25">
      <c r="A27" s="15"/>
      <c r="B27" s="715" t="s">
        <v>351</v>
      </c>
      <c r="C27" s="740"/>
      <c r="D27" s="234"/>
      <c r="E27" s="33"/>
      <c r="H27" s="1675"/>
    </row>
    <row r="28" spans="1:8" ht="14.85" hidden="1" customHeight="1" x14ac:dyDescent="0.25">
      <c r="A28" s="8"/>
      <c r="B28" s="11" t="s">
        <v>84</v>
      </c>
      <c r="C28" s="251"/>
      <c r="D28" s="251"/>
      <c r="E28" s="33"/>
      <c r="H28" s="1675"/>
    </row>
    <row r="29" spans="1:8" ht="14.85" hidden="1" customHeight="1" x14ac:dyDescent="0.25">
      <c r="A29" s="8"/>
      <c r="B29" s="11" t="s">
        <v>355</v>
      </c>
      <c r="C29" s="251"/>
      <c r="D29" s="251"/>
      <c r="E29" s="33">
        <v>0</v>
      </c>
      <c r="H29" s="1675"/>
    </row>
    <row r="30" spans="1:8" ht="14.85" hidden="1" customHeight="1" x14ac:dyDescent="0.25">
      <c r="A30" s="15"/>
      <c r="B30" s="64" t="s">
        <v>354</v>
      </c>
      <c r="C30" s="234"/>
      <c r="D30" s="234"/>
      <c r="E30" s="270">
        <v>392100</v>
      </c>
      <c r="H30" s="1675"/>
    </row>
    <row r="31" spans="1:8" ht="14.85" hidden="1" customHeight="1" x14ac:dyDescent="0.25">
      <c r="A31" s="15"/>
      <c r="B31" s="944" t="s">
        <v>376</v>
      </c>
      <c r="C31" s="945"/>
      <c r="D31" s="945"/>
      <c r="E31" s="946"/>
      <c r="H31" s="1675"/>
    </row>
    <row r="32" spans="1:8" ht="14.85" hidden="1" customHeight="1" x14ac:dyDescent="0.25">
      <c r="A32" s="15"/>
      <c r="B32" s="14" t="s">
        <v>353</v>
      </c>
      <c r="C32" s="739"/>
      <c r="D32" s="739"/>
      <c r="E32" s="33">
        <f>SUM(E35,E39,E44,E48,E58)</f>
        <v>0</v>
      </c>
      <c r="H32" s="1675"/>
    </row>
    <row r="33" spans="1:8" ht="14.85" hidden="1" customHeight="1" x14ac:dyDescent="0.25">
      <c r="A33" s="15"/>
      <c r="B33" s="14" t="s">
        <v>352</v>
      </c>
      <c r="C33" s="741"/>
      <c r="D33" s="739"/>
      <c r="E33" s="33">
        <f>E30-E32</f>
        <v>392100</v>
      </c>
      <c r="H33" s="1675"/>
    </row>
    <row r="34" spans="1:8" ht="14.85" hidden="1" customHeight="1" x14ac:dyDescent="0.25">
      <c r="A34" s="15"/>
      <c r="B34" s="230" t="s">
        <v>76</v>
      </c>
      <c r="C34" s="231"/>
      <c r="D34" s="231"/>
      <c r="E34" s="94"/>
      <c r="H34" s="1675"/>
    </row>
    <row r="35" spans="1:8" ht="14.85" hidden="1" customHeight="1" x14ac:dyDescent="0.25">
      <c r="A35" s="15"/>
      <c r="B35" s="14" t="s">
        <v>75</v>
      </c>
      <c r="C35" s="255"/>
      <c r="D35" s="255"/>
      <c r="E35" s="33">
        <f>E36+E37</f>
        <v>0</v>
      </c>
      <c r="H35" s="1675"/>
    </row>
    <row r="36" spans="1:8" ht="14.85" hidden="1" customHeight="1" x14ac:dyDescent="0.25">
      <c r="A36" s="15"/>
      <c r="B36" s="64" t="s">
        <v>74</v>
      </c>
      <c r="C36" s="255"/>
      <c r="D36" s="255"/>
      <c r="E36" s="270">
        <v>0</v>
      </c>
      <c r="H36" s="1675"/>
    </row>
    <row r="37" spans="1:8" ht="14.85" hidden="1" customHeight="1" x14ac:dyDescent="0.25">
      <c r="A37" s="15"/>
      <c r="B37" s="64" t="s">
        <v>73</v>
      </c>
      <c r="C37" s="255"/>
      <c r="D37" s="255"/>
      <c r="E37" s="271">
        <v>0</v>
      </c>
      <c r="H37" s="1675"/>
    </row>
    <row r="38" spans="1:8" ht="14.85" hidden="1" customHeight="1" x14ac:dyDescent="0.25">
      <c r="A38" s="68"/>
      <c r="B38" s="230" t="s">
        <v>104</v>
      </c>
      <c r="C38" s="305"/>
      <c r="D38" s="1800"/>
      <c r="E38" s="272"/>
      <c r="H38" s="1675"/>
    </row>
    <row r="39" spans="1:8" ht="14.85" hidden="1" customHeight="1" x14ac:dyDescent="0.25">
      <c r="A39" s="15"/>
      <c r="B39" s="14" t="s">
        <v>75</v>
      </c>
      <c r="C39" s="255"/>
      <c r="D39" s="255"/>
      <c r="E39" s="33">
        <f>E40+E41</f>
        <v>0</v>
      </c>
      <c r="H39" s="1675"/>
    </row>
    <row r="40" spans="1:8" ht="14.85" hidden="1" customHeight="1" x14ac:dyDescent="0.25">
      <c r="A40" s="15"/>
      <c r="B40" s="64" t="s">
        <v>105</v>
      </c>
      <c r="C40" s="255"/>
      <c r="D40" s="255"/>
      <c r="E40" s="270">
        <v>0</v>
      </c>
      <c r="H40" s="1675"/>
    </row>
    <row r="41" spans="1:8" ht="14.85" hidden="1" customHeight="1" x14ac:dyDescent="0.25">
      <c r="A41" s="15"/>
      <c r="B41" s="64" t="s">
        <v>73</v>
      </c>
      <c r="C41" s="255"/>
      <c r="D41" s="255"/>
      <c r="E41" s="270">
        <v>0</v>
      </c>
      <c r="H41" s="1675"/>
    </row>
    <row r="42" spans="1:8" ht="14.85" hidden="1" customHeight="1" x14ac:dyDescent="0.25">
      <c r="A42" s="15"/>
      <c r="B42" s="230" t="s">
        <v>107</v>
      </c>
      <c r="C42" s="233"/>
      <c r="D42" s="233"/>
      <c r="E42" s="94"/>
      <c r="H42" s="1675"/>
    </row>
    <row r="43" spans="1:8" ht="14.85" hidden="1" customHeight="1" x14ac:dyDescent="0.25">
      <c r="A43" s="17"/>
      <c r="B43" s="11" t="s">
        <v>71</v>
      </c>
      <c r="C43" s="256"/>
      <c r="D43" s="256"/>
      <c r="E43" s="33"/>
      <c r="H43" s="1675"/>
    </row>
    <row r="44" spans="1:8" ht="14.85" hidden="1" customHeight="1" x14ac:dyDescent="0.25">
      <c r="A44" s="15"/>
      <c r="B44" s="14" t="s">
        <v>70</v>
      </c>
      <c r="C44" s="255"/>
      <c r="D44" s="255"/>
      <c r="E44" s="33">
        <f>E45+E46</f>
        <v>0</v>
      </c>
      <c r="H44" s="1675"/>
    </row>
    <row r="45" spans="1:8" ht="14.85" hidden="1" customHeight="1" x14ac:dyDescent="0.25">
      <c r="A45" s="15"/>
      <c r="B45" s="64" t="s">
        <v>109</v>
      </c>
      <c r="C45" s="255"/>
      <c r="D45" s="255"/>
      <c r="E45" s="270">
        <v>0</v>
      </c>
      <c r="H45" s="1675"/>
    </row>
    <row r="46" spans="1:8" ht="14.85" hidden="1" customHeight="1" x14ac:dyDescent="0.25">
      <c r="A46" s="15"/>
      <c r="B46" s="55" t="s">
        <v>73</v>
      </c>
      <c r="C46" s="255"/>
      <c r="D46" s="255"/>
      <c r="E46" s="271">
        <v>0</v>
      </c>
      <c r="H46" s="1675"/>
    </row>
    <row r="47" spans="1:8" ht="14.85" hidden="1" customHeight="1" x14ac:dyDescent="0.25">
      <c r="A47" s="68"/>
      <c r="B47" s="230" t="s">
        <v>110</v>
      </c>
      <c r="C47" s="305"/>
      <c r="D47" s="305"/>
      <c r="E47" s="94"/>
      <c r="H47" s="1675"/>
    </row>
    <row r="48" spans="1:8" ht="14.85" hidden="1" customHeight="1" x14ac:dyDescent="0.25">
      <c r="A48" s="15"/>
      <c r="B48" s="14" t="s">
        <v>75</v>
      </c>
      <c r="C48" s="229">
        <f>C49+C50</f>
        <v>21429000</v>
      </c>
      <c r="D48" s="229"/>
      <c r="E48" s="33">
        <f>E49+E50</f>
        <v>0</v>
      </c>
      <c r="H48" s="1675"/>
    </row>
    <row r="49" spans="1:8" ht="14.85" hidden="1" customHeight="1" x14ac:dyDescent="0.25">
      <c r="A49" s="15"/>
      <c r="B49" s="64" t="s">
        <v>112</v>
      </c>
      <c r="C49" s="67">
        <v>15000000</v>
      </c>
      <c r="D49" s="67"/>
      <c r="E49" s="270"/>
      <c r="H49" s="1675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71"/>
      <c r="H50" s="1675"/>
    </row>
    <row r="51" spans="1:8" ht="14.85" hidden="1" customHeight="1" x14ac:dyDescent="0.25">
      <c r="A51" s="68"/>
      <c r="B51" s="230" t="s">
        <v>818</v>
      </c>
      <c r="C51" s="305"/>
      <c r="D51" s="1800"/>
      <c r="E51" s="272"/>
      <c r="H51" s="1675"/>
    </row>
    <row r="52" spans="1:8" ht="14.85" hidden="1" customHeight="1" x14ac:dyDescent="0.25">
      <c r="A52" s="17"/>
      <c r="B52" s="11" t="s">
        <v>71</v>
      </c>
      <c r="C52" s="256"/>
      <c r="D52" s="256"/>
      <c r="E52" s="33"/>
      <c r="H52" s="1675"/>
    </row>
    <row r="53" spans="1:8" ht="14.85" hidden="1" customHeight="1" x14ac:dyDescent="0.25">
      <c r="A53" s="15"/>
      <c r="B53" s="14" t="s">
        <v>75</v>
      </c>
      <c r="C53" s="229">
        <f>C54+C55</f>
        <v>21429000</v>
      </c>
      <c r="D53" s="229"/>
      <c r="E53" s="33">
        <f>E54+E55</f>
        <v>0</v>
      </c>
      <c r="H53" s="1675"/>
    </row>
    <row r="54" spans="1:8" ht="14.85" hidden="1" customHeight="1" x14ac:dyDescent="0.25">
      <c r="A54" s="15"/>
      <c r="B54" s="64" t="s">
        <v>112</v>
      </c>
      <c r="C54" s="67">
        <v>15000000</v>
      </c>
      <c r="D54" s="67"/>
      <c r="E54" s="270">
        <v>0</v>
      </c>
      <c r="H54" s="1675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70">
        <v>0</v>
      </c>
      <c r="H55" s="1675"/>
    </row>
    <row r="56" spans="1:8" ht="14.85" hidden="1" customHeight="1" x14ac:dyDescent="0.25">
      <c r="A56" s="15"/>
      <c r="B56" s="230" t="s">
        <v>72</v>
      </c>
      <c r="C56" s="233"/>
      <c r="D56" s="233"/>
      <c r="E56" s="94"/>
      <c r="H56" s="1675"/>
    </row>
    <row r="57" spans="1:8" ht="14.85" hidden="1" customHeight="1" x14ac:dyDescent="0.25">
      <c r="A57" s="17"/>
      <c r="B57" s="11" t="s">
        <v>71</v>
      </c>
      <c r="C57" s="256"/>
      <c r="D57" s="256"/>
      <c r="E57" s="33"/>
      <c r="H57" s="1675"/>
    </row>
    <row r="58" spans="1:8" ht="14.85" hidden="1" customHeight="1" x14ac:dyDescent="0.25">
      <c r="A58" s="15"/>
      <c r="B58" s="14" t="s">
        <v>70</v>
      </c>
      <c r="C58" s="255"/>
      <c r="D58" s="255"/>
      <c r="E58" s="33">
        <f>E60+E61</f>
        <v>0</v>
      </c>
      <c r="H58" s="1675"/>
    </row>
    <row r="59" spans="1:8" ht="14.85" hidden="1" customHeight="1" x14ac:dyDescent="0.25">
      <c r="A59" s="15"/>
      <c r="B59" s="64" t="s">
        <v>69</v>
      </c>
      <c r="C59" s="255"/>
      <c r="D59" s="255"/>
      <c r="E59" s="270">
        <v>0</v>
      </c>
      <c r="H59" s="1675"/>
    </row>
    <row r="60" spans="1:8" ht="14.85" hidden="1" customHeight="1" x14ac:dyDescent="0.25">
      <c r="A60" s="15"/>
      <c r="B60" s="64" t="s">
        <v>68</v>
      </c>
      <c r="C60" s="255"/>
      <c r="D60" s="255"/>
      <c r="E60" s="270">
        <v>0</v>
      </c>
      <c r="H60" s="1675"/>
    </row>
    <row r="61" spans="1:8" ht="14.85" hidden="1" customHeight="1" x14ac:dyDescent="0.25">
      <c r="A61" s="15"/>
      <c r="B61" s="64" t="s">
        <v>67</v>
      </c>
      <c r="C61" s="255"/>
      <c r="D61" s="255"/>
      <c r="E61" s="270">
        <v>0</v>
      </c>
      <c r="H61" s="1675"/>
    </row>
    <row r="62" spans="1:8" ht="14.85" hidden="1" customHeight="1" x14ac:dyDescent="0.25">
      <c r="A62" s="15"/>
      <c r="B62" s="74" t="s">
        <v>113</v>
      </c>
      <c r="C62" s="255"/>
      <c r="D62" s="255"/>
      <c r="E62" s="273">
        <v>0</v>
      </c>
      <c r="H62" s="1675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75"/>
    </row>
    <row r="64" spans="1:8" ht="14.85" hidden="1" customHeight="1" x14ac:dyDescent="0.25">
      <c r="A64" s="15"/>
      <c r="B64" s="74" t="s">
        <v>65</v>
      </c>
      <c r="C64" s="1572">
        <v>94.2</v>
      </c>
      <c r="D64" s="1572"/>
      <c r="E64" s="274">
        <f>(E19/(E9))*100</f>
        <v>87.461441927376498</v>
      </c>
      <c r="H64" s="1675"/>
    </row>
    <row r="65" spans="1:8" ht="14.85" hidden="1" customHeight="1" x14ac:dyDescent="0.25">
      <c r="A65" s="15"/>
      <c r="B65" s="74" t="s">
        <v>64</v>
      </c>
      <c r="C65" s="126">
        <v>5</v>
      </c>
      <c r="D65" s="126"/>
      <c r="E65" s="274">
        <f>(E26/(E9))*100</f>
        <v>4.1328132173842071</v>
      </c>
      <c r="H65" s="1675"/>
    </row>
    <row r="66" spans="1:8" ht="14.85" hidden="1" customHeight="1" x14ac:dyDescent="0.25">
      <c r="A66" s="15"/>
      <c r="B66" s="74" t="s">
        <v>63</v>
      </c>
      <c r="C66" s="126">
        <v>82</v>
      </c>
      <c r="D66" s="126"/>
      <c r="E66" s="274" t="e">
        <f>E36/(E36+E37)*100</f>
        <v>#DIV/0!</v>
      </c>
      <c r="H66" s="1675"/>
    </row>
    <row r="67" spans="1:8" ht="14.85" hidden="1" customHeight="1" x14ac:dyDescent="0.25">
      <c r="A67" s="15"/>
      <c r="B67" s="74" t="s">
        <v>62</v>
      </c>
      <c r="C67" s="126">
        <v>18</v>
      </c>
      <c r="D67" s="126"/>
      <c r="E67" s="274" t="e">
        <f>(E37/E35)*100</f>
        <v>#DIV/0!</v>
      </c>
      <c r="H67" s="1675"/>
    </row>
    <row r="68" spans="1:8" ht="14.85" hidden="1" customHeight="1" x14ac:dyDescent="0.25">
      <c r="A68" s="15"/>
      <c r="B68" s="74" t="s">
        <v>106</v>
      </c>
      <c r="C68" s="126">
        <v>75</v>
      </c>
      <c r="D68" s="126"/>
      <c r="E68" s="274" t="e">
        <f>(E40/E39)*100</f>
        <v>#DIV/0!</v>
      </c>
      <c r="H68" s="1675"/>
    </row>
    <row r="69" spans="1:8" ht="14.85" hidden="1" customHeight="1" x14ac:dyDescent="0.25">
      <c r="A69" s="15"/>
      <c r="B69" s="74" t="s">
        <v>62</v>
      </c>
      <c r="C69" s="126">
        <v>25</v>
      </c>
      <c r="D69" s="126"/>
      <c r="E69" s="274" t="e">
        <f>(E41/E39)*100</f>
        <v>#DIV/0!</v>
      </c>
      <c r="H69" s="1675"/>
    </row>
    <row r="70" spans="1:8" ht="14.85" hidden="1" customHeight="1" x14ac:dyDescent="0.25">
      <c r="A70" s="15"/>
      <c r="B70" s="74" t="s">
        <v>108</v>
      </c>
      <c r="C70" s="126">
        <v>75</v>
      </c>
      <c r="D70" s="126"/>
      <c r="E70" s="274" t="e">
        <f>E45/E44*100</f>
        <v>#DIV/0!</v>
      </c>
      <c r="H70" s="1675"/>
    </row>
    <row r="71" spans="1:8" ht="14.85" hidden="1" customHeight="1" x14ac:dyDescent="0.25">
      <c r="A71" s="15"/>
      <c r="B71" s="74" t="s">
        <v>62</v>
      </c>
      <c r="C71" s="126">
        <v>25</v>
      </c>
      <c r="D71" s="126"/>
      <c r="E71" s="274" t="e">
        <f>E46/E44*100</f>
        <v>#DIV/0!</v>
      </c>
      <c r="H71" s="1675"/>
    </row>
    <row r="72" spans="1:8" ht="14.85" hidden="1" customHeight="1" x14ac:dyDescent="0.25">
      <c r="A72" s="15"/>
      <c r="B72" s="74" t="s">
        <v>111</v>
      </c>
      <c r="C72" s="126">
        <v>70</v>
      </c>
      <c r="D72" s="126"/>
      <c r="E72" s="274" t="e">
        <f>E49/(E49+E50)*100</f>
        <v>#DIV/0!</v>
      </c>
      <c r="H72" s="1675"/>
    </row>
    <row r="73" spans="1:8" ht="14.85" hidden="1" customHeight="1" x14ac:dyDescent="0.25">
      <c r="A73" s="15"/>
      <c r="B73" s="74" t="s">
        <v>62</v>
      </c>
      <c r="C73" s="126">
        <v>30</v>
      </c>
      <c r="D73" s="126"/>
      <c r="E73" s="274" t="e">
        <f>E50/(E50+E49)*100</f>
        <v>#DIV/0!</v>
      </c>
      <c r="H73" s="1675"/>
    </row>
    <row r="74" spans="1:8" ht="14.85" hidden="1" customHeight="1" x14ac:dyDescent="0.25">
      <c r="A74" s="15"/>
      <c r="B74" s="74" t="s">
        <v>819</v>
      </c>
      <c r="C74" s="126">
        <v>70</v>
      </c>
      <c r="D74" s="126"/>
      <c r="E74" s="274" t="e">
        <f>E54/(E54+E55)*100</f>
        <v>#DIV/0!</v>
      </c>
      <c r="H74" s="1675"/>
    </row>
    <row r="75" spans="1:8" ht="14.85" hidden="1" customHeight="1" x14ac:dyDescent="0.25">
      <c r="A75" s="15"/>
      <c r="B75" s="74" t="s">
        <v>62</v>
      </c>
      <c r="C75" s="126">
        <v>30</v>
      </c>
      <c r="D75" s="126"/>
      <c r="E75" s="274" t="e">
        <f>E55/(E54+E55)*100</f>
        <v>#DIV/0!</v>
      </c>
      <c r="H75" s="1675"/>
    </row>
    <row r="76" spans="1:8" ht="14.85" hidden="1" customHeight="1" x14ac:dyDescent="0.25">
      <c r="A76" s="15"/>
      <c r="B76" s="74" t="s">
        <v>61</v>
      </c>
      <c r="C76" s="126">
        <v>60</v>
      </c>
      <c r="D76" s="126"/>
      <c r="E76" s="274" t="e">
        <f>E59/E58*100</f>
        <v>#DIV/0!</v>
      </c>
      <c r="H76" s="1675"/>
    </row>
    <row r="77" spans="1:8" ht="15" hidden="1" customHeight="1" thickBot="1" x14ac:dyDescent="0.3">
      <c r="A77" s="19"/>
      <c r="B77" s="74" t="s">
        <v>60</v>
      </c>
      <c r="C77" s="126">
        <v>40</v>
      </c>
      <c r="D77" s="126"/>
      <c r="E77" s="274" t="e">
        <f>E61/E58*100</f>
        <v>#DIV/0!</v>
      </c>
      <c r="H77" s="1675"/>
    </row>
    <row r="78" spans="1:8" x14ac:dyDescent="0.25">
      <c r="A78" s="8"/>
      <c r="B78" s="14" t="s">
        <v>82</v>
      </c>
      <c r="C78" s="253" t="s">
        <v>977</v>
      </c>
      <c r="D78" s="252" t="s">
        <v>25</v>
      </c>
      <c r="E78" s="1672"/>
      <c r="F78" s="1657"/>
      <c r="G78" s="1656">
        <v>90.62</v>
      </c>
      <c r="H78" s="750"/>
    </row>
    <row r="79" spans="1:8" ht="15.75" thickBot="1" x14ac:dyDescent="0.3">
      <c r="A79" s="8"/>
      <c r="B79" s="14" t="s">
        <v>81</v>
      </c>
      <c r="C79" s="253">
        <v>0.5</v>
      </c>
      <c r="D79" s="252" t="s">
        <v>25</v>
      </c>
      <c r="E79" s="1672"/>
      <c r="F79" s="1657"/>
      <c r="G79" s="1656">
        <v>0.33</v>
      </c>
      <c r="H79" s="750"/>
    </row>
    <row r="80" spans="1:8" ht="15.75" thickBot="1" x14ac:dyDescent="0.3">
      <c r="A80" s="1806">
        <v>2</v>
      </c>
      <c r="B80" s="1804" t="s">
        <v>59</v>
      </c>
      <c r="C80" s="1670"/>
      <c r="D80" s="1670"/>
      <c r="E80" s="1669" t="s">
        <v>911</v>
      </c>
      <c r="F80" s="1669" t="s">
        <v>912</v>
      </c>
      <c r="G80" s="1670" t="s">
        <v>188</v>
      </c>
      <c r="H80" s="1671" t="s">
        <v>984</v>
      </c>
    </row>
    <row r="81" spans="1:8" x14ac:dyDescent="0.25">
      <c r="A81" s="8"/>
      <c r="B81" s="235" t="s">
        <v>58</v>
      </c>
      <c r="C81" s="252">
        <v>9</v>
      </c>
      <c r="D81" s="252" t="s">
        <v>86</v>
      </c>
      <c r="E81" s="270">
        <v>51223</v>
      </c>
      <c r="F81" s="270">
        <v>74245</v>
      </c>
      <c r="G81" s="270">
        <f>F81-E81</f>
        <v>23022</v>
      </c>
      <c r="H81" s="1705">
        <f>G81/G9/10</f>
        <v>0.91977626847782656</v>
      </c>
    </row>
    <row r="82" spans="1:8" ht="14.85" hidden="1" customHeight="1" x14ac:dyDescent="0.25">
      <c r="A82" s="15"/>
      <c r="B82" s="21"/>
      <c r="C82" s="254"/>
      <c r="D82" s="254"/>
      <c r="E82" s="276" t="e">
        <f>E81/(E11)*100</f>
        <v>#DIV/0!</v>
      </c>
      <c r="H82" s="1675"/>
    </row>
    <row r="83" spans="1:8" ht="14.85" hidden="1" customHeight="1" x14ac:dyDescent="0.25">
      <c r="A83" s="8"/>
      <c r="B83" s="237" t="s">
        <v>57</v>
      </c>
      <c r="C83" s="257">
        <v>18</v>
      </c>
      <c r="D83" s="257"/>
      <c r="E83" s="277">
        <v>0</v>
      </c>
      <c r="H83" s="1675"/>
    </row>
    <row r="84" spans="1:8" ht="14.85" hidden="1" customHeight="1" x14ac:dyDescent="0.25">
      <c r="A84" s="15"/>
      <c r="B84" s="22"/>
      <c r="C84" s="258"/>
      <c r="D84" s="258"/>
      <c r="E84" s="278" t="e">
        <f>E83/(E12)*100</f>
        <v>#DIV/0!</v>
      </c>
      <c r="H84" s="1675"/>
    </row>
    <row r="85" spans="1:8" x14ac:dyDescent="0.25">
      <c r="A85" s="15"/>
      <c r="B85" s="235" t="s">
        <v>55</v>
      </c>
      <c r="C85" s="253" t="s">
        <v>978</v>
      </c>
      <c r="D85" s="252" t="s">
        <v>86</v>
      </c>
      <c r="E85" s="271">
        <v>539.5</v>
      </c>
      <c r="F85" s="290">
        <v>1342.1</v>
      </c>
      <c r="G85" s="1681">
        <f>F85-E85</f>
        <v>802.59999999999991</v>
      </c>
      <c r="H85" s="1797">
        <f>G85/G9/10</f>
        <v>3.2065521374350772E-2</v>
      </c>
    </row>
    <row r="86" spans="1:8" ht="15" hidden="1" customHeight="1" thickBot="1" x14ac:dyDescent="0.3">
      <c r="A86" s="19"/>
      <c r="B86" s="24"/>
      <c r="C86" s="254"/>
      <c r="D86" s="254"/>
      <c r="E86" s="279"/>
      <c r="H86" s="1675"/>
    </row>
    <row r="87" spans="1:8" x14ac:dyDescent="0.25">
      <c r="A87" s="138">
        <v>3</v>
      </c>
      <c r="B87" s="239" t="s">
        <v>168</v>
      </c>
      <c r="C87" s="1802" t="s">
        <v>980</v>
      </c>
      <c r="D87" s="240" t="s">
        <v>25</v>
      </c>
      <c r="E87" s="280"/>
      <c r="F87" s="1655"/>
      <c r="G87" s="280">
        <f>((SUM(G19+G26))-(SUM(G9)))/(SUM(G9))*100</f>
        <v>-1.963244107071509</v>
      </c>
      <c r="H87" s="1677"/>
    </row>
    <row r="88" spans="1:8" x14ac:dyDescent="0.25">
      <c r="A88" s="138"/>
      <c r="B88" s="309"/>
      <c r="C88" s="310"/>
      <c r="D88" s="310"/>
      <c r="E88" s="312"/>
      <c r="G88" s="312">
        <f>G87%*G9</f>
        <v>-49.139999999999873</v>
      </c>
      <c r="H88" s="1675"/>
    </row>
    <row r="89" spans="1:8" x14ac:dyDescent="0.25">
      <c r="A89" s="68"/>
      <c r="B89" s="235" t="s">
        <v>54</v>
      </c>
      <c r="C89" s="1803" t="s">
        <v>979</v>
      </c>
      <c r="D89" s="1658" t="s">
        <v>25</v>
      </c>
      <c r="E89" s="281"/>
      <c r="F89" s="1659"/>
      <c r="G89" s="281">
        <v>21.66</v>
      </c>
      <c r="H89" s="1678"/>
    </row>
    <row r="90" spans="1:8" ht="15.75" thickBot="1" x14ac:dyDescent="0.3">
      <c r="A90" s="85"/>
      <c r="B90" s="86" t="s">
        <v>53</v>
      </c>
      <c r="C90" s="254"/>
      <c r="D90" s="254"/>
      <c r="E90" s="1682"/>
      <c r="F90" s="1683"/>
      <c r="G90" s="1682">
        <f>SUM(G81,G83)+(G89%*SUM(G81,G83))</f>
        <v>28008.565200000001</v>
      </c>
      <c r="H90" s="1684"/>
    </row>
    <row r="91" spans="1:8" ht="15" hidden="1" customHeight="1" thickBot="1" x14ac:dyDescent="0.3">
      <c r="A91" s="8">
        <v>4</v>
      </c>
      <c r="B91" s="47" t="s">
        <v>52</v>
      </c>
      <c r="C91" s="48"/>
      <c r="D91" s="1801"/>
      <c r="E91" s="272"/>
      <c r="H91" s="1675"/>
    </row>
    <row r="92" spans="1:8" ht="15" hidden="1" customHeight="1" thickBot="1" x14ac:dyDescent="0.3">
      <c r="A92" s="8"/>
      <c r="B92" s="26" t="s">
        <v>51</v>
      </c>
      <c r="C92" s="88"/>
      <c r="D92" s="88"/>
      <c r="E92" s="282"/>
      <c r="H92" s="1675"/>
    </row>
    <row r="93" spans="1:8" ht="15" hidden="1" customHeight="1" thickBot="1" x14ac:dyDescent="0.3">
      <c r="A93" s="15"/>
      <c r="B93" s="28" t="s">
        <v>46</v>
      </c>
      <c r="C93" s="90"/>
      <c r="D93" s="90"/>
      <c r="E93" s="283"/>
      <c r="H93" s="1675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75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75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75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75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75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75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75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75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75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4">
        <v>0</v>
      </c>
      <c r="H103" s="1675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75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75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75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75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75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75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75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75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75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75"/>
    </row>
    <row r="114" spans="1:8" ht="15" hidden="1" customHeight="1" thickBot="1" x14ac:dyDescent="0.3">
      <c r="A114" s="15"/>
      <c r="B114" s="14" t="s">
        <v>49</v>
      </c>
      <c r="C114" s="126">
        <v>0.3</v>
      </c>
      <c r="D114" s="126"/>
      <c r="E114" s="34" t="e">
        <v>#DIV/0!</v>
      </c>
      <c r="H114" s="1675"/>
    </row>
    <row r="115" spans="1:8" ht="15" hidden="1" customHeight="1" thickBot="1" x14ac:dyDescent="0.3">
      <c r="A115" s="15"/>
      <c r="B115" s="14" t="s">
        <v>48</v>
      </c>
      <c r="C115" s="126">
        <v>0.3</v>
      </c>
      <c r="D115" s="126"/>
      <c r="E115" s="34" t="e">
        <v>#DIV/0!</v>
      </c>
      <c r="H115" s="1675"/>
    </row>
    <row r="116" spans="1:8" ht="15" hidden="1" customHeight="1" thickBot="1" x14ac:dyDescent="0.3">
      <c r="A116" s="15"/>
      <c r="B116" s="30" t="s">
        <v>28</v>
      </c>
      <c r="C116" s="126"/>
      <c r="D116" s="126"/>
      <c r="E116" s="34"/>
      <c r="H116" s="1675"/>
    </row>
    <row r="117" spans="1:8" ht="15" hidden="1" customHeight="1" thickBot="1" x14ac:dyDescent="0.3">
      <c r="A117" s="15"/>
      <c r="B117" s="14" t="s">
        <v>49</v>
      </c>
      <c r="C117" s="126">
        <v>0.5</v>
      </c>
      <c r="D117" s="126"/>
      <c r="E117" s="34" t="e">
        <v>#DIV/0!</v>
      </c>
      <c r="H117" s="1675"/>
    </row>
    <row r="118" spans="1:8" ht="15" hidden="1" customHeight="1" thickBot="1" x14ac:dyDescent="0.3">
      <c r="A118" s="19"/>
      <c r="B118" s="14" t="s">
        <v>48</v>
      </c>
      <c r="C118" s="126">
        <v>0.5</v>
      </c>
      <c r="D118" s="126"/>
      <c r="E118" s="34" t="e">
        <v>#DIV/0!</v>
      </c>
      <c r="H118" s="1675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75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75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75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75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75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75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75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75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75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75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75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75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75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75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75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75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75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75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75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75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75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75"/>
    </row>
    <row r="141" spans="1:8" ht="15" hidden="1" customHeight="1" thickBot="1" x14ac:dyDescent="0.3">
      <c r="A141" s="15"/>
      <c r="B141" s="11" t="s">
        <v>45</v>
      </c>
      <c r="C141" s="126">
        <v>0.3</v>
      </c>
      <c r="D141" s="126"/>
      <c r="E141" s="34" t="e">
        <v>#DIV/0!</v>
      </c>
      <c r="H141" s="1675"/>
    </row>
    <row r="142" spans="1:8" ht="15" hidden="1" customHeight="1" thickBot="1" x14ac:dyDescent="0.3">
      <c r="A142" s="15"/>
      <c r="B142" s="11" t="s">
        <v>44</v>
      </c>
      <c r="C142" s="126">
        <v>0.3</v>
      </c>
      <c r="D142" s="126"/>
      <c r="E142" s="34" t="e">
        <v>#DIV/0!</v>
      </c>
      <c r="H142" s="1675"/>
    </row>
    <row r="143" spans="1:8" ht="15" hidden="1" customHeight="1" thickBot="1" x14ac:dyDescent="0.3">
      <c r="A143" s="15"/>
      <c r="B143" s="30" t="s">
        <v>28</v>
      </c>
      <c r="C143" s="126"/>
      <c r="D143" s="126"/>
      <c r="E143" s="34"/>
      <c r="H143" s="1675"/>
    </row>
    <row r="144" spans="1:8" ht="15" hidden="1" customHeight="1" thickBot="1" x14ac:dyDescent="0.3">
      <c r="A144" s="15"/>
      <c r="B144" s="11" t="s">
        <v>45</v>
      </c>
      <c r="C144" s="126">
        <v>0.5</v>
      </c>
      <c r="D144" s="126"/>
      <c r="E144" s="34" t="e">
        <v>#DIV/0!</v>
      </c>
      <c r="H144" s="1675"/>
    </row>
    <row r="145" spans="1:8" ht="15" hidden="1" customHeight="1" thickBot="1" x14ac:dyDescent="0.3">
      <c r="A145" s="15"/>
      <c r="B145" s="11" t="s">
        <v>44</v>
      </c>
      <c r="C145" s="126">
        <v>0.5</v>
      </c>
      <c r="D145" s="126"/>
      <c r="E145" s="34" t="e">
        <v>#DIV/0!</v>
      </c>
      <c r="H145" s="1675"/>
    </row>
    <row r="146" spans="1:8" ht="15" hidden="1" customHeight="1" thickBot="1" x14ac:dyDescent="0.3">
      <c r="A146" s="15"/>
      <c r="B146" s="47" t="s">
        <v>43</v>
      </c>
      <c r="C146" s="127"/>
      <c r="D146" s="127"/>
      <c r="E146" s="285"/>
      <c r="H146" s="1675"/>
    </row>
    <row r="147" spans="1:8" ht="15" hidden="1" customHeight="1" thickBot="1" x14ac:dyDescent="0.3">
      <c r="A147" s="15"/>
      <c r="B147" s="28" t="s">
        <v>114</v>
      </c>
      <c r="C147" s="126"/>
      <c r="D147" s="126"/>
      <c r="E147" s="42"/>
      <c r="H147" s="1675"/>
    </row>
    <row r="148" spans="1:8" ht="15" hidden="1" customHeight="1" thickBot="1" x14ac:dyDescent="0.3">
      <c r="A148" s="15"/>
      <c r="B148" s="28" t="s">
        <v>115</v>
      </c>
      <c r="C148" s="126"/>
      <c r="D148" s="126"/>
      <c r="E148" s="34"/>
      <c r="H148" s="1675"/>
    </row>
    <row r="149" spans="1:8" ht="15" hidden="1" customHeight="1" thickBot="1" x14ac:dyDescent="0.3">
      <c r="A149" s="15"/>
      <c r="B149" s="30" t="s">
        <v>39</v>
      </c>
      <c r="C149" s="126"/>
      <c r="D149" s="126"/>
      <c r="E149" s="34">
        <v>0</v>
      </c>
      <c r="H149" s="1675"/>
    </row>
    <row r="150" spans="1:8" ht="15" hidden="1" customHeight="1" thickBot="1" x14ac:dyDescent="0.3">
      <c r="A150" s="15"/>
      <c r="B150" s="30" t="s">
        <v>38</v>
      </c>
      <c r="C150" s="126"/>
      <c r="D150" s="126"/>
      <c r="E150" s="34">
        <v>0</v>
      </c>
      <c r="H150" s="1675"/>
    </row>
    <row r="151" spans="1:8" ht="15" hidden="1" customHeight="1" thickBot="1" x14ac:dyDescent="0.3">
      <c r="A151" s="15"/>
      <c r="B151" s="30" t="s">
        <v>29</v>
      </c>
      <c r="C151" s="126"/>
      <c r="D151" s="126"/>
      <c r="E151" s="33"/>
      <c r="H151" s="1675"/>
    </row>
    <row r="152" spans="1:8" ht="15" hidden="1" customHeight="1" thickBot="1" x14ac:dyDescent="0.3">
      <c r="A152" s="15"/>
      <c r="B152" s="11" t="s">
        <v>42</v>
      </c>
      <c r="C152" s="126"/>
      <c r="D152" s="126"/>
      <c r="E152" s="33"/>
      <c r="H152" s="1675"/>
    </row>
    <row r="153" spans="1:8" ht="15" hidden="1" customHeight="1" thickBot="1" x14ac:dyDescent="0.3">
      <c r="A153" s="15"/>
      <c r="B153" s="11" t="s">
        <v>41</v>
      </c>
      <c r="C153" s="126"/>
      <c r="D153" s="126"/>
      <c r="E153" s="33"/>
      <c r="H153" s="1675"/>
    </row>
    <row r="154" spans="1:8" ht="15" hidden="1" customHeight="1" thickBot="1" x14ac:dyDescent="0.3">
      <c r="A154" s="15"/>
      <c r="B154" s="30" t="s">
        <v>28</v>
      </c>
      <c r="C154" s="126"/>
      <c r="D154" s="126"/>
      <c r="E154" s="33"/>
      <c r="H154" s="1675"/>
    </row>
    <row r="155" spans="1:8" ht="15" hidden="1" customHeight="1" thickBot="1" x14ac:dyDescent="0.3">
      <c r="A155" s="15"/>
      <c r="B155" s="11" t="s">
        <v>42</v>
      </c>
      <c r="C155" s="126"/>
      <c r="D155" s="126"/>
      <c r="E155" s="33">
        <v>0</v>
      </c>
      <c r="H155" s="1675"/>
    </row>
    <row r="156" spans="1:8" ht="15" hidden="1" customHeight="1" thickBot="1" x14ac:dyDescent="0.3">
      <c r="A156" s="15"/>
      <c r="B156" s="11" t="s">
        <v>41</v>
      </c>
      <c r="C156" s="126"/>
      <c r="D156" s="126"/>
      <c r="E156" s="33">
        <v>0</v>
      </c>
      <c r="H156" s="1675"/>
    </row>
    <row r="157" spans="1:8" ht="15" hidden="1" customHeight="1" thickBot="1" x14ac:dyDescent="0.3">
      <c r="A157" s="15"/>
      <c r="B157" s="30" t="s">
        <v>36</v>
      </c>
      <c r="C157" s="126"/>
      <c r="D157" s="126"/>
      <c r="E157" s="33">
        <v>0</v>
      </c>
      <c r="H157" s="1675"/>
    </row>
    <row r="158" spans="1:8" ht="15" hidden="1" customHeight="1" thickBot="1" x14ac:dyDescent="0.3">
      <c r="A158" s="15"/>
      <c r="B158" s="30" t="s">
        <v>34</v>
      </c>
      <c r="C158" s="126"/>
      <c r="D158" s="126"/>
      <c r="E158" s="33">
        <v>0</v>
      </c>
      <c r="H158" s="1675"/>
    </row>
    <row r="159" spans="1:8" ht="15" hidden="1" customHeight="1" thickBot="1" x14ac:dyDescent="0.3">
      <c r="A159" s="15"/>
      <c r="B159" s="47" t="s">
        <v>32</v>
      </c>
      <c r="C159" s="127"/>
      <c r="D159" s="127"/>
      <c r="E159" s="94"/>
      <c r="H159" s="1675"/>
    </row>
    <row r="160" spans="1:8" ht="15" hidden="1" customHeight="1" thickBot="1" x14ac:dyDescent="0.3">
      <c r="A160" s="15"/>
      <c r="B160" s="30" t="s">
        <v>29</v>
      </c>
      <c r="C160" s="126"/>
      <c r="D160" s="126"/>
      <c r="E160" s="33"/>
      <c r="H160" s="1675"/>
    </row>
    <row r="161" spans="1:8" ht="15" hidden="1" customHeight="1" thickBot="1" x14ac:dyDescent="0.3">
      <c r="A161" s="15"/>
      <c r="B161" s="11" t="s">
        <v>42</v>
      </c>
      <c r="C161" s="126"/>
      <c r="D161" s="126"/>
      <c r="E161" s="33"/>
      <c r="H161" s="1675"/>
    </row>
    <row r="162" spans="1:8" ht="15" hidden="1" customHeight="1" thickBot="1" x14ac:dyDescent="0.3">
      <c r="A162" s="15"/>
      <c r="B162" s="11" t="s">
        <v>41</v>
      </c>
      <c r="C162" s="126"/>
      <c r="D162" s="126"/>
      <c r="E162" s="33"/>
      <c r="H162" s="1675"/>
    </row>
    <row r="163" spans="1:8" ht="15" hidden="1" customHeight="1" thickBot="1" x14ac:dyDescent="0.3">
      <c r="A163" s="15"/>
      <c r="B163" s="30" t="s">
        <v>28</v>
      </c>
      <c r="C163" s="126"/>
      <c r="D163" s="126"/>
      <c r="E163" s="33"/>
      <c r="H163" s="1675"/>
    </row>
    <row r="164" spans="1:8" ht="15" hidden="1" customHeight="1" thickBot="1" x14ac:dyDescent="0.3">
      <c r="A164" s="15"/>
      <c r="B164" s="11" t="s">
        <v>42</v>
      </c>
      <c r="C164" s="126"/>
      <c r="D164" s="126"/>
      <c r="E164" s="33">
        <v>0</v>
      </c>
      <c r="H164" s="1675"/>
    </row>
    <row r="165" spans="1:8" ht="15" hidden="1" customHeight="1" thickBot="1" x14ac:dyDescent="0.3">
      <c r="A165" s="15"/>
      <c r="B165" s="11" t="s">
        <v>41</v>
      </c>
      <c r="C165" s="126"/>
      <c r="D165" s="126"/>
      <c r="E165" s="33">
        <v>0</v>
      </c>
      <c r="H165" s="1675"/>
    </row>
    <row r="166" spans="1:8" ht="15" hidden="1" customHeight="1" thickBot="1" x14ac:dyDescent="0.3">
      <c r="A166" s="15"/>
      <c r="B166" s="47" t="s">
        <v>30</v>
      </c>
      <c r="C166" s="127"/>
      <c r="D166" s="127"/>
      <c r="E166" s="94"/>
      <c r="H166" s="1675"/>
    </row>
    <row r="167" spans="1:8" ht="15" hidden="1" customHeight="1" thickBot="1" x14ac:dyDescent="0.3">
      <c r="A167" s="15"/>
      <c r="B167" s="30" t="s">
        <v>29</v>
      </c>
      <c r="C167" s="126"/>
      <c r="D167" s="126"/>
      <c r="E167" s="33"/>
      <c r="H167" s="1675"/>
    </row>
    <row r="168" spans="1:8" ht="15" hidden="1" customHeight="1" thickBot="1" x14ac:dyDescent="0.3">
      <c r="A168" s="15"/>
      <c r="B168" s="11" t="s">
        <v>42</v>
      </c>
      <c r="C168" s="126"/>
      <c r="D168" s="126"/>
      <c r="E168" s="33" t="e">
        <v>#DIV/0!</v>
      </c>
      <c r="H168" s="1675"/>
    </row>
    <row r="169" spans="1:8" ht="15" hidden="1" customHeight="1" thickBot="1" x14ac:dyDescent="0.3">
      <c r="A169" s="15"/>
      <c r="B169" s="11" t="s">
        <v>91</v>
      </c>
      <c r="C169" s="126"/>
      <c r="D169" s="126"/>
      <c r="E169" s="33" t="e">
        <v>#DIV/0!</v>
      </c>
      <c r="H169" s="1675"/>
    </row>
    <row r="170" spans="1:8" ht="15" hidden="1" customHeight="1" thickBot="1" x14ac:dyDescent="0.3">
      <c r="A170" s="15"/>
      <c r="B170" s="30" t="s">
        <v>28</v>
      </c>
      <c r="C170" s="126"/>
      <c r="D170" s="126"/>
      <c r="E170" s="33"/>
      <c r="H170" s="1675"/>
    </row>
    <row r="171" spans="1:8" ht="15" hidden="1" customHeight="1" thickBot="1" x14ac:dyDescent="0.3">
      <c r="A171" s="15"/>
      <c r="B171" s="11" t="s">
        <v>42</v>
      </c>
      <c r="C171" s="126"/>
      <c r="D171" s="126"/>
      <c r="E171" s="33" t="e">
        <v>#DIV/0!</v>
      </c>
      <c r="H171" s="1675"/>
    </row>
    <row r="172" spans="1:8" ht="15" hidden="1" customHeight="1" thickBot="1" x14ac:dyDescent="0.3">
      <c r="A172" s="19"/>
      <c r="B172" s="11" t="s">
        <v>91</v>
      </c>
      <c r="C172" s="126"/>
      <c r="D172" s="126"/>
      <c r="E172" s="33" t="e">
        <v>#DIV/0!</v>
      </c>
      <c r="H172" s="1675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75"/>
    </row>
    <row r="174" spans="1:8" ht="15" hidden="1" customHeight="1" thickBot="1" x14ac:dyDescent="0.3">
      <c r="A174" s="15"/>
      <c r="B174" s="28" t="s">
        <v>115</v>
      </c>
      <c r="C174" s="90"/>
      <c r="D174" s="90"/>
      <c r="E174" s="42"/>
      <c r="H174" s="1675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75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75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75"/>
    </row>
    <row r="178" spans="1:8" ht="15" hidden="1" customHeight="1" thickBot="1" x14ac:dyDescent="0.3">
      <c r="A178" s="15"/>
      <c r="B178" s="11" t="s">
        <v>116</v>
      </c>
      <c r="C178" s="60"/>
      <c r="D178" s="60"/>
      <c r="E178" s="33"/>
      <c r="H178" s="1675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75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75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75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75"/>
    </row>
    <row r="183" spans="1:8" ht="15" hidden="1" customHeight="1" thickBot="1" x14ac:dyDescent="0.3">
      <c r="A183" s="15"/>
      <c r="B183" s="11" t="s">
        <v>116</v>
      </c>
      <c r="C183" s="60"/>
      <c r="D183" s="60"/>
      <c r="E183" s="33">
        <v>0</v>
      </c>
      <c r="H183" s="1675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75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75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75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75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75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75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75"/>
    </row>
    <row r="191" spans="1:8" ht="15" hidden="1" customHeight="1" thickBot="1" x14ac:dyDescent="0.3">
      <c r="A191" s="15"/>
      <c r="B191" s="11" t="s">
        <v>116</v>
      </c>
      <c r="C191" s="60"/>
      <c r="D191" s="60"/>
      <c r="E191" s="33">
        <v>0</v>
      </c>
      <c r="H191" s="1675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75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75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75"/>
    </row>
    <row r="195" spans="1:8" ht="15" hidden="1" customHeight="1" thickBot="1" x14ac:dyDescent="0.3">
      <c r="A195" s="15"/>
      <c r="B195" s="11" t="s">
        <v>116</v>
      </c>
      <c r="C195" s="60"/>
      <c r="D195" s="60"/>
      <c r="E195" s="33">
        <v>0</v>
      </c>
      <c r="H195" s="1675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75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75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75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75"/>
    </row>
    <row r="200" spans="1:8" ht="15" hidden="1" customHeight="1" thickBot="1" x14ac:dyDescent="0.3">
      <c r="A200" s="15"/>
      <c r="B200" s="11" t="s">
        <v>116</v>
      </c>
      <c r="C200" s="126">
        <v>0.3</v>
      </c>
      <c r="D200" s="126"/>
      <c r="E200" s="34" t="e">
        <v>#DIV/0!</v>
      </c>
      <c r="H200" s="1675"/>
    </row>
    <row r="201" spans="1:8" ht="15" hidden="1" customHeight="1" thickBot="1" x14ac:dyDescent="0.3">
      <c r="A201" s="15"/>
      <c r="B201" s="11" t="s">
        <v>27</v>
      </c>
      <c r="C201" s="126">
        <v>0.3</v>
      </c>
      <c r="D201" s="126"/>
      <c r="E201" s="34" t="e">
        <v>#DIV/0!</v>
      </c>
      <c r="H201" s="1675"/>
    </row>
    <row r="202" spans="1:8" ht="15" hidden="1" customHeight="1" thickBot="1" x14ac:dyDescent="0.3">
      <c r="A202" s="15"/>
      <c r="B202" s="11" t="s">
        <v>26</v>
      </c>
      <c r="C202" s="126">
        <v>0.3</v>
      </c>
      <c r="D202" s="126"/>
      <c r="E202" s="34" t="e">
        <v>#DIV/0!</v>
      </c>
      <c r="H202" s="1675"/>
    </row>
    <row r="203" spans="1:8" ht="15" hidden="1" customHeight="1" thickBot="1" x14ac:dyDescent="0.3">
      <c r="A203" s="15"/>
      <c r="B203" s="30" t="s">
        <v>28</v>
      </c>
      <c r="C203" s="126"/>
      <c r="D203" s="126"/>
      <c r="E203" s="34"/>
      <c r="H203" s="1675"/>
    </row>
    <row r="204" spans="1:8" ht="15" hidden="1" customHeight="1" thickBot="1" x14ac:dyDescent="0.3">
      <c r="A204" s="15"/>
      <c r="B204" s="11" t="s">
        <v>116</v>
      </c>
      <c r="C204" s="126">
        <v>0.5</v>
      </c>
      <c r="D204" s="126"/>
      <c r="E204" s="34" t="e">
        <v>#DIV/0!</v>
      </c>
      <c r="H204" s="1675"/>
    </row>
    <row r="205" spans="1:8" ht="15" hidden="1" customHeight="1" thickBot="1" x14ac:dyDescent="0.3">
      <c r="A205" s="15"/>
      <c r="B205" s="11" t="s">
        <v>27</v>
      </c>
      <c r="C205" s="126">
        <v>0.5</v>
      </c>
      <c r="D205" s="126"/>
      <c r="E205" s="34" t="e">
        <v>#DIV/0!</v>
      </c>
      <c r="H205" s="1675"/>
    </row>
    <row r="206" spans="1:8" ht="15" hidden="1" customHeight="1" thickBot="1" x14ac:dyDescent="0.3">
      <c r="A206" s="19"/>
      <c r="B206" s="11" t="s">
        <v>26</v>
      </c>
      <c r="C206" s="126">
        <v>0.5</v>
      </c>
      <c r="D206" s="126"/>
      <c r="E206" s="34" t="e">
        <v>#DIV/0!</v>
      </c>
      <c r="H206" s="1675"/>
    </row>
    <row r="207" spans="1:8" ht="15" hidden="1" customHeight="1" thickBot="1" x14ac:dyDescent="0.3">
      <c r="A207" s="8">
        <v>7</v>
      </c>
      <c r="B207" s="47" t="s">
        <v>87</v>
      </c>
      <c r="C207" s="127"/>
      <c r="D207" s="127"/>
      <c r="E207" s="286"/>
      <c r="H207" s="1675"/>
    </row>
    <row r="208" spans="1:8" ht="15" hidden="1" customHeight="1" thickBot="1" x14ac:dyDescent="0.3">
      <c r="A208" s="15"/>
      <c r="B208" s="26" t="s">
        <v>92</v>
      </c>
      <c r="C208" s="126"/>
      <c r="D208" s="126"/>
      <c r="E208" s="42"/>
      <c r="H208" s="1675"/>
    </row>
    <row r="209" spans="1:8" ht="15" hidden="1" customHeight="1" thickBot="1" x14ac:dyDescent="0.3">
      <c r="A209" s="15"/>
      <c r="B209" s="11" t="s">
        <v>93</v>
      </c>
      <c r="C209" s="126"/>
      <c r="D209" s="126"/>
      <c r="E209" s="34"/>
      <c r="H209" s="1675"/>
    </row>
    <row r="210" spans="1:8" ht="15" hidden="1" customHeight="1" thickBot="1" x14ac:dyDescent="0.3">
      <c r="A210" s="15"/>
      <c r="B210" s="11" t="s">
        <v>39</v>
      </c>
      <c r="C210" s="126"/>
      <c r="D210" s="126"/>
      <c r="E210" s="34">
        <v>0</v>
      </c>
      <c r="H210" s="1675"/>
    </row>
    <row r="211" spans="1:8" ht="15" hidden="1" customHeight="1" thickBot="1" x14ac:dyDescent="0.3">
      <c r="A211" s="15"/>
      <c r="B211" s="11" t="s">
        <v>38</v>
      </c>
      <c r="C211" s="126"/>
      <c r="D211" s="126"/>
      <c r="E211" s="34">
        <v>0</v>
      </c>
      <c r="H211" s="1675"/>
    </row>
    <row r="212" spans="1:8" ht="15" hidden="1" customHeight="1" thickBot="1" x14ac:dyDescent="0.3">
      <c r="A212" s="15"/>
      <c r="B212" s="30" t="s">
        <v>50</v>
      </c>
      <c r="C212" s="126"/>
      <c r="D212" s="126"/>
      <c r="E212" s="34">
        <v>0</v>
      </c>
      <c r="H212" s="1675"/>
    </row>
    <row r="213" spans="1:8" ht="15" hidden="1" customHeight="1" thickBot="1" x14ac:dyDescent="0.3">
      <c r="A213" s="15"/>
      <c r="B213" s="11" t="s">
        <v>29</v>
      </c>
      <c r="C213" s="126"/>
      <c r="D213" s="126"/>
      <c r="E213" s="34"/>
      <c r="H213" s="1675"/>
    </row>
    <row r="214" spans="1:8" ht="15" hidden="1" customHeight="1" thickBot="1" x14ac:dyDescent="0.3">
      <c r="A214" s="15"/>
      <c r="B214" s="11" t="s">
        <v>88</v>
      </c>
      <c r="C214" s="126"/>
      <c r="D214" s="126"/>
      <c r="E214" s="33"/>
      <c r="H214" s="1675"/>
    </row>
    <row r="215" spans="1:8" ht="15" hidden="1" customHeight="1" thickBot="1" x14ac:dyDescent="0.3">
      <c r="A215" s="15"/>
      <c r="B215" s="11" t="s">
        <v>117</v>
      </c>
      <c r="C215" s="126"/>
      <c r="D215" s="126"/>
      <c r="E215" s="33"/>
      <c r="H215" s="1675"/>
    </row>
    <row r="216" spans="1:8" ht="15" hidden="1" customHeight="1" thickBot="1" x14ac:dyDescent="0.3">
      <c r="A216" s="15"/>
      <c r="B216" s="38" t="s">
        <v>28</v>
      </c>
      <c r="C216" s="126"/>
      <c r="D216" s="126"/>
      <c r="E216" s="34"/>
      <c r="H216" s="1675"/>
    </row>
    <row r="217" spans="1:8" ht="15" hidden="1" customHeight="1" thickBot="1" x14ac:dyDescent="0.3">
      <c r="A217" s="15"/>
      <c r="B217" s="11" t="s">
        <v>88</v>
      </c>
      <c r="C217" s="126"/>
      <c r="D217" s="126"/>
      <c r="E217" s="33">
        <v>0</v>
      </c>
      <c r="H217" s="1675"/>
    </row>
    <row r="218" spans="1:8" ht="15" hidden="1" customHeight="1" thickBot="1" x14ac:dyDescent="0.3">
      <c r="A218" s="15"/>
      <c r="B218" s="11" t="s">
        <v>117</v>
      </c>
      <c r="C218" s="126"/>
      <c r="D218" s="126"/>
      <c r="E218" s="33">
        <v>0</v>
      </c>
      <c r="H218" s="1675"/>
    </row>
    <row r="219" spans="1:8" ht="15" hidden="1" customHeight="1" thickBot="1" x14ac:dyDescent="0.3">
      <c r="A219" s="15"/>
      <c r="B219" s="11" t="s">
        <v>36</v>
      </c>
      <c r="C219" s="126"/>
      <c r="D219" s="126"/>
      <c r="E219" s="33">
        <v>0</v>
      </c>
      <c r="H219" s="1675"/>
    </row>
    <row r="220" spans="1:8" ht="15" hidden="1" customHeight="1" thickBot="1" x14ac:dyDescent="0.3">
      <c r="A220" s="15"/>
      <c r="B220" s="11" t="s">
        <v>34</v>
      </c>
      <c r="C220" s="126"/>
      <c r="D220" s="126"/>
      <c r="E220" s="33">
        <v>0</v>
      </c>
      <c r="H220" s="1675"/>
    </row>
    <row r="221" spans="1:8" ht="15" hidden="1" customHeight="1" thickBot="1" x14ac:dyDescent="0.3">
      <c r="A221" s="15"/>
      <c r="B221" s="47" t="s">
        <v>32</v>
      </c>
      <c r="C221" s="127"/>
      <c r="D221" s="127"/>
      <c r="E221" s="287"/>
      <c r="H221" s="1675"/>
    </row>
    <row r="222" spans="1:8" ht="15" hidden="1" customHeight="1" thickBot="1" x14ac:dyDescent="0.3">
      <c r="A222" s="15"/>
      <c r="B222" s="11" t="s">
        <v>29</v>
      </c>
      <c r="C222" s="126"/>
      <c r="D222" s="126"/>
      <c r="E222" s="34"/>
      <c r="H222" s="1675"/>
    </row>
    <row r="223" spans="1:8" ht="15" hidden="1" customHeight="1" thickBot="1" x14ac:dyDescent="0.3">
      <c r="A223" s="15"/>
      <c r="B223" s="11" t="s">
        <v>88</v>
      </c>
      <c r="C223" s="126"/>
      <c r="D223" s="126"/>
      <c r="E223" s="33"/>
      <c r="H223" s="1675"/>
    </row>
    <row r="224" spans="1:8" ht="15" hidden="1" customHeight="1" thickBot="1" x14ac:dyDescent="0.3">
      <c r="A224" s="15"/>
      <c r="B224" s="11" t="s">
        <v>117</v>
      </c>
      <c r="C224" s="126"/>
      <c r="D224" s="126"/>
      <c r="E224" s="33"/>
      <c r="H224" s="1675"/>
    </row>
    <row r="225" spans="1:8" ht="15" hidden="1" customHeight="1" thickBot="1" x14ac:dyDescent="0.3">
      <c r="A225" s="15"/>
      <c r="B225" s="11" t="s">
        <v>28</v>
      </c>
      <c r="C225" s="126"/>
      <c r="D225" s="126"/>
      <c r="E225" s="34"/>
      <c r="H225" s="1675"/>
    </row>
    <row r="226" spans="1:8" ht="15" hidden="1" customHeight="1" thickBot="1" x14ac:dyDescent="0.3">
      <c r="A226" s="15"/>
      <c r="B226" s="11" t="s">
        <v>88</v>
      </c>
      <c r="C226" s="126"/>
      <c r="D226" s="126"/>
      <c r="E226" s="33">
        <v>0</v>
      </c>
      <c r="H226" s="1675"/>
    </row>
    <row r="227" spans="1:8" ht="15" hidden="1" customHeight="1" thickBot="1" x14ac:dyDescent="0.3">
      <c r="A227" s="15"/>
      <c r="B227" s="11" t="s">
        <v>117</v>
      </c>
      <c r="C227" s="126"/>
      <c r="D227" s="126"/>
      <c r="E227" s="33">
        <v>0</v>
      </c>
      <c r="H227" s="1675"/>
    </row>
    <row r="228" spans="1:8" ht="15" hidden="1" customHeight="1" thickBot="1" x14ac:dyDescent="0.3">
      <c r="A228" s="15"/>
      <c r="B228" s="47" t="s">
        <v>30</v>
      </c>
      <c r="C228" s="130"/>
      <c r="D228" s="130"/>
      <c r="E228" s="272"/>
      <c r="H228" s="1675"/>
    </row>
    <row r="229" spans="1:8" ht="15" hidden="1" customHeight="1" thickBot="1" x14ac:dyDescent="0.3">
      <c r="A229" s="15"/>
      <c r="B229" s="30" t="s">
        <v>29</v>
      </c>
      <c r="C229" s="126"/>
      <c r="D229" s="126"/>
      <c r="E229" s="33"/>
      <c r="H229" s="1675"/>
    </row>
    <row r="230" spans="1:8" ht="15" hidden="1" customHeight="1" thickBot="1" x14ac:dyDescent="0.3">
      <c r="A230" s="15"/>
      <c r="B230" s="11" t="s">
        <v>88</v>
      </c>
      <c r="C230" s="126">
        <v>0.3</v>
      </c>
      <c r="D230" s="126"/>
      <c r="E230" s="33" t="e">
        <v>#DIV/0!</v>
      </c>
      <c r="H230" s="1675"/>
    </row>
    <row r="231" spans="1:8" ht="15" hidden="1" customHeight="1" thickBot="1" x14ac:dyDescent="0.3">
      <c r="A231" s="15"/>
      <c r="B231" s="11" t="s">
        <v>117</v>
      </c>
      <c r="C231" s="126">
        <v>0.3</v>
      </c>
      <c r="D231" s="126"/>
      <c r="E231" s="33" t="e">
        <v>#DIV/0!</v>
      </c>
      <c r="H231" s="1675"/>
    </row>
    <row r="232" spans="1:8" ht="15" hidden="1" customHeight="1" thickBot="1" x14ac:dyDescent="0.3">
      <c r="A232" s="15"/>
      <c r="B232" s="30" t="s">
        <v>28</v>
      </c>
      <c r="C232" s="126"/>
      <c r="D232" s="126"/>
      <c r="E232" s="33"/>
      <c r="H232" s="1675"/>
    </row>
    <row r="233" spans="1:8" ht="15" hidden="1" customHeight="1" thickBot="1" x14ac:dyDescent="0.3">
      <c r="A233" s="15"/>
      <c r="B233" s="11" t="s">
        <v>88</v>
      </c>
      <c r="C233" s="126">
        <v>0.5</v>
      </c>
      <c r="D233" s="126"/>
      <c r="E233" s="33" t="e">
        <v>#DIV/0!</v>
      </c>
      <c r="H233" s="1675"/>
    </row>
    <row r="234" spans="1:8" ht="15" hidden="1" customHeight="1" thickBot="1" x14ac:dyDescent="0.3">
      <c r="A234" s="15"/>
      <c r="B234" s="11" t="s">
        <v>117</v>
      </c>
      <c r="C234" s="126">
        <v>0.5</v>
      </c>
      <c r="D234" s="126"/>
      <c r="E234" s="33" t="e">
        <v>#DIV/0!</v>
      </c>
      <c r="H234" s="1675"/>
    </row>
    <row r="235" spans="1:8" ht="15" hidden="1" customHeight="1" thickBot="1" x14ac:dyDescent="0.3">
      <c r="A235" s="15"/>
      <c r="B235" s="101" t="s">
        <v>94</v>
      </c>
      <c r="C235" s="131"/>
      <c r="D235" s="131"/>
      <c r="E235" s="288">
        <v>0</v>
      </c>
      <c r="H235" s="1675"/>
    </row>
    <row r="236" spans="1:8" ht="15" hidden="1" customHeight="1" thickBot="1" x14ac:dyDescent="0.3">
      <c r="A236" s="15"/>
      <c r="B236" s="71" t="s">
        <v>118</v>
      </c>
      <c r="C236" s="133"/>
      <c r="D236" s="133"/>
      <c r="E236" s="289">
        <v>0</v>
      </c>
      <c r="H236" s="1675"/>
    </row>
    <row r="237" spans="1:8" ht="15" hidden="1" customHeight="1" thickBot="1" x14ac:dyDescent="0.3">
      <c r="A237" s="15"/>
      <c r="B237" s="104" t="s">
        <v>89</v>
      </c>
      <c r="C237" s="134"/>
      <c r="D237" s="134"/>
      <c r="E237" s="290">
        <v>0</v>
      </c>
      <c r="H237" s="1675"/>
    </row>
    <row r="238" spans="1:8" ht="15" hidden="1" customHeight="1" thickBot="1" x14ac:dyDescent="0.3">
      <c r="A238" s="15"/>
      <c r="B238" s="107" t="s">
        <v>90</v>
      </c>
      <c r="C238" s="135"/>
      <c r="D238" s="135"/>
      <c r="E238" s="291">
        <v>0</v>
      </c>
      <c r="H238" s="1675"/>
    </row>
    <row r="239" spans="1:8" ht="15" hidden="1" customHeight="1" thickBot="1" x14ac:dyDescent="0.3">
      <c r="A239" s="15"/>
      <c r="B239" s="110" t="s">
        <v>95</v>
      </c>
      <c r="C239" s="131"/>
      <c r="D239" s="131"/>
      <c r="E239" s="292">
        <v>0</v>
      </c>
      <c r="H239" s="1675"/>
    </row>
    <row r="240" spans="1:8" ht="15.75" thickBot="1" x14ac:dyDescent="0.3">
      <c r="A240" s="1806">
        <v>4</v>
      </c>
      <c r="B240" s="1779" t="s">
        <v>24</v>
      </c>
      <c r="C240" s="1668"/>
      <c r="D240" s="1668"/>
      <c r="E240" s="1669" t="s">
        <v>911</v>
      </c>
      <c r="F240" s="1669" t="s">
        <v>912</v>
      </c>
      <c r="G240" s="1670" t="s">
        <v>188</v>
      </c>
      <c r="H240" s="1671" t="s">
        <v>986</v>
      </c>
    </row>
    <row r="241" spans="1:18" x14ac:dyDescent="0.25">
      <c r="A241" s="68"/>
      <c r="B241" s="235" t="s">
        <v>22</v>
      </c>
      <c r="C241" s="260">
        <v>1460.001</v>
      </c>
      <c r="D241" s="260" t="s">
        <v>981</v>
      </c>
      <c r="E241" s="293"/>
      <c r="F241" s="1659"/>
      <c r="G241" s="293">
        <v>1236.1327000000001</v>
      </c>
      <c r="H241" s="1678"/>
    </row>
    <row r="242" spans="1:18" x14ac:dyDescent="0.25">
      <c r="A242" s="8"/>
      <c r="B242" s="235" t="s">
        <v>23</v>
      </c>
      <c r="C242" s="254"/>
      <c r="D242" s="254"/>
      <c r="E242" s="293"/>
      <c r="F242" s="1659"/>
      <c r="G242" s="293">
        <v>949.19</v>
      </c>
      <c r="H242" s="1678"/>
    </row>
    <row r="243" spans="1:18" x14ac:dyDescent="0.25">
      <c r="A243" s="15"/>
      <c r="B243" s="28" t="s">
        <v>11</v>
      </c>
      <c r="C243" s="254"/>
      <c r="D243" s="254"/>
      <c r="E243" s="295"/>
      <c r="G243" s="750"/>
      <c r="H243" s="1675"/>
    </row>
    <row r="244" spans="1:18" x14ac:dyDescent="0.25">
      <c r="A244" s="15"/>
      <c r="B244" s="235" t="s">
        <v>21</v>
      </c>
      <c r="C244" s="252">
        <f>292</f>
        <v>292</v>
      </c>
      <c r="D244" s="252" t="s">
        <v>981</v>
      </c>
      <c r="E244" s="294"/>
      <c r="F244" s="1659"/>
      <c r="G244" s="294">
        <v>693.22799999999995</v>
      </c>
      <c r="H244" s="1798">
        <f>G244/G9*10</f>
        <v>2.7695884938074311</v>
      </c>
    </row>
    <row r="245" spans="1:18" x14ac:dyDescent="0.25">
      <c r="A245" s="15"/>
      <c r="B245" s="74" t="s">
        <v>378</v>
      </c>
      <c r="C245" s="948">
        <v>4.3</v>
      </c>
      <c r="D245" s="948" t="s">
        <v>985</v>
      </c>
      <c r="E245" s="949"/>
      <c r="G245" s="750"/>
      <c r="H245" s="1675"/>
    </row>
    <row r="246" spans="1:18" x14ac:dyDescent="0.25">
      <c r="A246" s="15"/>
      <c r="B246" s="14" t="s">
        <v>20</v>
      </c>
      <c r="C246" s="252">
        <v>1168.001</v>
      </c>
      <c r="D246" s="252" t="s">
        <v>981</v>
      </c>
      <c r="E246" s="294"/>
      <c r="F246" s="1659"/>
      <c r="G246" s="294">
        <f>G241-G244</f>
        <v>542.90470000000016</v>
      </c>
      <c r="H246" s="1678"/>
    </row>
    <row r="247" spans="1:18" ht="15.75" thickBot="1" x14ac:dyDescent="0.3">
      <c r="A247" s="40"/>
      <c r="B247" s="41" t="s">
        <v>1</v>
      </c>
      <c r="C247" s="1805">
        <v>1460.001</v>
      </c>
      <c r="D247" s="1805" t="s">
        <v>981</v>
      </c>
      <c r="E247" s="1660"/>
      <c r="F247" s="1689"/>
      <c r="G247" s="1660">
        <f>G244+G246</f>
        <v>1236.1327000000001</v>
      </c>
      <c r="H247" s="1690"/>
    </row>
    <row r="248" spans="1:18" ht="15.75" thickBot="1" x14ac:dyDescent="0.3">
      <c r="A248" s="1806">
        <v>5</v>
      </c>
      <c r="B248" s="1779" t="s">
        <v>18</v>
      </c>
      <c r="C248" s="1765"/>
      <c r="D248" s="1765"/>
      <c r="E248" s="1669" t="s">
        <v>911</v>
      </c>
      <c r="F248" s="1669" t="s">
        <v>912</v>
      </c>
      <c r="G248" s="1670" t="s">
        <v>188</v>
      </c>
      <c r="H248" s="1671" t="s">
        <v>987</v>
      </c>
    </row>
    <row r="249" spans="1:18" x14ac:dyDescent="0.25">
      <c r="A249" s="8"/>
      <c r="B249" s="235" t="s">
        <v>4</v>
      </c>
      <c r="C249" s="234">
        <v>408000</v>
      </c>
      <c r="D249" s="234" t="s">
        <v>994</v>
      </c>
      <c r="E249" s="1634"/>
      <c r="F249" s="1659"/>
      <c r="G249" s="298">
        <v>186740</v>
      </c>
      <c r="H249" s="1678"/>
    </row>
    <row r="250" spans="1:18" x14ac:dyDescent="0.25">
      <c r="A250" s="8"/>
      <c r="B250" s="30" t="s">
        <v>17</v>
      </c>
      <c r="C250" s="262"/>
      <c r="D250" s="262"/>
      <c r="E250" s="282"/>
      <c r="G250" s="750"/>
      <c r="H250" s="1675"/>
      <c r="R250">
        <v>1.8</v>
      </c>
    </row>
    <row r="251" spans="1:18" x14ac:dyDescent="0.25">
      <c r="A251" s="15"/>
      <c r="B251" s="235" t="s">
        <v>16</v>
      </c>
      <c r="C251" s="252">
        <v>46.63</v>
      </c>
      <c r="D251" s="1700" t="s">
        <v>237</v>
      </c>
      <c r="E251" s="1514">
        <v>447.1</v>
      </c>
      <c r="F251" s="1685">
        <v>530.54999999999995</v>
      </c>
      <c r="G251" s="1687">
        <f>F251-E251</f>
        <v>83.449999999999932</v>
      </c>
      <c r="H251" s="1679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4">
        <f>C251/2000</f>
        <v>2.3315000000000002E-2</v>
      </c>
      <c r="D252" s="234"/>
      <c r="E252" s="33"/>
      <c r="G252" s="750"/>
      <c r="H252" s="1675"/>
    </row>
    <row r="253" spans="1:18" x14ac:dyDescent="0.25">
      <c r="A253" s="15"/>
      <c r="B253" s="14"/>
      <c r="C253" s="130">
        <f>C251/C9*1000</f>
        <v>18.652000000000001</v>
      </c>
      <c r="D253" s="130" t="s">
        <v>997</v>
      </c>
      <c r="E253" s="33"/>
      <c r="G253" s="750"/>
      <c r="H253" s="1675"/>
      <c r="R253">
        <v>5</v>
      </c>
    </row>
    <row r="254" spans="1:18" ht="14.85" hidden="1" customHeight="1" x14ac:dyDescent="0.25">
      <c r="A254" s="15"/>
      <c r="B254" s="235" t="s">
        <v>15</v>
      </c>
      <c r="C254" s="234">
        <v>122000</v>
      </c>
      <c r="D254" s="234"/>
      <c r="E254" s="275"/>
      <c r="F254" s="1659"/>
      <c r="G254" s="1676"/>
      <c r="H254" s="1678"/>
    </row>
    <row r="255" spans="1:18" x14ac:dyDescent="0.25">
      <c r="A255" s="15"/>
      <c r="B255" s="14" t="s">
        <v>914</v>
      </c>
      <c r="C255" s="234">
        <v>106000</v>
      </c>
      <c r="D255" s="234"/>
      <c r="E255" s="946"/>
      <c r="F255" s="511"/>
      <c r="G255" s="1688"/>
      <c r="H255" s="1680"/>
      <c r="R255">
        <v>2.2999999999999998</v>
      </c>
    </row>
    <row r="256" spans="1:18" ht="15.75" thickBot="1" x14ac:dyDescent="0.3">
      <c r="A256" s="40"/>
      <c r="B256" s="28" t="s">
        <v>1</v>
      </c>
      <c r="C256" s="263">
        <v>408000</v>
      </c>
      <c r="D256" s="263"/>
      <c r="E256" s="1691"/>
      <c r="F256" s="1683"/>
      <c r="G256" s="1692">
        <f>SUM(G251,G254,G255)</f>
        <v>83.449999999999932</v>
      </c>
      <c r="H256" s="1684"/>
      <c r="R256" s="1796">
        <f>SUM(R250:R255)</f>
        <v>11</v>
      </c>
    </row>
    <row r="257" spans="1:18" ht="15.75" thickBot="1" x14ac:dyDescent="0.3">
      <c r="A257" s="1806">
        <v>6</v>
      </c>
      <c r="B257" s="1779" t="s">
        <v>13</v>
      </c>
      <c r="C257" s="1670"/>
      <c r="D257" s="1670"/>
      <c r="E257" s="1669" t="s">
        <v>911</v>
      </c>
      <c r="F257" s="1669" t="s">
        <v>912</v>
      </c>
      <c r="G257" s="1670" t="s">
        <v>188</v>
      </c>
      <c r="H257" s="1671" t="s">
        <v>988</v>
      </c>
      <c r="R257">
        <f>R256/2500*1000</f>
        <v>4.4000000000000004</v>
      </c>
    </row>
    <row r="258" spans="1:18" x14ac:dyDescent="0.25">
      <c r="A258" s="17"/>
      <c r="B258" s="242" t="s">
        <v>12</v>
      </c>
      <c r="C258" s="264">
        <v>1100</v>
      </c>
      <c r="D258" s="264" t="s">
        <v>998</v>
      </c>
      <c r="E258" s="244"/>
      <c r="F258" s="1659"/>
      <c r="G258" s="244">
        <v>572</v>
      </c>
      <c r="H258" s="1678"/>
    </row>
    <row r="259" spans="1:18" x14ac:dyDescent="0.25">
      <c r="A259" s="17"/>
      <c r="B259" s="43" t="s">
        <v>11</v>
      </c>
      <c r="C259" s="251"/>
      <c r="D259" s="251"/>
      <c r="E259" s="34"/>
      <c r="G259" s="750"/>
      <c r="H259" s="1675"/>
    </row>
    <row r="260" spans="1:18" x14ac:dyDescent="0.25">
      <c r="A260" s="17"/>
      <c r="B260" s="242" t="s">
        <v>10</v>
      </c>
      <c r="C260" s="1701">
        <v>170.4</v>
      </c>
      <c r="D260" s="1810" t="s">
        <v>998</v>
      </c>
      <c r="E260" s="245"/>
      <c r="F260" s="1659"/>
      <c r="G260" s="1676"/>
      <c r="H260" s="1678"/>
    </row>
    <row r="261" spans="1:18" x14ac:dyDescent="0.25">
      <c r="A261" s="17"/>
      <c r="B261" s="242"/>
      <c r="C261" s="1702">
        <f>C260/C9</f>
        <v>6.8159999999999998E-2</v>
      </c>
      <c r="D261" s="1810" t="s">
        <v>999</v>
      </c>
      <c r="E261" s="245"/>
      <c r="F261" s="1659"/>
      <c r="G261" s="1676"/>
      <c r="H261" s="1678"/>
    </row>
    <row r="262" spans="1:18" ht="14.85" hidden="1" customHeight="1" x14ac:dyDescent="0.25">
      <c r="A262" s="17"/>
      <c r="B262" s="242" t="s">
        <v>9</v>
      </c>
      <c r="C262" s="265">
        <v>179.63</v>
      </c>
      <c r="D262" s="265"/>
      <c r="E262" s="245"/>
      <c r="F262" s="1659"/>
      <c r="G262" s="1676"/>
      <c r="H262" s="1678"/>
    </row>
    <row r="263" spans="1:18" x14ac:dyDescent="0.25">
      <c r="A263" s="17"/>
      <c r="B263" s="242" t="s">
        <v>8</v>
      </c>
      <c r="C263" s="264">
        <v>491.59</v>
      </c>
      <c r="D263" s="264" t="s">
        <v>998</v>
      </c>
      <c r="E263" s="245"/>
      <c r="F263" s="1659"/>
      <c r="G263" s="245">
        <v>368</v>
      </c>
      <c r="H263" s="1678"/>
    </row>
    <row r="264" spans="1:18" x14ac:dyDescent="0.25">
      <c r="A264" s="17"/>
      <c r="B264" s="31" t="s">
        <v>7</v>
      </c>
      <c r="C264" s="264">
        <v>337.28</v>
      </c>
      <c r="D264" s="264" t="s">
        <v>998</v>
      </c>
      <c r="E264" s="34"/>
      <c r="G264" s="34">
        <f>G258-G260-G262-G263</f>
        <v>204</v>
      </c>
      <c r="H264" s="1675"/>
    </row>
    <row r="265" spans="1:18" ht="15.75" thickBot="1" x14ac:dyDescent="0.3">
      <c r="A265" s="17"/>
      <c r="B265" s="242" t="s">
        <v>6</v>
      </c>
      <c r="C265" s="264">
        <v>330</v>
      </c>
      <c r="D265" s="264" t="s">
        <v>998</v>
      </c>
      <c r="E265" s="1693"/>
      <c r="F265" s="1689"/>
      <c r="G265" s="245">
        <v>298</v>
      </c>
      <c r="H265" s="1690"/>
    </row>
    <row r="266" spans="1:18" ht="15.75" thickBot="1" x14ac:dyDescent="0.3">
      <c r="A266" s="1808">
        <v>7</v>
      </c>
      <c r="B266" s="1809" t="s">
        <v>5</v>
      </c>
      <c r="C266" s="1670"/>
      <c r="D266" s="1670"/>
      <c r="E266" s="1669" t="s">
        <v>911</v>
      </c>
      <c r="F266" s="1669" t="s">
        <v>912</v>
      </c>
      <c r="G266" s="1670" t="s">
        <v>188</v>
      </c>
      <c r="H266" s="1671" t="s">
        <v>989</v>
      </c>
    </row>
    <row r="267" spans="1:18" x14ac:dyDescent="0.25">
      <c r="A267" s="83"/>
      <c r="B267" s="122" t="s">
        <v>4</v>
      </c>
      <c r="C267" s="1064"/>
      <c r="D267" s="1064"/>
      <c r="E267" s="33"/>
      <c r="G267" s="750"/>
      <c r="H267" s="1675"/>
    </row>
    <row r="268" spans="1:18" x14ac:dyDescent="0.25">
      <c r="A268" s="83"/>
      <c r="B268" s="235" t="s">
        <v>3</v>
      </c>
      <c r="C268" s="234">
        <v>28770</v>
      </c>
      <c r="D268" s="234" t="s">
        <v>915</v>
      </c>
      <c r="E268" s="245"/>
      <c r="F268" s="1659"/>
      <c r="G268" s="245">
        <v>5.9</v>
      </c>
      <c r="H268" s="1678"/>
      <c r="I268" s="817"/>
    </row>
    <row r="269" spans="1:18" x14ac:dyDescent="0.25">
      <c r="A269" s="83"/>
      <c r="B269" s="122" t="s">
        <v>1</v>
      </c>
      <c r="C269" s="13"/>
      <c r="D269" s="13"/>
      <c r="E269" s="1651"/>
      <c r="G269" s="1651">
        <f>G268</f>
        <v>5.9</v>
      </c>
      <c r="H269" s="1675"/>
    </row>
    <row r="270" spans="1:18" x14ac:dyDescent="0.25">
      <c r="A270" s="83"/>
      <c r="B270" s="122" t="s">
        <v>16</v>
      </c>
      <c r="C270" s="13"/>
      <c r="D270" s="13"/>
      <c r="E270" s="282"/>
      <c r="G270" s="750"/>
      <c r="H270" s="1675"/>
    </row>
    <row r="271" spans="1:18" x14ac:dyDescent="0.25">
      <c r="A271" s="15"/>
      <c r="B271" s="247" t="s">
        <v>906</v>
      </c>
      <c r="C271" s="266">
        <v>19646.41</v>
      </c>
      <c r="D271" s="254" t="s">
        <v>992</v>
      </c>
      <c r="E271" s="275">
        <v>79215.8</v>
      </c>
      <c r="F271" s="1686">
        <v>94113.3</v>
      </c>
      <c r="G271" s="1652">
        <f>F271-E271</f>
        <v>14897.5</v>
      </c>
      <c r="H271" s="1751">
        <f>G271/G9</f>
        <v>5.9518577706751898</v>
      </c>
    </row>
    <row r="272" spans="1:18" x14ac:dyDescent="0.25">
      <c r="A272" s="15"/>
      <c r="B272" s="951"/>
      <c r="C272" s="1703">
        <f>C271/C9</f>
        <v>7.8585640000000003</v>
      </c>
      <c r="D272" s="1703" t="s">
        <v>1000</v>
      </c>
      <c r="E272" s="946"/>
      <c r="G272" s="750"/>
      <c r="H272" s="1675"/>
    </row>
    <row r="273" spans="1:11" x14ac:dyDescent="0.25">
      <c r="A273" s="15"/>
      <c r="B273" s="247" t="s">
        <v>119</v>
      </c>
      <c r="C273" s="266">
        <v>10757.64</v>
      </c>
      <c r="D273" s="254" t="s">
        <v>993</v>
      </c>
      <c r="E273" s="275">
        <v>81749.95</v>
      </c>
      <c r="F273" s="1686">
        <v>92760.52</v>
      </c>
      <c r="G273" s="1652">
        <f>F273-E273</f>
        <v>11010.570000000007</v>
      </c>
      <c r="H273" s="1751">
        <f>G273/G9</f>
        <v>4.3989492608869387</v>
      </c>
    </row>
    <row r="274" spans="1:11" ht="14.85" hidden="1" customHeight="1" x14ac:dyDescent="0.25">
      <c r="A274" s="15"/>
      <c r="B274" s="951"/>
      <c r="C274" s="952"/>
      <c r="D274" s="952"/>
      <c r="E274" s="946"/>
      <c r="G274" s="750"/>
      <c r="H274" s="1675"/>
    </row>
    <row r="275" spans="1:11" ht="14.85" hidden="1" customHeight="1" x14ac:dyDescent="0.25">
      <c r="A275" s="15"/>
      <c r="B275" s="44" t="s">
        <v>15</v>
      </c>
      <c r="C275" s="532"/>
      <c r="D275" s="532"/>
      <c r="E275" s="299"/>
      <c r="G275" s="750"/>
      <c r="H275" s="1675"/>
    </row>
    <row r="276" spans="1:11" ht="14.85" hidden="1" customHeight="1" x14ac:dyDescent="0.25">
      <c r="A276" s="15"/>
      <c r="B276" s="247" t="s">
        <v>120</v>
      </c>
      <c r="C276" s="266">
        <v>1308.96</v>
      </c>
      <c r="D276" s="266"/>
      <c r="E276" s="275"/>
      <c r="G276" s="750"/>
      <c r="H276" s="1675"/>
    </row>
    <row r="277" spans="1:11" ht="14.85" hidden="1" customHeight="1" x14ac:dyDescent="0.25">
      <c r="A277" s="15"/>
      <c r="B277" s="951"/>
      <c r="C277" s="952"/>
      <c r="D277" s="952"/>
      <c r="E277" s="33"/>
      <c r="G277" s="750"/>
      <c r="H277" s="1675"/>
    </row>
    <row r="278" spans="1:11" ht="14.85" hidden="1" customHeight="1" x14ac:dyDescent="0.25">
      <c r="A278" s="15"/>
      <c r="B278" s="247" t="s">
        <v>121</v>
      </c>
      <c r="C278" s="266">
        <v>5759.67</v>
      </c>
      <c r="D278" s="266"/>
      <c r="E278" s="275">
        <v>792.3</v>
      </c>
      <c r="G278" s="750"/>
      <c r="H278" s="1675"/>
    </row>
    <row r="279" spans="1:11" ht="14.85" hidden="1" customHeight="1" x14ac:dyDescent="0.25">
      <c r="A279" s="15"/>
      <c r="B279" s="951"/>
      <c r="C279" s="952"/>
      <c r="D279" s="952"/>
      <c r="E279" s="946"/>
      <c r="G279" s="750"/>
      <c r="H279" s="1675"/>
    </row>
    <row r="280" spans="1:11" ht="14.85" hidden="1" customHeight="1" x14ac:dyDescent="0.25">
      <c r="A280" s="15"/>
      <c r="B280" s="44" t="s">
        <v>7</v>
      </c>
      <c r="C280" s="532"/>
      <c r="D280" s="532"/>
      <c r="E280" s="299"/>
      <c r="G280" s="750"/>
      <c r="H280" s="1675"/>
    </row>
    <row r="281" spans="1:11" ht="15.75" thickBot="1" x14ac:dyDescent="0.3">
      <c r="A281" s="15"/>
      <c r="B281" s="1758"/>
      <c r="C281" s="1759">
        <f>C273/C9</f>
        <v>4.3030559999999998</v>
      </c>
      <c r="D281" s="1759" t="s">
        <v>1000</v>
      </c>
      <c r="E281" s="1760"/>
      <c r="F281" s="1761"/>
      <c r="G281" s="1762"/>
      <c r="H281" s="1763"/>
    </row>
    <row r="282" spans="1:11" ht="15" hidden="1" customHeight="1" thickBot="1" x14ac:dyDescent="0.3">
      <c r="A282" s="19"/>
      <c r="B282" s="248" t="s">
        <v>123</v>
      </c>
      <c r="C282" s="267">
        <v>241.12</v>
      </c>
      <c r="D282" s="267"/>
      <c r="E282" s="1694"/>
      <c r="F282" s="1695"/>
      <c r="G282" s="1696"/>
      <c r="H282" s="1697"/>
    </row>
    <row r="284" spans="1:11" ht="15.75" x14ac:dyDescent="0.25">
      <c r="B284" s="2239" t="s">
        <v>920</v>
      </c>
      <c r="C284" s="2239"/>
      <c r="D284" s="1790"/>
      <c r="E284" s="2239" t="s">
        <v>921</v>
      </c>
      <c r="F284" s="2239"/>
      <c r="G284" s="2239"/>
      <c r="H284" s="2240" t="s">
        <v>926</v>
      </c>
      <c r="I284" s="2240"/>
      <c r="J284" s="2241" t="s">
        <v>930</v>
      </c>
      <c r="K284" s="2241"/>
    </row>
    <row r="285" spans="1:11" x14ac:dyDescent="0.25">
      <c r="B285" s="2231" t="s">
        <v>918</v>
      </c>
      <c r="C285" s="2232"/>
      <c r="D285" s="1789"/>
      <c r="E285" s="2231" t="s">
        <v>928</v>
      </c>
      <c r="F285" s="2232"/>
      <c r="G285" s="2232"/>
      <c r="H285" s="2231" t="s">
        <v>929</v>
      </c>
      <c r="I285" s="2232"/>
      <c r="J285" s="2233" t="s">
        <v>931</v>
      </c>
      <c r="K285" s="2233"/>
    </row>
    <row r="286" spans="1:11" ht="24.6" customHeight="1" x14ac:dyDescent="0.25">
      <c r="B286" s="2232"/>
      <c r="C286" s="2232"/>
      <c r="D286" s="1789"/>
      <c r="E286" s="2232"/>
      <c r="F286" s="2232"/>
      <c r="G286" s="2232"/>
      <c r="H286" s="2232"/>
      <c r="I286" s="2232"/>
      <c r="J286" s="2233"/>
      <c r="K286" s="2233"/>
    </row>
    <row r="287" spans="1:11" ht="14.85" customHeight="1" x14ac:dyDescent="0.25">
      <c r="B287" s="2231" t="s">
        <v>952</v>
      </c>
      <c r="C287" s="2232"/>
      <c r="D287" s="1789"/>
      <c r="E287" s="2231" t="s">
        <v>957</v>
      </c>
      <c r="F287" s="2232"/>
      <c r="G287" s="2232"/>
      <c r="H287" s="2231" t="s">
        <v>953</v>
      </c>
      <c r="I287" s="2232"/>
      <c r="J287" s="2233" t="s">
        <v>931</v>
      </c>
      <c r="K287" s="2233"/>
    </row>
    <row r="288" spans="1:11" ht="26.85" customHeight="1" x14ac:dyDescent="0.25">
      <c r="B288" s="2232"/>
      <c r="C288" s="2232"/>
      <c r="D288" s="1789"/>
      <c r="E288" s="2232"/>
      <c r="F288" s="2232"/>
      <c r="G288" s="2232"/>
      <c r="H288" s="2232"/>
      <c r="I288" s="2232"/>
      <c r="J288" s="2233"/>
      <c r="K288" s="2233"/>
    </row>
    <row r="289" spans="2:11" ht="41.85" customHeight="1" x14ac:dyDescent="0.25">
      <c r="B289" s="2231" t="s">
        <v>919</v>
      </c>
      <c r="C289" s="2232"/>
      <c r="D289" s="1789"/>
      <c r="E289" s="2231" t="s">
        <v>932</v>
      </c>
      <c r="F289" s="2232"/>
      <c r="G289" s="2232"/>
      <c r="H289" s="2232" t="s">
        <v>933</v>
      </c>
      <c r="I289" s="2232"/>
      <c r="J289" s="2233" t="s">
        <v>931</v>
      </c>
      <c r="K289" s="2233"/>
    </row>
    <row r="290" spans="2:11" ht="14.85" customHeight="1" x14ac:dyDescent="0.25">
      <c r="B290" s="2227" t="s">
        <v>927</v>
      </c>
      <c r="C290" s="2228"/>
      <c r="D290" s="1787"/>
      <c r="E290" s="2231" t="s">
        <v>934</v>
      </c>
      <c r="F290" s="2231"/>
      <c r="G290" s="2231"/>
      <c r="H290" s="2232" t="s">
        <v>935</v>
      </c>
      <c r="I290" s="2232"/>
      <c r="J290" s="2233" t="s">
        <v>931</v>
      </c>
      <c r="K290" s="2233"/>
    </row>
    <row r="291" spans="2:11" x14ac:dyDescent="0.25">
      <c r="B291" s="2229"/>
      <c r="C291" s="2230"/>
      <c r="D291" s="1788"/>
      <c r="E291" s="2231"/>
      <c r="F291" s="2231"/>
      <c r="G291" s="2231"/>
      <c r="H291" s="2232"/>
      <c r="I291" s="2232"/>
      <c r="J291" s="2233"/>
      <c r="K291" s="2233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B19" zoomScale="110" zoomScaleNormal="110" workbookViewId="0">
      <selection activeCell="K36" sqref="K36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28" t="s">
        <v>217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29" t="s">
        <v>359</v>
      </c>
      <c r="C3" s="830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947">
        <f>('JUNI 2025'!AL10)/1000</f>
        <v>1781.3187</v>
      </c>
      <c r="O3" s="832" t="s">
        <v>379</v>
      </c>
    </row>
    <row r="4" spans="2:15" x14ac:dyDescent="0.25">
      <c r="B4" s="833" t="s">
        <v>229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2">
        <f>'JUNI 2025'!AL6</f>
        <v>10</v>
      </c>
      <c r="O4" s="834" t="s">
        <v>228</v>
      </c>
    </row>
    <row r="5" spans="2:15" x14ac:dyDescent="0.25">
      <c r="B5" s="835" t="s">
        <v>230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2">
        <f>N4*N3</f>
        <v>17813.187000000002</v>
      </c>
      <c r="O5" s="834" t="s">
        <v>280</v>
      </c>
    </row>
    <row r="6" spans="2:15" ht="15.75" thickBot="1" x14ac:dyDescent="0.3">
      <c r="B6" s="836" t="s">
        <v>231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1184">
        <v>16000</v>
      </c>
      <c r="O6" s="837" t="s">
        <v>232</v>
      </c>
    </row>
    <row r="7" spans="2:15" ht="21" customHeight="1" thickBot="1" x14ac:dyDescent="0.3">
      <c r="B7" s="838" t="s">
        <v>99</v>
      </c>
      <c r="C7" s="839" t="s">
        <v>218</v>
      </c>
      <c r="D7" s="2242" t="s">
        <v>219</v>
      </c>
      <c r="E7" s="2242"/>
      <c r="F7" s="2243" t="s">
        <v>220</v>
      </c>
      <c r="G7" s="2243"/>
      <c r="H7" s="2244" t="s">
        <v>221</v>
      </c>
      <c r="I7" s="2245"/>
      <c r="J7" s="841" t="s">
        <v>222</v>
      </c>
      <c r="K7" s="2246" t="s">
        <v>223</v>
      </c>
      <c r="L7" s="2247"/>
      <c r="M7" s="840" t="s">
        <v>224</v>
      </c>
      <c r="N7" s="840" t="s">
        <v>225</v>
      </c>
      <c r="O7" s="842" t="s">
        <v>226</v>
      </c>
    </row>
    <row r="8" spans="2:15" ht="15.75" thickTop="1" x14ac:dyDescent="0.25">
      <c r="B8" s="843">
        <v>1</v>
      </c>
      <c r="C8" s="844" t="s">
        <v>233</v>
      </c>
      <c r="D8" s="959">
        <f>'JUNI 2025'!$AL$76</f>
        <v>8.5932405021066689</v>
      </c>
      <c r="E8" s="845"/>
      <c r="F8" s="846">
        <f>($D$8*$N$3*10)</f>
        <v>153073</v>
      </c>
      <c r="G8" s="847" t="s">
        <v>234</v>
      </c>
      <c r="H8" s="846">
        <f>$N$4</f>
        <v>10</v>
      </c>
      <c r="I8" s="846"/>
      <c r="J8" s="950">
        <f>$H$8*$F$8</f>
        <v>1530730</v>
      </c>
      <c r="K8" s="848">
        <v>2400</v>
      </c>
      <c r="L8" s="848"/>
      <c r="M8" s="846">
        <f>$J$8*$K$8</f>
        <v>3673752000</v>
      </c>
      <c r="N8" s="849">
        <f>$M$8/($N$5*1000)</f>
        <v>206.23777205056007</v>
      </c>
      <c r="O8" s="850">
        <f>($M$8/$N$6)/$N$5</f>
        <v>12.889860753160002</v>
      </c>
    </row>
    <row r="9" spans="2:15" x14ac:dyDescent="0.25">
      <c r="B9" s="851">
        <v>2</v>
      </c>
      <c r="C9" s="366" t="s">
        <v>235</v>
      </c>
      <c r="D9" s="372">
        <f>'JUNI 2025'!$AL$84</f>
        <v>0.49363654016544034</v>
      </c>
      <c r="E9" s="852"/>
      <c r="F9" s="379">
        <f>($D$9*$N$3*10)</f>
        <v>8793.24</v>
      </c>
      <c r="G9" s="853" t="s">
        <v>234</v>
      </c>
      <c r="H9" s="379">
        <f>$H$8</f>
        <v>10</v>
      </c>
      <c r="I9" s="379"/>
      <c r="J9" s="379">
        <f>$H$9*$F$9</f>
        <v>87932.4</v>
      </c>
      <c r="K9" s="367">
        <v>17420</v>
      </c>
      <c r="L9" s="367"/>
      <c r="M9" s="379">
        <f>$J$9*$K$9</f>
        <v>1531782408</v>
      </c>
      <c r="N9" s="401">
        <f>$M$9/($N$5*1000)</f>
        <v>85.991485296819704</v>
      </c>
      <c r="O9" s="854">
        <f>($M$9/$N$6)/$N$5</f>
        <v>5.3744678310512315</v>
      </c>
    </row>
    <row r="10" spans="2:15" x14ac:dyDescent="0.25">
      <c r="B10" s="851">
        <v>3</v>
      </c>
      <c r="C10" s="366" t="s">
        <v>236</v>
      </c>
      <c r="D10" s="372">
        <v>29.1666666666667</v>
      </c>
      <c r="E10" s="853" t="s">
        <v>237</v>
      </c>
      <c r="F10" s="379">
        <f>D10</f>
        <v>29.1666666666667</v>
      </c>
      <c r="G10" s="853" t="s">
        <v>237</v>
      </c>
      <c r="H10" s="379">
        <f>$H$8</f>
        <v>10</v>
      </c>
      <c r="I10" s="379"/>
      <c r="J10" s="379">
        <f>$H$10*$F$10</f>
        <v>291.66666666666697</v>
      </c>
      <c r="K10" s="367">
        <v>15700</v>
      </c>
      <c r="L10" s="367"/>
      <c r="M10" s="379">
        <f>$J$10*$K$10</f>
        <v>4579166.6666666716</v>
      </c>
      <c r="N10" s="401">
        <f>$M$10/($N$5*1000)</f>
        <v>0.25706610875789221</v>
      </c>
      <c r="O10" s="854">
        <f>($M$10/$N$6)/$N$5</f>
        <v>1.606663179736826E-2</v>
      </c>
    </row>
    <row r="11" spans="2:15" x14ac:dyDescent="0.25">
      <c r="B11" s="855">
        <v>4</v>
      </c>
      <c r="C11" s="366" t="s">
        <v>238</v>
      </c>
      <c r="D11" s="401"/>
      <c r="E11" s="852"/>
      <c r="F11" s="379"/>
      <c r="G11" s="853"/>
      <c r="H11" s="379"/>
      <c r="I11" s="379"/>
      <c r="J11" s="379"/>
      <c r="K11" s="367"/>
      <c r="L11" s="367"/>
      <c r="M11" s="379"/>
      <c r="N11" s="401"/>
      <c r="O11" s="854"/>
    </row>
    <row r="12" spans="2:15" x14ac:dyDescent="0.25">
      <c r="B12" s="856"/>
      <c r="C12" s="368" t="s">
        <v>239</v>
      </c>
      <c r="D12" s="401">
        <f>'JUNI 2025'!$AL$244</f>
        <v>2032.2783503777509</v>
      </c>
      <c r="E12" s="852" t="s">
        <v>240</v>
      </c>
      <c r="F12" s="379">
        <f>$D$12*$N$3</f>
        <v>3620135.4291330399</v>
      </c>
      <c r="G12" s="853" t="s">
        <v>241</v>
      </c>
      <c r="H12" s="379">
        <f>$H$8</f>
        <v>10</v>
      </c>
      <c r="I12" s="379"/>
      <c r="J12" s="379">
        <f>$H$12*$F$12</f>
        <v>36201354.291330397</v>
      </c>
      <c r="K12" s="367">
        <f>11.5*$N$6</f>
        <v>184000</v>
      </c>
      <c r="L12" s="367"/>
      <c r="M12" s="379">
        <f>$J$12*$K$12</f>
        <v>6661049189604.793</v>
      </c>
      <c r="N12" s="401">
        <f>$M$12/($N$5*1000)</f>
        <v>373939.21646950615</v>
      </c>
      <c r="O12" s="854">
        <f>($M$12/$N$6)/$N$5</f>
        <v>23371.201029344131</v>
      </c>
    </row>
    <row r="13" spans="2:15" x14ac:dyDescent="0.25">
      <c r="B13" s="856"/>
      <c r="C13" s="368" t="s">
        <v>242</v>
      </c>
      <c r="D13" s="401">
        <v>0</v>
      </c>
      <c r="E13" s="852" t="s">
        <v>240</v>
      </c>
      <c r="F13" s="379">
        <f>$D$13*$N$3</f>
        <v>0</v>
      </c>
      <c r="G13" s="853" t="s">
        <v>241</v>
      </c>
      <c r="H13" s="379">
        <f>$H$8</f>
        <v>10</v>
      </c>
      <c r="I13" s="379"/>
      <c r="J13" s="379">
        <f>$H$13*$F$13</f>
        <v>0</v>
      </c>
      <c r="K13" s="367">
        <f>11.5*$N$6</f>
        <v>184000</v>
      </c>
      <c r="L13" s="367"/>
      <c r="M13" s="379">
        <f>$J$13*$K$13</f>
        <v>0</v>
      </c>
      <c r="N13" s="401">
        <f>$M$13/($N$5*1000)</f>
        <v>0</v>
      </c>
      <c r="O13" s="854">
        <f>($M$13/$N$6)/$N$5</f>
        <v>0</v>
      </c>
    </row>
    <row r="14" spans="2:15" x14ac:dyDescent="0.25">
      <c r="B14" s="857"/>
      <c r="C14" s="368" t="s">
        <v>243</v>
      </c>
      <c r="D14" s="401">
        <v>0</v>
      </c>
      <c r="E14" s="852" t="s">
        <v>240</v>
      </c>
      <c r="F14" s="379">
        <f>$D$14*$N$3</f>
        <v>0</v>
      </c>
      <c r="G14" s="853" t="s">
        <v>241</v>
      </c>
      <c r="H14" s="379">
        <f>$H$8</f>
        <v>10</v>
      </c>
      <c r="I14" s="379"/>
      <c r="J14" s="379">
        <f>$H$14*$F$14</f>
        <v>0</v>
      </c>
      <c r="K14" s="367">
        <f>11.5*$N$6</f>
        <v>184000</v>
      </c>
      <c r="L14" s="367"/>
      <c r="M14" s="379">
        <f>$J$14*$K$14</f>
        <v>0</v>
      </c>
      <c r="N14" s="401">
        <f>$M$14/($N$5*1000)</f>
        <v>0</v>
      </c>
      <c r="O14" s="854">
        <f>($M$14/$N$6)/$N$5</f>
        <v>0</v>
      </c>
    </row>
    <row r="15" spans="2:15" x14ac:dyDescent="0.25">
      <c r="B15" s="855">
        <v>5</v>
      </c>
      <c r="C15" s="366" t="s">
        <v>360</v>
      </c>
      <c r="D15" s="401"/>
      <c r="E15" s="852"/>
      <c r="F15" s="379"/>
      <c r="G15" s="853"/>
      <c r="H15" s="379"/>
      <c r="I15" s="379"/>
      <c r="J15" s="379"/>
      <c r="K15" s="367"/>
      <c r="L15" s="367"/>
      <c r="M15" s="379"/>
      <c r="N15" s="401"/>
      <c r="O15" s="854"/>
    </row>
    <row r="16" spans="2:15" x14ac:dyDescent="0.25">
      <c r="B16" s="856"/>
      <c r="C16" s="368" t="s">
        <v>244</v>
      </c>
      <c r="D16" s="369">
        <f>'JUNI 2025'!AL251</f>
        <v>790.67000000000007</v>
      </c>
      <c r="E16" s="852" t="s">
        <v>245</v>
      </c>
      <c r="F16" s="379">
        <f>$D$16*$N$3/1000</f>
        <v>1408.4352565290001</v>
      </c>
      <c r="G16" s="853" t="s">
        <v>246</v>
      </c>
      <c r="H16" s="379">
        <f>$H$8</f>
        <v>10</v>
      </c>
      <c r="I16" s="379"/>
      <c r="J16" s="379">
        <f>$H$16*$F$16</f>
        <v>14084.352565290001</v>
      </c>
      <c r="K16" s="367">
        <f>Steam!H15</f>
        <v>529847.07184166647</v>
      </c>
      <c r="L16" s="367"/>
      <c r="M16" s="379">
        <f>$J$16*$K$16</f>
        <v>7462552965.504571</v>
      </c>
      <c r="N16" s="401">
        <f>$M$16/($N$5*1000)</f>
        <v>418.93418429305046</v>
      </c>
      <c r="O16" s="854">
        <f>($M$16/$N$6)/$N$5</f>
        <v>26.18338651831565</v>
      </c>
    </row>
    <row r="17" spans="2:15" x14ac:dyDescent="0.25">
      <c r="B17" s="857"/>
      <c r="C17" s="368" t="s">
        <v>247</v>
      </c>
      <c r="D17" s="369">
        <f>'JUNI 2025'!$AL$255</f>
        <v>602.37299999999993</v>
      </c>
      <c r="E17" s="852" t="s">
        <v>245</v>
      </c>
      <c r="F17" s="379">
        <f>$D$17*$N$3/1000</f>
        <v>1073.0182892751</v>
      </c>
      <c r="G17" s="853" t="s">
        <v>246</v>
      </c>
      <c r="H17" s="379">
        <f>$H$8</f>
        <v>10</v>
      </c>
      <c r="I17" s="379"/>
      <c r="J17" s="379">
        <f>$H$17*$F$17</f>
        <v>10730.182892751</v>
      </c>
      <c r="K17" s="367">
        <f>Steam!H15</f>
        <v>529847.07184166647</v>
      </c>
      <c r="L17" s="367"/>
      <c r="M17" s="379">
        <f>$J$17*$K$17</f>
        <v>5685355986.0496597</v>
      </c>
      <c r="N17" s="401">
        <f>$M$17/($N$5*1000)</f>
        <v>319.16557020648014</v>
      </c>
      <c r="O17" s="854">
        <f>($M$17/$N$6)/$N$5</f>
        <v>19.947848137905009</v>
      </c>
    </row>
    <row r="18" spans="2:15" x14ac:dyDescent="0.25">
      <c r="B18" s="856">
        <v>6</v>
      </c>
      <c r="C18" s="366" t="s">
        <v>361</v>
      </c>
      <c r="D18" s="371"/>
      <c r="E18" s="852"/>
      <c r="F18" s="374"/>
      <c r="G18" s="853"/>
      <c r="H18" s="379"/>
      <c r="I18" s="379"/>
      <c r="J18" s="379"/>
      <c r="K18" s="367"/>
      <c r="L18" s="367"/>
      <c r="M18" s="379"/>
      <c r="N18" s="401"/>
      <c r="O18" s="854"/>
    </row>
    <row r="19" spans="2:15" x14ac:dyDescent="0.25">
      <c r="B19" s="856"/>
      <c r="C19" s="368" t="s">
        <v>244</v>
      </c>
      <c r="D19" s="401">
        <f>'JUNI 2025'!$AL$274</f>
        <v>135763</v>
      </c>
      <c r="E19" s="852" t="s">
        <v>248</v>
      </c>
      <c r="F19" s="379">
        <f>$D$19*$N$3</f>
        <v>241837170.6681</v>
      </c>
      <c r="G19" s="853" t="s">
        <v>249</v>
      </c>
      <c r="H19" s="379">
        <f>$H$8</f>
        <v>10</v>
      </c>
      <c r="I19" s="379">
        <v>0</v>
      </c>
      <c r="J19" s="379">
        <f>$H$19*$F$19</f>
        <v>2418371706.6809998</v>
      </c>
      <c r="K19" s="367">
        <v>1550</v>
      </c>
      <c r="L19" s="367">
        <f>[5]Electric!H21</f>
        <v>3666.6666666666665</v>
      </c>
      <c r="M19" s="379">
        <f>($F$19*$H$19*$K$19)+($F$19*$I$19*$L$19)</f>
        <v>3748476145355.5498</v>
      </c>
      <c r="N19" s="401">
        <f>$M$19/($N$5*1000)</f>
        <v>210432.65</v>
      </c>
      <c r="O19" s="854">
        <f>($M$19/$N$6)/$N$5</f>
        <v>13152.040624999998</v>
      </c>
    </row>
    <row r="20" spans="2:15" x14ac:dyDescent="0.25">
      <c r="B20" s="856"/>
      <c r="C20" s="368" t="s">
        <v>250</v>
      </c>
      <c r="D20" s="372">
        <f>'JUNI 2025'!$AL$276</f>
        <v>99647.499999999985</v>
      </c>
      <c r="E20" s="852" t="s">
        <v>248</v>
      </c>
      <c r="F20" s="379">
        <f>$D$20*$N$3</f>
        <v>177503955.15824997</v>
      </c>
      <c r="G20" s="853" t="s">
        <v>249</v>
      </c>
      <c r="H20" s="379">
        <f>$H$8</f>
        <v>10</v>
      </c>
      <c r="I20" s="379">
        <v>0</v>
      </c>
      <c r="J20" s="379">
        <f>$H$20*$F$20</f>
        <v>1775039551.5824997</v>
      </c>
      <c r="K20" s="367">
        <v>1550</v>
      </c>
      <c r="L20" s="367">
        <f>L19</f>
        <v>3666.6666666666665</v>
      </c>
      <c r="M20" s="379">
        <f>(F20*H20*K20)+(F20*I20*L20)</f>
        <v>2751311304952.8745</v>
      </c>
      <c r="N20" s="401">
        <f>$M$20/($N$5*1000)</f>
        <v>154453.62499999997</v>
      </c>
      <c r="O20" s="854">
        <f>($M$20/$N$6)/$N$5</f>
        <v>9653.3515624999982</v>
      </c>
    </row>
    <row r="21" spans="2:15" x14ac:dyDescent="0.25">
      <c r="B21" s="856"/>
      <c r="C21" s="368" t="s">
        <v>251</v>
      </c>
      <c r="D21" s="373">
        <v>0.33778769841269801</v>
      </c>
      <c r="E21" s="852" t="s">
        <v>248</v>
      </c>
      <c r="F21" s="379">
        <f>$D$21*$N$3</f>
        <v>601.70754381249935</v>
      </c>
      <c r="G21" s="853" t="s">
        <v>249</v>
      </c>
      <c r="H21" s="379">
        <f>$H$8</f>
        <v>10</v>
      </c>
      <c r="I21" s="379">
        <v>0</v>
      </c>
      <c r="J21" s="379">
        <f>$H$21*$F$21</f>
        <v>6017.0754381249935</v>
      </c>
      <c r="K21" s="367">
        <v>1550</v>
      </c>
      <c r="L21" s="367">
        <f>L20</f>
        <v>3666.6666666666665</v>
      </c>
      <c r="M21" s="379">
        <f>($F$21*$H$21*$K$21)+($F$21*$I$21*$L$21)</f>
        <v>9326466.9290937409</v>
      </c>
      <c r="N21" s="401">
        <f>$M$21/($N$5*1000)</f>
        <v>0.52357093253968201</v>
      </c>
      <c r="O21" s="854">
        <f>($M$21/$N$6)/$N$5</f>
        <v>3.2723183283730126E-2</v>
      </c>
    </row>
    <row r="22" spans="2:15" x14ac:dyDescent="0.25">
      <c r="B22" s="856">
        <v>7</v>
      </c>
      <c r="C22" s="366" t="s">
        <v>362</v>
      </c>
      <c r="D22" s="372"/>
      <c r="E22" s="852"/>
      <c r="F22" s="379"/>
      <c r="G22" s="853"/>
      <c r="H22" s="379"/>
      <c r="I22" s="379"/>
      <c r="J22" s="379"/>
      <c r="K22" s="367"/>
      <c r="L22" s="367"/>
      <c r="M22" s="379"/>
      <c r="N22" s="401"/>
      <c r="O22" s="854"/>
    </row>
    <row r="23" spans="2:15" x14ac:dyDescent="0.25">
      <c r="B23" s="856"/>
      <c r="C23" s="368" t="s">
        <v>253</v>
      </c>
      <c r="D23" s="369">
        <f>'JUNI 2025'!$AL$261</f>
        <v>1279</v>
      </c>
      <c r="E23" s="852" t="s">
        <v>254</v>
      </c>
      <c r="F23" s="379">
        <f>$D$23</f>
        <v>1279</v>
      </c>
      <c r="G23" s="853" t="s">
        <v>254</v>
      </c>
      <c r="H23" s="379">
        <f>$H$8</f>
        <v>10</v>
      </c>
      <c r="I23" s="379"/>
      <c r="J23" s="379">
        <f>$H$23*$F$23</f>
        <v>12790</v>
      </c>
      <c r="K23" s="367" t="e">
        <f>WTP!H13</f>
        <v>#VALUE!</v>
      </c>
      <c r="L23" s="367"/>
      <c r="M23" s="379" t="e">
        <f>$J$23*$K$23</f>
        <v>#VALUE!</v>
      </c>
      <c r="N23" s="401" t="e">
        <f>$M$23/($N$5*1000)</f>
        <v>#VALUE!</v>
      </c>
      <c r="O23" s="854" t="e">
        <f>($M$23/$N$6)/$N$5</f>
        <v>#VALUE!</v>
      </c>
    </row>
    <row r="24" spans="2:15" x14ac:dyDescent="0.25">
      <c r="B24" s="855">
        <v>8</v>
      </c>
      <c r="C24" s="366" t="s">
        <v>255</v>
      </c>
      <c r="D24" s="374"/>
      <c r="E24" s="852"/>
      <c r="F24" s="379"/>
      <c r="G24" s="853"/>
      <c r="H24" s="379"/>
      <c r="I24" s="379"/>
      <c r="J24" s="379"/>
      <c r="K24" s="367"/>
      <c r="L24" s="367"/>
      <c r="M24" s="379"/>
      <c r="N24" s="401">
        <f>$M$24/($N$5*1000)</f>
        <v>0</v>
      </c>
      <c r="O24" s="854">
        <f>($M$24/$N$6)/$N$5</f>
        <v>0</v>
      </c>
    </row>
    <row r="25" spans="2:15" x14ac:dyDescent="0.25">
      <c r="B25" s="856"/>
      <c r="C25" s="368" t="s">
        <v>256</v>
      </c>
      <c r="D25" s="374">
        <v>0.4</v>
      </c>
      <c r="E25" s="852" t="s">
        <v>234</v>
      </c>
      <c r="F25" s="374">
        <f>D25</f>
        <v>0.4</v>
      </c>
      <c r="G25" s="853" t="s">
        <v>234</v>
      </c>
      <c r="H25" s="379">
        <f>$H$8</f>
        <v>10</v>
      </c>
      <c r="I25" s="379"/>
      <c r="J25" s="379">
        <f>$H$25*$F$25</f>
        <v>4</v>
      </c>
      <c r="K25" s="367">
        <v>27240</v>
      </c>
      <c r="L25" s="367"/>
      <c r="M25" s="379">
        <f>$J$25*$K$25</f>
        <v>108960</v>
      </c>
      <c r="N25" s="401">
        <f>$M$25/($N$5*1000)</f>
        <v>6.1168167156163576E-3</v>
      </c>
      <c r="O25" s="854">
        <f>($M$25/$N$6)/$N$5</f>
        <v>3.8230104472602229E-4</v>
      </c>
    </row>
    <row r="26" spans="2:15" x14ac:dyDescent="0.25">
      <c r="B26" s="856"/>
      <c r="C26" s="368" t="s">
        <v>257</v>
      </c>
      <c r="D26" s="374">
        <v>0.66</v>
      </c>
      <c r="E26" s="852" t="s">
        <v>234</v>
      </c>
      <c r="F26" s="374">
        <f>D26</f>
        <v>0.66</v>
      </c>
      <c r="G26" s="853" t="s">
        <v>234</v>
      </c>
      <c r="H26" s="379">
        <f>$H$8</f>
        <v>10</v>
      </c>
      <c r="I26" s="379"/>
      <c r="J26" s="379">
        <f>$H$26*$F$26</f>
        <v>6.6000000000000005</v>
      </c>
      <c r="K26" s="367">
        <v>29120</v>
      </c>
      <c r="L26" s="367"/>
      <c r="M26" s="379">
        <f>$J$26*$K$26</f>
        <v>192192.00000000003</v>
      </c>
      <c r="N26" s="401">
        <f>$M$26/($N$5*1000)</f>
        <v>1.0789310189131233E-2</v>
      </c>
      <c r="O26" s="854">
        <f>($M$26/$N$6)/$N$5</f>
        <v>6.7433188682070207E-4</v>
      </c>
    </row>
    <row r="27" spans="2:15" x14ac:dyDescent="0.25">
      <c r="B27" s="856"/>
      <c r="C27" s="368" t="s">
        <v>258</v>
      </c>
      <c r="D27" s="374">
        <v>0.41</v>
      </c>
      <c r="E27" s="852" t="s">
        <v>234</v>
      </c>
      <c r="F27" s="374">
        <f>D27</f>
        <v>0.41</v>
      </c>
      <c r="G27" s="853" t="s">
        <v>234</v>
      </c>
      <c r="H27" s="379">
        <f>$H$8</f>
        <v>10</v>
      </c>
      <c r="I27" s="379"/>
      <c r="J27" s="379">
        <f>$H$27*$F$27</f>
        <v>4.0999999999999996</v>
      </c>
      <c r="K27" s="367">
        <v>117212</v>
      </c>
      <c r="L27" s="367"/>
      <c r="M27" s="379">
        <f>$J$27*$K$27</f>
        <v>480569.19999999995</v>
      </c>
      <c r="N27" s="401">
        <f>$M$27/($N$5*1000)</f>
        <v>2.6978282998993946E-2</v>
      </c>
      <c r="O27" s="854">
        <f>($M$27/$N$6)/$N$5</f>
        <v>1.6861426874371214E-3</v>
      </c>
    </row>
    <row r="28" spans="2:15" x14ac:dyDescent="0.25">
      <c r="B28" s="857"/>
      <c r="C28" s="368" t="s">
        <v>259</v>
      </c>
      <c r="D28" s="374">
        <v>0.1</v>
      </c>
      <c r="E28" s="852" t="s">
        <v>234</v>
      </c>
      <c r="F28" s="374">
        <f>D28</f>
        <v>0.1</v>
      </c>
      <c r="G28" s="853" t="s">
        <v>234</v>
      </c>
      <c r="H28" s="379">
        <f>$H$8</f>
        <v>10</v>
      </c>
      <c r="I28" s="379"/>
      <c r="J28" s="379">
        <f>$H$28*$F$28</f>
        <v>1</v>
      </c>
      <c r="K28" s="367">
        <v>45940</v>
      </c>
      <c r="L28" s="367"/>
      <c r="M28" s="379">
        <f>$J$28*$K$28</f>
        <v>45940</v>
      </c>
      <c r="N28" s="401">
        <f>$M$28/($N$5*1000)</f>
        <v>2.5789882517934606E-3</v>
      </c>
      <c r="O28" s="854">
        <f>($M$28/$N$6)/$N$5</f>
        <v>1.6118676573709126E-4</v>
      </c>
    </row>
    <row r="29" spans="2:15" x14ac:dyDescent="0.25">
      <c r="B29" s="855">
        <v>9</v>
      </c>
      <c r="C29" s="366" t="s">
        <v>7</v>
      </c>
      <c r="D29" s="374"/>
      <c r="E29" s="852"/>
      <c r="F29" s="379"/>
      <c r="G29" s="853"/>
      <c r="H29" s="379"/>
      <c r="I29" s="379"/>
      <c r="J29" s="379"/>
      <c r="K29" s="367"/>
      <c r="L29" s="367"/>
      <c r="M29" s="379"/>
      <c r="N29" s="401"/>
      <c r="O29" s="854"/>
    </row>
    <row r="30" spans="2:15" x14ac:dyDescent="0.25">
      <c r="B30" s="856"/>
      <c r="C30" s="375" t="s">
        <v>260</v>
      </c>
      <c r="D30" s="376">
        <v>0.90361445783132532</v>
      </c>
      <c r="E30" s="858" t="s">
        <v>261</v>
      </c>
      <c r="F30" s="376">
        <f t="shared" ref="F30:F35" si="0">D30</f>
        <v>0.90361445783132532</v>
      </c>
      <c r="G30" s="859" t="s">
        <v>261</v>
      </c>
      <c r="H30" s="379">
        <f t="shared" ref="H30:H35" si="1">$H$8</f>
        <v>10</v>
      </c>
      <c r="I30" s="379"/>
      <c r="J30" s="379">
        <f>$H$30*$F$30</f>
        <v>9.0361445783132535</v>
      </c>
      <c r="K30" s="367">
        <v>40000</v>
      </c>
      <c r="L30" s="367"/>
      <c r="M30" s="379">
        <f>$J$30*$K$30</f>
        <v>361445.78313253017</v>
      </c>
      <c r="N30" s="401">
        <f>$M$30/($N$5*1000)</f>
        <v>2.0290910499762348E-2</v>
      </c>
      <c r="O30" s="854">
        <f>($M$30/$N$6)/$N$5</f>
        <v>1.2681819062351466E-3</v>
      </c>
    </row>
    <row r="31" spans="2:15" x14ac:dyDescent="0.25">
      <c r="B31" s="856"/>
      <c r="C31" s="375" t="s">
        <v>262</v>
      </c>
      <c r="D31" s="376">
        <v>0.63253012048192769</v>
      </c>
      <c r="E31" s="858" t="s">
        <v>261</v>
      </c>
      <c r="F31" s="376">
        <f t="shared" si="0"/>
        <v>0.63253012048192769</v>
      </c>
      <c r="G31" s="859" t="s">
        <v>261</v>
      </c>
      <c r="H31" s="379">
        <f t="shared" si="1"/>
        <v>10</v>
      </c>
      <c r="I31" s="379"/>
      <c r="J31" s="379">
        <f>$H$31*$F$31</f>
        <v>6.3253012048192767</v>
      </c>
      <c r="K31" s="367">
        <v>125000</v>
      </c>
      <c r="L31" s="367"/>
      <c r="M31" s="379">
        <f>$J$31*$K$31</f>
        <v>790662.65060240962</v>
      </c>
      <c r="N31" s="401">
        <f>$M$31/($N$5*1000)</f>
        <v>4.4386366718230132E-2</v>
      </c>
      <c r="O31" s="854">
        <f>($M$31/$N$6)/$N$5</f>
        <v>2.7741479198893828E-3</v>
      </c>
    </row>
    <row r="32" spans="2:15" x14ac:dyDescent="0.25">
      <c r="B32" s="856"/>
      <c r="C32" s="375" t="s">
        <v>263</v>
      </c>
      <c r="D32" s="376">
        <v>1.5666666666666667</v>
      </c>
      <c r="E32" s="858" t="s">
        <v>261</v>
      </c>
      <c r="F32" s="376">
        <f t="shared" si="0"/>
        <v>1.5666666666666667</v>
      </c>
      <c r="G32" s="859" t="s">
        <v>261</v>
      </c>
      <c r="H32" s="379">
        <f t="shared" si="1"/>
        <v>10</v>
      </c>
      <c r="I32" s="379"/>
      <c r="J32" s="379">
        <f>$H$32*$F$32</f>
        <v>15.666666666666666</v>
      </c>
      <c r="K32" s="367">
        <v>145000</v>
      </c>
      <c r="L32" s="367"/>
      <c r="M32" s="379">
        <f>$J$32*$K$32</f>
        <v>2271666.6666666665</v>
      </c>
      <c r="N32" s="401">
        <f>$M$32/($N$5*1000)</f>
        <v>0.1275272452182008</v>
      </c>
      <c r="O32" s="854">
        <f>($M$32/$N$6)/$N$5</f>
        <v>7.9704528261375484E-3</v>
      </c>
    </row>
    <row r="33" spans="2:15" x14ac:dyDescent="0.25">
      <c r="B33" s="856"/>
      <c r="C33" s="375" t="s">
        <v>264</v>
      </c>
      <c r="D33" s="376">
        <v>0.12048192771084337</v>
      </c>
      <c r="E33" s="858" t="s">
        <v>261</v>
      </c>
      <c r="F33" s="376">
        <f t="shared" si="0"/>
        <v>0.12048192771084337</v>
      </c>
      <c r="G33" s="859" t="s">
        <v>261</v>
      </c>
      <c r="H33" s="379">
        <f t="shared" si="1"/>
        <v>10</v>
      </c>
      <c r="I33" s="379"/>
      <c r="J33" s="379">
        <f>$H$33*$F$33</f>
        <v>1.2048192771084336</v>
      </c>
      <c r="K33" s="367">
        <v>682500</v>
      </c>
      <c r="L33" s="367"/>
      <c r="M33" s="379">
        <f>$J$33*$K$33</f>
        <v>822289.15662650589</v>
      </c>
      <c r="N33" s="401">
        <f>$M$33/($N$5*1000)</f>
        <v>4.6161821386959331E-2</v>
      </c>
      <c r="O33" s="854">
        <f>($M$33/$N$6)/$N$5</f>
        <v>2.8851138366849578E-3</v>
      </c>
    </row>
    <row r="34" spans="2:15" x14ac:dyDescent="0.25">
      <c r="B34" s="857"/>
      <c r="C34" s="375" t="s">
        <v>265</v>
      </c>
      <c r="D34" s="377">
        <v>3.6144578313253013</v>
      </c>
      <c r="E34" s="858" t="s">
        <v>261</v>
      </c>
      <c r="F34" s="376">
        <f t="shared" si="0"/>
        <v>3.6144578313253013</v>
      </c>
      <c r="G34" s="859" t="s">
        <v>261</v>
      </c>
      <c r="H34" s="379">
        <f t="shared" si="1"/>
        <v>10</v>
      </c>
      <c r="I34" s="379"/>
      <c r="J34" s="379">
        <f>$H$34*$F$34</f>
        <v>36.144578313253014</v>
      </c>
      <c r="K34" s="367">
        <v>14500</v>
      </c>
      <c r="L34" s="367"/>
      <c r="M34" s="379">
        <f>$J$34*$K$34</f>
        <v>524096.38554216869</v>
      </c>
      <c r="N34" s="401">
        <f>$M$34/($N$5*1000)</f>
        <v>2.9421820224655403E-2</v>
      </c>
      <c r="O34" s="854">
        <f>($M$34/$N$6)/$N$5</f>
        <v>1.8388637640409625E-3</v>
      </c>
    </row>
    <row r="35" spans="2:15" x14ac:dyDescent="0.25">
      <c r="B35" s="851">
        <v>10</v>
      </c>
      <c r="C35" s="378" t="s">
        <v>363</v>
      </c>
      <c r="D35" s="379">
        <f>'JUNI 2025'!$AL$267</f>
        <v>1219</v>
      </c>
      <c r="E35" s="852" t="s">
        <v>254</v>
      </c>
      <c r="F35" s="398">
        <f t="shared" si="0"/>
        <v>1219</v>
      </c>
      <c r="G35" s="859" t="s">
        <v>254</v>
      </c>
      <c r="H35" s="379">
        <f t="shared" si="1"/>
        <v>10</v>
      </c>
      <c r="I35" s="379"/>
      <c r="J35" s="379">
        <f>$H$35*$F$35</f>
        <v>12190</v>
      </c>
      <c r="K35" s="367">
        <f>WWTP!H17</f>
        <v>3464.8428081850452</v>
      </c>
      <c r="L35" s="367"/>
      <c r="M35" s="379">
        <f>$J$35*$K$35</f>
        <v>42236433.831775703</v>
      </c>
      <c r="N35" s="401">
        <f>$M$35/($N$5*1000)</f>
        <v>2.3710767664301566</v>
      </c>
      <c r="O35" s="854">
        <f>($M$35/$N$6)/$N$5</f>
        <v>0.14819229790188476</v>
      </c>
    </row>
    <row r="36" spans="2:15" x14ac:dyDescent="0.25">
      <c r="B36" s="856">
        <v>11</v>
      </c>
      <c r="C36" s="380" t="s">
        <v>266</v>
      </c>
      <c r="D36" s="377"/>
      <c r="E36" s="858"/>
      <c r="F36" s="382"/>
      <c r="G36" s="859"/>
      <c r="H36" s="379"/>
      <c r="I36" s="379"/>
      <c r="J36" s="379"/>
      <c r="K36" s="381"/>
      <c r="L36" s="381"/>
      <c r="M36" s="379"/>
      <c r="N36" s="401"/>
      <c r="O36" s="854"/>
    </row>
    <row r="37" spans="2:15" x14ac:dyDescent="0.25">
      <c r="B37" s="856"/>
      <c r="C37" s="375" t="s">
        <v>267</v>
      </c>
      <c r="D37" s="382">
        <f>'JUNI 2025'!$AL$88</f>
        <v>156289.676022</v>
      </c>
      <c r="E37" s="858" t="s">
        <v>234</v>
      </c>
      <c r="F37" s="382">
        <f>D37</f>
        <v>156289.676022</v>
      </c>
      <c r="G37" s="859" t="s">
        <v>234</v>
      </c>
      <c r="H37" s="379">
        <f>$H$8</f>
        <v>10</v>
      </c>
      <c r="I37" s="379"/>
      <c r="J37" s="379">
        <f>$F$37</f>
        <v>156289.676022</v>
      </c>
      <c r="K37" s="381">
        <v>0</v>
      </c>
      <c r="L37" s="381"/>
      <c r="M37" s="379">
        <f>$J$37*$K$37</f>
        <v>0</v>
      </c>
      <c r="N37" s="401">
        <f>$M$37/($N$5*1000)</f>
        <v>0</v>
      </c>
      <c r="O37" s="854">
        <f>($M$37/$N$6)/$N$5</f>
        <v>0</v>
      </c>
    </row>
    <row r="38" spans="2:15" x14ac:dyDescent="0.25">
      <c r="B38" s="856"/>
      <c r="C38" s="375" t="s">
        <v>268</v>
      </c>
      <c r="D38" s="376">
        <v>0.1</v>
      </c>
      <c r="E38" s="858" t="s">
        <v>269</v>
      </c>
      <c r="F38" s="376">
        <f>D38</f>
        <v>0.1</v>
      </c>
      <c r="G38" s="859" t="s">
        <v>269</v>
      </c>
      <c r="H38" s="379">
        <f>$H$8</f>
        <v>10</v>
      </c>
      <c r="I38" s="379"/>
      <c r="J38" s="379">
        <f>$H$38*$F$38</f>
        <v>1</v>
      </c>
      <c r="K38" s="381">
        <v>303030.30303030298</v>
      </c>
      <c r="L38" s="381"/>
      <c r="M38" s="379">
        <f>$J$38*$K$38</f>
        <v>303030.30303030298</v>
      </c>
      <c r="N38" s="401">
        <f>$M$38/($N$5*1000)</f>
        <v>1.701157142909368E-2</v>
      </c>
      <c r="O38" s="854">
        <f>($M$38/$N$6)/$N$5</f>
        <v>1.063223214318355E-3</v>
      </c>
    </row>
    <row r="39" spans="2:15" x14ac:dyDescent="0.25">
      <c r="B39" s="860">
        <v>12</v>
      </c>
      <c r="C39" s="383" t="s">
        <v>364</v>
      </c>
      <c r="D39" s="384"/>
      <c r="E39" s="861"/>
      <c r="F39" s="384"/>
      <c r="G39" s="862"/>
      <c r="H39" s="379"/>
      <c r="I39" s="863"/>
      <c r="J39" s="379"/>
      <c r="K39" s="385"/>
      <c r="L39" s="385"/>
      <c r="M39" s="379"/>
      <c r="N39" s="401">
        <f>$M$39/($N$5*1000)</f>
        <v>0</v>
      </c>
      <c r="O39" s="854">
        <f>($M$39/$N$6)/$N$5</f>
        <v>0</v>
      </c>
    </row>
    <row r="40" spans="2:15" x14ac:dyDescent="0.25">
      <c r="B40" s="864"/>
      <c r="C40" s="386" t="s">
        <v>270</v>
      </c>
      <c r="D40" s="384">
        <f>lab!H33</f>
        <v>745255.21064425772</v>
      </c>
      <c r="E40" s="861" t="s">
        <v>271</v>
      </c>
      <c r="F40" s="384">
        <f>D40</f>
        <v>745255.21064425772</v>
      </c>
      <c r="G40" s="862" t="s">
        <v>271</v>
      </c>
      <c r="H40" s="379">
        <f>$H$8</f>
        <v>10</v>
      </c>
      <c r="I40" s="863"/>
      <c r="J40" s="379"/>
      <c r="K40" s="385"/>
      <c r="L40" s="385"/>
      <c r="M40" s="379">
        <f>$H$40*$F$40</f>
        <v>7452552.1064425772</v>
      </c>
      <c r="N40" s="401">
        <f>$M$40/($N$5*1000)</f>
        <v>0.41837275420970865</v>
      </c>
      <c r="O40" s="854">
        <f>($M$40/$N$6)/$N$5</f>
        <v>2.6148297138106787E-2</v>
      </c>
    </row>
    <row r="41" spans="2:15" x14ac:dyDescent="0.25">
      <c r="B41" s="864"/>
      <c r="C41" s="386" t="s">
        <v>365</v>
      </c>
      <c r="D41" s="384">
        <f>lab!H54</f>
        <v>259161.44425770309</v>
      </c>
      <c r="E41" s="861" t="s">
        <v>271</v>
      </c>
      <c r="F41" s="384">
        <f>D41</f>
        <v>259161.44425770309</v>
      </c>
      <c r="G41" s="862" t="s">
        <v>271</v>
      </c>
      <c r="H41" s="379">
        <f>$H$8</f>
        <v>10</v>
      </c>
      <c r="I41" s="863"/>
      <c r="J41" s="379"/>
      <c r="K41" s="385"/>
      <c r="L41" s="385"/>
      <c r="M41" s="379">
        <f>$H$41*$F$41</f>
        <v>2591614.442577031</v>
      </c>
      <c r="N41" s="401">
        <f>$M$41/($N$5*1000)</f>
        <v>0.14548853288168093</v>
      </c>
      <c r="O41" s="854">
        <f>($M$41/$N$6)/$N$5</f>
        <v>9.0930333051050562E-3</v>
      </c>
    </row>
    <row r="42" spans="2:15" x14ac:dyDescent="0.25">
      <c r="B42" s="864"/>
      <c r="C42" s="386" t="s">
        <v>272</v>
      </c>
      <c r="D42" s="384">
        <v>13909.09090909091</v>
      </c>
      <c r="E42" s="861" t="s">
        <v>271</v>
      </c>
      <c r="F42" s="384">
        <f>D42</f>
        <v>13909.09090909091</v>
      </c>
      <c r="G42" s="862" t="s">
        <v>271</v>
      </c>
      <c r="H42" s="379">
        <f>$H$8</f>
        <v>10</v>
      </c>
      <c r="I42" s="863"/>
      <c r="J42" s="379"/>
      <c r="K42" s="385"/>
      <c r="L42" s="385"/>
      <c r="M42" s="379">
        <f>$H$42*$F$42</f>
        <v>139090.90909090909</v>
      </c>
      <c r="N42" s="401">
        <f>$M$42/($N$5*1000)</f>
        <v>7.808311285954001E-3</v>
      </c>
      <c r="O42" s="854">
        <f>($M$42/$N$6)/$N$5</f>
        <v>4.8801945537212501E-4</v>
      </c>
    </row>
    <row r="43" spans="2:15" x14ac:dyDescent="0.25">
      <c r="B43" s="864"/>
      <c r="C43" s="386" t="s">
        <v>366</v>
      </c>
      <c r="D43" s="384">
        <f>[5]Chemical!$H$61</f>
        <v>27103.641456582631</v>
      </c>
      <c r="E43" s="861" t="s">
        <v>271</v>
      </c>
      <c r="F43" s="384">
        <f>D43</f>
        <v>27103.641456582631</v>
      </c>
      <c r="G43" s="862" t="s">
        <v>271</v>
      </c>
      <c r="H43" s="379">
        <f>$H$8</f>
        <v>10</v>
      </c>
      <c r="I43" s="863"/>
      <c r="J43" s="379"/>
      <c r="K43" s="385"/>
      <c r="L43" s="385"/>
      <c r="M43" s="379">
        <f>$H$43*$F$43</f>
        <v>271036.4145658263</v>
      </c>
      <c r="N43" s="401">
        <f>$M$43/($N$5*1000)</f>
        <v>1.5215492576697607E-2</v>
      </c>
      <c r="O43" s="854">
        <f>($M$43/$N$6)/$N$5</f>
        <v>9.5096828604360033E-4</v>
      </c>
    </row>
    <row r="44" spans="2:15" x14ac:dyDescent="0.25">
      <c r="B44" s="865"/>
      <c r="C44" s="386" t="s">
        <v>273</v>
      </c>
      <c r="D44" s="384">
        <f>lab!I111</f>
        <v>135770.30812324933</v>
      </c>
      <c r="E44" s="861" t="s">
        <v>271</v>
      </c>
      <c r="F44" s="384">
        <f>D44</f>
        <v>135770.30812324933</v>
      </c>
      <c r="G44" s="862" t="s">
        <v>271</v>
      </c>
      <c r="H44" s="379">
        <f>$H$8</f>
        <v>10</v>
      </c>
      <c r="I44" s="863"/>
      <c r="J44" s="379"/>
      <c r="K44" s="385"/>
      <c r="L44" s="385"/>
      <c r="M44" s="379">
        <f>$H$44*$F$44</f>
        <v>1357703.0812324933</v>
      </c>
      <c r="N44" s="401">
        <f>$M$44/($N$5*1000)</f>
        <v>7.6218987721427572E-2</v>
      </c>
      <c r="O44" s="854">
        <f>($M$44/$N$6)/$N$5</f>
        <v>4.7636867325892233E-3</v>
      </c>
    </row>
    <row r="45" spans="2:15" x14ac:dyDescent="0.25">
      <c r="B45" s="856">
        <v>13</v>
      </c>
      <c r="C45" s="378" t="s">
        <v>274</v>
      </c>
      <c r="D45" s="379"/>
      <c r="E45" s="852"/>
      <c r="F45" s="374"/>
      <c r="G45" s="853"/>
      <c r="H45" s="379"/>
      <c r="I45" s="379"/>
      <c r="J45" s="379"/>
      <c r="K45" s="367"/>
      <c r="L45" s="367"/>
      <c r="M45" s="379"/>
      <c r="N45" s="401"/>
      <c r="O45" s="854"/>
    </row>
    <row r="46" spans="2:15" x14ac:dyDescent="0.25">
      <c r="B46" s="856"/>
      <c r="C46" s="368" t="s">
        <v>275</v>
      </c>
      <c r="D46" s="374">
        <v>15.4</v>
      </c>
      <c r="E46" s="853" t="s">
        <v>276</v>
      </c>
      <c r="F46" s="379">
        <f>D46</f>
        <v>15.4</v>
      </c>
      <c r="G46" s="853" t="s">
        <v>276</v>
      </c>
      <c r="H46" s="379">
        <f>$H$8</f>
        <v>10</v>
      </c>
      <c r="I46" s="379"/>
      <c r="J46" s="379">
        <f>$H$46*$F$46</f>
        <v>154</v>
      </c>
      <c r="K46" s="367">
        <v>14500</v>
      </c>
      <c r="L46" s="367"/>
      <c r="M46" s="379">
        <f>$J$46*$K$46</f>
        <v>2233000</v>
      </c>
      <c r="N46" s="401">
        <f>$M$46/($N$5*1000)</f>
        <v>0.12535656870384845</v>
      </c>
      <c r="O46" s="854">
        <f>($M$46/$N$6)/$N$5</f>
        <v>7.8347855439905266E-3</v>
      </c>
    </row>
    <row r="47" spans="2:15" ht="15.75" thickBot="1" x14ac:dyDescent="0.3">
      <c r="B47" s="866"/>
      <c r="C47" s="867" t="s">
        <v>277</v>
      </c>
      <c r="D47" s="868">
        <v>0</v>
      </c>
      <c r="E47" s="869" t="s">
        <v>276</v>
      </c>
      <c r="F47" s="870">
        <f>D47</f>
        <v>0</v>
      </c>
      <c r="G47" s="869" t="s">
        <v>276</v>
      </c>
      <c r="H47" s="870">
        <f>$H$8</f>
        <v>10</v>
      </c>
      <c r="I47" s="870"/>
      <c r="J47" s="870">
        <f>$H$47*$F$47</f>
        <v>0</v>
      </c>
      <c r="K47" s="871">
        <v>14500</v>
      </c>
      <c r="L47" s="871"/>
      <c r="M47" s="870">
        <f>$J$47*$K$47</f>
        <v>0</v>
      </c>
      <c r="N47" s="872">
        <f>$M$47/($N$5*1000)</f>
        <v>0</v>
      </c>
      <c r="O47" s="873">
        <f>($M$47/$N$6)/$N$5</f>
        <v>0</v>
      </c>
    </row>
    <row r="48" spans="2:15" ht="21.6" customHeight="1" thickBot="1" x14ac:dyDescent="0.3">
      <c r="B48" s="404"/>
      <c r="C48" s="387"/>
      <c r="D48" s="388"/>
      <c r="E48" s="388"/>
      <c r="F48" s="389"/>
      <c r="G48" s="389"/>
      <c r="H48" s="389"/>
      <c r="I48" s="389"/>
      <c r="J48" s="389"/>
      <c r="K48" s="388"/>
      <c r="L48" s="388"/>
      <c r="M48" s="874" t="e">
        <f>SUM($M$8:$M$47)</f>
        <v>#VALUE!</v>
      </c>
      <c r="N48" s="875" t="e">
        <f>SUM($N$8:$N$47)</f>
        <v>#VALUE!</v>
      </c>
      <c r="O48" s="875" t="e">
        <f>SUM($O$8:$O$47)</f>
        <v>#VALUE!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E14" sqref="E14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28" t="s">
        <v>278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29" t="s">
        <v>279</v>
      </c>
      <c r="C3" s="830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76" t="s">
        <v>379</v>
      </c>
      <c r="O3" s="877">
        <f>'JUNI 2025'!AL24/1000</f>
        <v>1779.2607</v>
      </c>
    </row>
    <row r="4" spans="2:15" x14ac:dyDescent="0.25">
      <c r="B4" s="833" t="s">
        <v>281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3" t="s">
        <v>228</v>
      </c>
      <c r="O4" s="878">
        <f>'JUNI 2025'!AL23</f>
        <v>10</v>
      </c>
    </row>
    <row r="5" spans="2:15" x14ac:dyDescent="0.25">
      <c r="B5" s="835" t="s">
        <v>230</v>
      </c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3" t="s">
        <v>280</v>
      </c>
      <c r="O5" s="878">
        <f>O3*O4</f>
        <v>17792.607</v>
      </c>
    </row>
    <row r="6" spans="2:15" ht="15.75" thickBot="1" x14ac:dyDescent="0.3">
      <c r="B6" s="836" t="s">
        <v>231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879" t="s">
        <v>232</v>
      </c>
      <c r="O6" s="1182">
        <v>16000</v>
      </c>
    </row>
    <row r="7" spans="2:15" ht="15.75" thickBot="1" x14ac:dyDescent="0.3">
      <c r="B7" s="838" t="s">
        <v>99</v>
      </c>
      <c r="C7" s="839" t="s">
        <v>218</v>
      </c>
      <c r="D7" s="2242" t="s">
        <v>219</v>
      </c>
      <c r="E7" s="2242"/>
      <c r="F7" s="2243" t="s">
        <v>220</v>
      </c>
      <c r="G7" s="2243"/>
      <c r="H7" s="2244" t="s">
        <v>221</v>
      </c>
      <c r="I7" s="2245"/>
      <c r="J7" s="841" t="s">
        <v>222</v>
      </c>
      <c r="K7" s="2246" t="s">
        <v>223</v>
      </c>
      <c r="L7" s="2247"/>
      <c r="M7" s="840" t="s">
        <v>224</v>
      </c>
      <c r="N7" s="840" t="s">
        <v>225</v>
      </c>
      <c r="O7" s="842" t="s">
        <v>226</v>
      </c>
    </row>
    <row r="8" spans="2:15" ht="15.75" thickTop="1" x14ac:dyDescent="0.25">
      <c r="B8" s="857">
        <v>1</v>
      </c>
      <c r="C8" s="395" t="s">
        <v>133</v>
      </c>
      <c r="D8" s="396">
        <f>'JUNI 2025'!AL253</f>
        <v>425.73599999999999</v>
      </c>
      <c r="E8" s="397" t="s">
        <v>245</v>
      </c>
      <c r="F8" s="398">
        <f>$D$8*$O$3/1000</f>
        <v>757.49533337520006</v>
      </c>
      <c r="G8" s="398" t="s">
        <v>246</v>
      </c>
      <c r="H8" s="398">
        <f>$O$4</f>
        <v>10</v>
      </c>
      <c r="I8" s="398"/>
      <c r="J8" s="398">
        <f>$H$8*$F$8</f>
        <v>7574.9533337520006</v>
      </c>
      <c r="K8" s="399">
        <f>Steam!H15</f>
        <v>529847.07184166647</v>
      </c>
      <c r="L8" s="399"/>
      <c r="M8" s="398">
        <f>$K$8*$J$8</f>
        <v>4013566843.2257671</v>
      </c>
      <c r="N8" s="400">
        <f>$M$8/($O$5*1000)</f>
        <v>225.57497297758374</v>
      </c>
      <c r="O8" s="880">
        <f>($M$8/$O$6)/$O$5</f>
        <v>14.098435811098982</v>
      </c>
    </row>
    <row r="9" spans="2:15" x14ac:dyDescent="0.25">
      <c r="B9" s="855">
        <v>2</v>
      </c>
      <c r="C9" s="378" t="s">
        <v>282</v>
      </c>
      <c r="D9" s="373"/>
      <c r="E9" s="370"/>
      <c r="F9" s="379"/>
      <c r="G9" s="379"/>
      <c r="H9" s="379"/>
      <c r="I9" s="379"/>
      <c r="J9" s="379"/>
      <c r="K9" s="367"/>
      <c r="L9" s="367"/>
      <c r="M9" s="379"/>
      <c r="N9" s="401"/>
      <c r="O9" s="854"/>
    </row>
    <row r="10" spans="2:15" x14ac:dyDescent="0.25">
      <c r="B10" s="856"/>
      <c r="C10" s="368" t="s">
        <v>244</v>
      </c>
      <c r="D10" s="372">
        <f>'JUNI 2025'!$AL$281</f>
        <v>82129.100000000006</v>
      </c>
      <c r="E10" s="370" t="s">
        <v>248</v>
      </c>
      <c r="F10" s="379">
        <f>$D$10*$O$3</f>
        <v>146129079.95637003</v>
      </c>
      <c r="G10" s="379" t="s">
        <v>249</v>
      </c>
      <c r="H10" s="379">
        <f>$O$4</f>
        <v>10</v>
      </c>
      <c r="I10" s="379">
        <v>0</v>
      </c>
      <c r="J10" s="379">
        <f>$H$10*$F$10</f>
        <v>1461290799.5637002</v>
      </c>
      <c r="K10" s="367">
        <f>[5]Electric!$L$5</f>
        <v>1550</v>
      </c>
      <c r="L10" s="367">
        <v>3666.6666666666665</v>
      </c>
      <c r="M10" s="379">
        <f>($F$10*$H$10*$K$10)+($F$10*$I$10*$L$10)</f>
        <v>2265000739323.7354</v>
      </c>
      <c r="N10" s="400">
        <f>$M$10/($O$5*1000)</f>
        <v>127300.10500000003</v>
      </c>
      <c r="O10" s="880">
        <f>($M$10/$O$6)/$O$5</f>
        <v>7956.2565625000007</v>
      </c>
    </row>
    <row r="11" spans="2:15" x14ac:dyDescent="0.25">
      <c r="B11" s="857"/>
      <c r="C11" s="368" t="s">
        <v>250</v>
      </c>
      <c r="D11" s="372">
        <f>'JUNI 2025'!$AL$279</f>
        <v>150240</v>
      </c>
      <c r="E11" s="370" t="s">
        <v>248</v>
      </c>
      <c r="F11" s="379">
        <f>$D$11*$O$3</f>
        <v>267316127.56800002</v>
      </c>
      <c r="G11" s="379" t="s">
        <v>249</v>
      </c>
      <c r="H11" s="379">
        <f>$H$10</f>
        <v>10</v>
      </c>
      <c r="I11" s="379">
        <v>0</v>
      </c>
      <c r="J11" s="379">
        <f>$H$11*$F$11</f>
        <v>2673161275.6800003</v>
      </c>
      <c r="K11" s="367">
        <f>$K$10</f>
        <v>1550</v>
      </c>
      <c r="L11" s="367">
        <v>3666.6666666666665</v>
      </c>
      <c r="M11" s="379">
        <f>($F$11*$H$11*$K$11)+($F$11*$I$11*$L$11)</f>
        <v>4143399977304.0005</v>
      </c>
      <c r="N11" s="400">
        <f>$M$11/($O$5*1000)</f>
        <v>232872.00000000003</v>
      </c>
      <c r="O11" s="880">
        <f>($M$11/$O$6)/$O$5</f>
        <v>14554.500000000002</v>
      </c>
    </row>
    <row r="12" spans="2:15" x14ac:dyDescent="0.25">
      <c r="B12" s="856">
        <v>3</v>
      </c>
      <c r="C12" s="366" t="s">
        <v>252</v>
      </c>
      <c r="D12" s="372"/>
      <c r="E12" s="370"/>
      <c r="F12" s="379"/>
      <c r="G12" s="379"/>
      <c r="H12" s="379"/>
      <c r="I12" s="379"/>
      <c r="J12" s="379"/>
      <c r="K12" s="367"/>
      <c r="L12" s="367"/>
      <c r="M12" s="379"/>
      <c r="N12" s="401"/>
      <c r="O12" s="854"/>
    </row>
    <row r="13" spans="2:15" x14ac:dyDescent="0.25">
      <c r="B13" s="856"/>
      <c r="C13" s="368" t="s">
        <v>253</v>
      </c>
      <c r="D13" s="369">
        <f>'JUNI 2025'!$AL$263</f>
        <v>950</v>
      </c>
      <c r="E13" s="370" t="s">
        <v>254</v>
      </c>
      <c r="F13" s="379">
        <f>$D$13</f>
        <v>950</v>
      </c>
      <c r="G13" s="379" t="s">
        <v>254</v>
      </c>
      <c r="H13" s="379">
        <f>$H$11</f>
        <v>10</v>
      </c>
      <c r="I13" s="379"/>
      <c r="J13" s="379">
        <f>$H$13*$F$13</f>
        <v>9500</v>
      </c>
      <c r="K13" s="367" t="e">
        <f>WTP!H13</f>
        <v>#VALUE!</v>
      </c>
      <c r="L13" s="367"/>
      <c r="M13" s="398" t="e">
        <f>$K$13*$J$13</f>
        <v>#VALUE!</v>
      </c>
      <c r="N13" s="400" t="e">
        <f>$M$13/($O$5*1000)</f>
        <v>#VALUE!</v>
      </c>
      <c r="O13" s="880" t="e">
        <f>($M$13/$O$6)/$O$5</f>
        <v>#VALUE!</v>
      </c>
    </row>
    <row r="14" spans="2:15" x14ac:dyDescent="0.25">
      <c r="B14" s="855">
        <v>4</v>
      </c>
      <c r="C14" s="366" t="s">
        <v>255</v>
      </c>
      <c r="D14" s="379"/>
      <c r="E14" s="370"/>
      <c r="F14" s="379"/>
      <c r="G14" s="379"/>
      <c r="H14" s="379"/>
      <c r="I14" s="379"/>
      <c r="J14" s="379"/>
      <c r="K14" s="367"/>
      <c r="L14" s="367"/>
      <c r="M14" s="379"/>
      <c r="N14" s="401"/>
      <c r="O14" s="854"/>
    </row>
    <row r="15" spans="2:15" x14ac:dyDescent="0.25">
      <c r="B15" s="856"/>
      <c r="C15" s="368" t="s">
        <v>256</v>
      </c>
      <c r="D15" s="374">
        <v>0.4</v>
      </c>
      <c r="E15" s="370" t="s">
        <v>234</v>
      </c>
      <c r="F15" s="374">
        <f>$D$15</f>
        <v>0.4</v>
      </c>
      <c r="G15" s="379" t="s">
        <v>234</v>
      </c>
      <c r="H15" s="379">
        <f>$H$13</f>
        <v>10</v>
      </c>
      <c r="I15" s="379"/>
      <c r="J15" s="379">
        <f>$H$15*$F$15</f>
        <v>4</v>
      </c>
      <c r="K15" s="367">
        <v>27240</v>
      </c>
      <c r="L15" s="367"/>
      <c r="M15" s="398">
        <f>$K$15*$J$15</f>
        <v>108960</v>
      </c>
      <c r="N15" s="400">
        <f>$M$15/($O$5*1000)</f>
        <v>6.1238917939344132E-3</v>
      </c>
      <c r="O15" s="880">
        <f>($M$15/$O$6)/$O$5</f>
        <v>3.8274323712090083E-4</v>
      </c>
    </row>
    <row r="16" spans="2:15" x14ac:dyDescent="0.25">
      <c r="B16" s="856"/>
      <c r="C16" s="368" t="s">
        <v>257</v>
      </c>
      <c r="D16" s="374">
        <v>0.66</v>
      </c>
      <c r="E16" s="370" t="s">
        <v>234</v>
      </c>
      <c r="F16" s="374">
        <f>$D$16</f>
        <v>0.66</v>
      </c>
      <c r="G16" s="379" t="s">
        <v>234</v>
      </c>
      <c r="H16" s="379">
        <f>$H$15</f>
        <v>10</v>
      </c>
      <c r="I16" s="379"/>
      <c r="J16" s="379">
        <f>$H$16*$F$16</f>
        <v>6.6000000000000005</v>
      </c>
      <c r="K16" s="367">
        <v>29120</v>
      </c>
      <c r="L16" s="367"/>
      <c r="M16" s="398">
        <f>$K$16*$J$16</f>
        <v>192192.00000000003</v>
      </c>
      <c r="N16" s="400">
        <f>$M$16/($O$5*1000)</f>
        <v>1.0801789754587399E-2</v>
      </c>
      <c r="O16" s="880">
        <f>($M$16/$O$6)/$O$5</f>
        <v>6.7511185966171242E-4</v>
      </c>
    </row>
    <row r="17" spans="2:15" x14ac:dyDescent="0.25">
      <c r="B17" s="856"/>
      <c r="C17" s="368" t="s">
        <v>258</v>
      </c>
      <c r="D17" s="374">
        <v>0.41</v>
      </c>
      <c r="E17" s="370" t="s">
        <v>234</v>
      </c>
      <c r="F17" s="374">
        <f>$D$17</f>
        <v>0.41</v>
      </c>
      <c r="G17" s="379" t="s">
        <v>234</v>
      </c>
      <c r="H17" s="379">
        <f>$H$15</f>
        <v>10</v>
      </c>
      <c r="I17" s="379"/>
      <c r="J17" s="379">
        <f>$H$17*$F$17</f>
        <v>4.0999999999999996</v>
      </c>
      <c r="K17" s="367">
        <v>117212</v>
      </c>
      <c r="L17" s="367"/>
      <c r="M17" s="398">
        <f>$K$17*$J$17</f>
        <v>480569.19999999995</v>
      </c>
      <c r="N17" s="400">
        <f>$M$17/($O$5*1000)</f>
        <v>2.700948770464047E-2</v>
      </c>
      <c r="O17" s="880">
        <f>($M$17/$O$6)/$O$5</f>
        <v>1.6880929815400294E-3</v>
      </c>
    </row>
    <row r="18" spans="2:15" x14ac:dyDescent="0.25">
      <c r="B18" s="856"/>
      <c r="C18" s="375" t="s">
        <v>259</v>
      </c>
      <c r="D18" s="374">
        <v>0.1</v>
      </c>
      <c r="E18" s="370" t="s">
        <v>234</v>
      </c>
      <c r="F18" s="374">
        <f>$D$18</f>
        <v>0.1</v>
      </c>
      <c r="G18" s="379" t="s">
        <v>234</v>
      </c>
      <c r="H18" s="379">
        <f>$H$16</f>
        <v>10</v>
      </c>
      <c r="I18" s="379"/>
      <c r="J18" s="379">
        <f>$H$18*$F$18</f>
        <v>1</v>
      </c>
      <c r="K18" s="367">
        <v>45940</v>
      </c>
      <c r="L18" s="367"/>
      <c r="M18" s="398">
        <f>$K$18*$J$18</f>
        <v>45940</v>
      </c>
      <c r="N18" s="400">
        <f>$M$18/($O$5*1000)</f>
        <v>2.5819712648067817E-3</v>
      </c>
      <c r="O18" s="880">
        <f>($M$18/$O$6)/$O$5</f>
        <v>1.6137320405042386E-4</v>
      </c>
    </row>
    <row r="19" spans="2:15" x14ac:dyDescent="0.25">
      <c r="B19" s="855">
        <v>5</v>
      </c>
      <c r="C19" s="402" t="s">
        <v>7</v>
      </c>
      <c r="D19" s="379"/>
      <c r="E19" s="370"/>
      <c r="F19" s="379"/>
      <c r="G19" s="379"/>
      <c r="H19" s="379"/>
      <c r="I19" s="379"/>
      <c r="J19" s="379"/>
      <c r="K19" s="367"/>
      <c r="L19" s="367"/>
      <c r="M19" s="379"/>
      <c r="N19" s="401"/>
      <c r="O19" s="854"/>
    </row>
    <row r="20" spans="2:15" x14ac:dyDescent="0.25">
      <c r="B20" s="856"/>
      <c r="C20" s="403" t="s">
        <v>283</v>
      </c>
      <c r="D20" s="374">
        <v>0.33333333333333331</v>
      </c>
      <c r="E20" s="370" t="s">
        <v>261</v>
      </c>
      <c r="F20" s="374">
        <f>$D$20</f>
        <v>0.33333333333333331</v>
      </c>
      <c r="G20" s="379" t="s">
        <v>261</v>
      </c>
      <c r="H20" s="379">
        <f>$H$18</f>
        <v>10</v>
      </c>
      <c r="I20" s="379"/>
      <c r="J20" s="379">
        <f>$H$20*$F$20</f>
        <v>3.333333333333333</v>
      </c>
      <c r="K20" s="367">
        <v>895000</v>
      </c>
      <c r="L20" s="367"/>
      <c r="M20" s="398">
        <f>$K$20*$J$20</f>
        <v>2983333.333333333</v>
      </c>
      <c r="N20" s="400">
        <f>$M$20/($O$5*1000)</f>
        <v>0.16767263691786893</v>
      </c>
      <c r="O20" s="880">
        <f>($M$20/$O$6)/$O$5</f>
        <v>1.0479539807366808E-2</v>
      </c>
    </row>
    <row r="21" spans="2:15" ht="15.75" thickBot="1" x14ac:dyDescent="0.3">
      <c r="B21" s="866"/>
      <c r="C21" s="881" t="s">
        <v>262</v>
      </c>
      <c r="D21" s="868">
        <v>0.63253012048192769</v>
      </c>
      <c r="E21" s="882" t="s">
        <v>261</v>
      </c>
      <c r="F21" s="868">
        <f>$D$21</f>
        <v>0.63253012048192769</v>
      </c>
      <c r="G21" s="870" t="s">
        <v>261</v>
      </c>
      <c r="H21" s="870">
        <f>$H$20</f>
        <v>10</v>
      </c>
      <c r="I21" s="870"/>
      <c r="J21" s="870">
        <f>$H$21*$F$21</f>
        <v>6.3253012048192767</v>
      </c>
      <c r="K21" s="871">
        <v>125000</v>
      </c>
      <c r="L21" s="871"/>
      <c r="M21" s="883">
        <f>$K$21*$J$21</f>
        <v>790662.65060240962</v>
      </c>
      <c r="N21" s="884">
        <f>$M$21/($O$5*1000)</f>
        <v>4.4437706661109841E-2</v>
      </c>
      <c r="O21" s="885">
        <f>($M$21/$O$6)/$O$5</f>
        <v>2.7773566663193651E-3</v>
      </c>
    </row>
    <row r="22" spans="2:15" ht="15.75" thickBot="1" x14ac:dyDescent="0.3">
      <c r="B22" s="404"/>
      <c r="C22" s="387"/>
      <c r="D22" s="388"/>
      <c r="E22" s="388"/>
      <c r="F22" s="389"/>
      <c r="G22" s="389"/>
      <c r="H22" s="389"/>
      <c r="I22" s="389"/>
      <c r="M22" s="874" t="e">
        <f>SUM(M8:M21)</f>
        <v>#VALUE!</v>
      </c>
      <c r="N22" s="875" t="e">
        <f>SUM(N8:N21)</f>
        <v>#VALUE!</v>
      </c>
      <c r="O22" s="875" t="e">
        <f>SUM($O$8:$O$21)</f>
        <v>#VALUE!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="80" zoomScaleNormal="80" workbookViewId="0">
      <selection activeCell="I15" sqref="I15"/>
    </sheetView>
  </sheetViews>
  <sheetFormatPr defaultColWidth="8.5703125" defaultRowHeight="15" x14ac:dyDescent="0.25"/>
  <cols>
    <col min="1" max="1" width="8.42578125" style="343" customWidth="1"/>
    <col min="2" max="2" width="5.42578125" style="343" customWidth="1"/>
    <col min="3" max="3" width="24.42578125" style="343" customWidth="1"/>
    <col min="4" max="4" width="5.42578125" style="343" customWidth="1"/>
    <col min="5" max="5" width="46.5703125" style="343" customWidth="1"/>
    <col min="6" max="6" width="5.42578125" style="343" customWidth="1"/>
    <col min="7" max="7" width="18.42578125" style="343" customWidth="1"/>
    <col min="8" max="8" width="10.5703125" style="343" customWidth="1"/>
    <col min="9" max="9" width="13" style="343" customWidth="1"/>
    <col min="10" max="10" width="3.5703125" style="343" customWidth="1"/>
    <col min="11" max="12" width="8.5703125" style="343"/>
    <col min="13" max="13" width="20.42578125" style="343" customWidth="1"/>
    <col min="14" max="16384" width="8.5703125" style="343"/>
  </cols>
  <sheetData>
    <row r="2" spans="2:13" ht="19.5" thickBot="1" x14ac:dyDescent="0.3">
      <c r="B2" s="828" t="s">
        <v>1065</v>
      </c>
    </row>
    <row r="3" spans="2:13" x14ac:dyDescent="0.25">
      <c r="B3" s="886" t="s">
        <v>227</v>
      </c>
      <c r="C3" s="887"/>
      <c r="D3" s="887"/>
      <c r="E3" s="887"/>
      <c r="F3" s="887"/>
      <c r="G3" s="888"/>
      <c r="H3" s="889" t="s">
        <v>379</v>
      </c>
      <c r="I3" s="890">
        <f>'HPP REF '!$N$3</f>
        <v>1781.3187</v>
      </c>
    </row>
    <row r="4" spans="2:13" x14ac:dyDescent="0.25">
      <c r="B4" s="891" t="s">
        <v>229</v>
      </c>
      <c r="C4" s="892"/>
      <c r="D4" s="892"/>
      <c r="E4" s="892"/>
      <c r="F4" s="962">
        <v>1</v>
      </c>
      <c r="G4" s="963"/>
      <c r="H4" s="893" t="s">
        <v>228</v>
      </c>
      <c r="I4" s="894">
        <f>'HPP REF '!$N$4</f>
        <v>10</v>
      </c>
    </row>
    <row r="5" spans="2:13" ht="15.75" thickBot="1" x14ac:dyDescent="0.3">
      <c r="B5" s="964" t="s">
        <v>551</v>
      </c>
      <c r="C5" s="965"/>
      <c r="D5" s="965"/>
      <c r="E5" s="965"/>
      <c r="F5" s="965"/>
      <c r="G5" s="897"/>
      <c r="H5" s="966" t="s">
        <v>280</v>
      </c>
      <c r="I5" s="899">
        <f>$I$4*$I$3</f>
        <v>17813.187000000002</v>
      </c>
    </row>
    <row r="6" spans="2:13" x14ac:dyDescent="0.25">
      <c r="B6" s="886" t="s">
        <v>380</v>
      </c>
      <c r="C6" s="887"/>
      <c r="D6" s="887"/>
      <c r="E6" s="887"/>
      <c r="F6" s="887"/>
      <c r="G6" s="967"/>
      <c r="H6" s="889" t="s">
        <v>379</v>
      </c>
      <c r="I6" s="890">
        <f>'HPP FRACT'!$O$3</f>
        <v>1779.2607</v>
      </c>
    </row>
    <row r="7" spans="2:13" x14ac:dyDescent="0.25">
      <c r="B7" s="891" t="s">
        <v>229</v>
      </c>
      <c r="C7" s="892"/>
      <c r="D7" s="892"/>
      <c r="E7" s="892"/>
      <c r="F7" s="892"/>
      <c r="G7" s="963"/>
      <c r="H7" s="893" t="s">
        <v>228</v>
      </c>
      <c r="I7" s="894">
        <f>'HPP FRACT'!$O$4</f>
        <v>10</v>
      </c>
    </row>
    <row r="8" spans="2:13" ht="15.75" thickBot="1" x14ac:dyDescent="0.3">
      <c r="B8" s="964" t="s">
        <v>552</v>
      </c>
      <c r="C8" s="965"/>
      <c r="D8" s="965"/>
      <c r="E8" s="965"/>
      <c r="F8" s="965"/>
      <c r="G8" s="897"/>
      <c r="H8" s="966" t="s">
        <v>280</v>
      </c>
      <c r="I8" s="899">
        <f>$I$7*$I$6</f>
        <v>17792.607</v>
      </c>
    </row>
    <row r="9" spans="2:13" ht="15.75" thickBot="1" x14ac:dyDescent="0.3">
      <c r="B9" s="895" t="s">
        <v>231</v>
      </c>
      <c r="C9" s="896"/>
      <c r="D9" s="896"/>
      <c r="E9" s="896"/>
      <c r="F9" s="896"/>
      <c r="G9" s="897"/>
      <c r="H9" s="898" t="s">
        <v>232</v>
      </c>
      <c r="I9" s="1180">
        <v>16000</v>
      </c>
    </row>
    <row r="10" spans="2:13" ht="15.75" thickBot="1" x14ac:dyDescent="0.3">
      <c r="B10" s="900" t="s">
        <v>99</v>
      </c>
      <c r="C10" s="901" t="s">
        <v>284</v>
      </c>
      <c r="D10" s="2248" t="s">
        <v>285</v>
      </c>
      <c r="E10" s="2249"/>
      <c r="F10" s="2250"/>
      <c r="G10" s="902" t="s">
        <v>367</v>
      </c>
      <c r="H10" s="900" t="s">
        <v>286</v>
      </c>
      <c r="I10" s="902" t="s">
        <v>226</v>
      </c>
    </row>
    <row r="11" spans="2:13" ht="15.75" thickTop="1" x14ac:dyDescent="0.25">
      <c r="B11" s="903" t="s">
        <v>287</v>
      </c>
      <c r="C11" s="904" t="s">
        <v>368</v>
      </c>
      <c r="D11" s="905" t="s">
        <v>369</v>
      </c>
      <c r="E11" s="904" t="s">
        <v>288</v>
      </c>
      <c r="F11" s="906"/>
      <c r="G11" s="907" t="e">
        <f>'HPP REF '!$M$48</f>
        <v>#VALUE!</v>
      </c>
      <c r="H11" s="908" t="e">
        <f>$G$11/($I$5*1000)</f>
        <v>#VALUE!</v>
      </c>
      <c r="I11" s="909" t="e">
        <f>(G11/$I$9)/$I$5</f>
        <v>#VALUE!</v>
      </c>
      <c r="M11" s="910"/>
    </row>
    <row r="12" spans="2:13" x14ac:dyDescent="0.25">
      <c r="B12" s="911"/>
      <c r="D12" s="912" t="s">
        <v>369</v>
      </c>
      <c r="E12" s="913" t="s">
        <v>278</v>
      </c>
      <c r="F12" s="914"/>
      <c r="G12" s="407" t="e">
        <f>'HPP FRACT'!$M$22</f>
        <v>#VALUE!</v>
      </c>
      <c r="H12" s="408" t="e">
        <f>$G$12/($I$8*1000)</f>
        <v>#VALUE!</v>
      </c>
      <c r="I12" s="915" t="e">
        <f>(G12/$I$9)/$I$8</f>
        <v>#VALUE!</v>
      </c>
      <c r="M12" s="910"/>
    </row>
    <row r="13" spans="2:13" x14ac:dyDescent="0.25">
      <c r="B13" s="911"/>
      <c r="D13" s="912" t="s">
        <v>369</v>
      </c>
      <c r="E13" s="913" t="s">
        <v>289</v>
      </c>
      <c r="F13" s="916">
        <v>0</v>
      </c>
      <c r="G13" s="407">
        <f>MTC!$F$18*F13</f>
        <v>0</v>
      </c>
      <c r="H13" s="408">
        <f>$G$13/($I$5*1000)</f>
        <v>0</v>
      </c>
      <c r="I13" s="917">
        <f>(G13/$I$9)/$I$5</f>
        <v>0</v>
      </c>
      <c r="M13" s="910"/>
    </row>
    <row r="14" spans="2:13" x14ac:dyDescent="0.25">
      <c r="B14" s="911"/>
      <c r="D14" s="912"/>
      <c r="E14" s="913"/>
      <c r="F14" s="916"/>
      <c r="G14" s="918" t="e">
        <f>SUM(G11:$G$13)</f>
        <v>#VALUE!</v>
      </c>
      <c r="H14" s="409" t="e">
        <f>SUM($H$11:$H$13)</f>
        <v>#VALUE!</v>
      </c>
      <c r="I14" s="919" t="e">
        <f>SUM(I11:I13)</f>
        <v>#VALUE!</v>
      </c>
      <c r="K14" s="931" t="e">
        <f>I14+I26</f>
        <v>#VALUE!</v>
      </c>
      <c r="M14" s="910"/>
    </row>
    <row r="15" spans="2:13" x14ac:dyDescent="0.25">
      <c r="B15" s="920"/>
      <c r="C15" s="921"/>
      <c r="D15" s="922"/>
      <c r="E15" s="923"/>
      <c r="F15" s="924"/>
      <c r="G15" s="925"/>
      <c r="H15" s="926"/>
      <c r="I15" s="927"/>
      <c r="M15" s="910"/>
    </row>
    <row r="16" spans="2:13" x14ac:dyDescent="0.25">
      <c r="B16" s="911" t="s">
        <v>290</v>
      </c>
      <c r="C16" s="343" t="s">
        <v>370</v>
      </c>
      <c r="D16" s="912" t="s">
        <v>369</v>
      </c>
      <c r="E16" s="928" t="s">
        <v>371</v>
      </c>
      <c r="F16" s="916"/>
      <c r="G16" s="407">
        <f>LOG!I8+LOG!I9+LOG!$I$10</f>
        <v>1849436327.0880003</v>
      </c>
      <c r="H16" s="408">
        <f>$G$16/($I$5*1000)</f>
        <v>103.82400000000001</v>
      </c>
      <c r="I16" s="915">
        <f>($G$16/$I$9)/$I$5</f>
        <v>6.4889999999999999</v>
      </c>
      <c r="M16" s="929"/>
    </row>
    <row r="17" spans="2:13" x14ac:dyDescent="0.25">
      <c r="B17" s="911"/>
      <c r="D17" s="912" t="s">
        <v>369</v>
      </c>
      <c r="E17" s="930" t="s">
        <v>372</v>
      </c>
      <c r="F17" s="916">
        <f>F4</f>
        <v>1</v>
      </c>
      <c r="G17" s="407">
        <f>LOG!I11+LOG!I12+LOG!I13+LOG!$I$14*F17</f>
        <v>1886000000</v>
      </c>
      <c r="H17" s="408">
        <f>$G$17/($I$5*1000)</f>
        <v>105.87661826039327</v>
      </c>
      <c r="I17" s="915">
        <f>($G$17/$I$9)/$I$5</f>
        <v>6.6172886412745786</v>
      </c>
      <c r="M17" s="929"/>
    </row>
    <row r="18" spans="2:13" x14ac:dyDescent="0.25">
      <c r="B18" s="911"/>
      <c r="D18" s="912" t="s">
        <v>369</v>
      </c>
      <c r="E18" s="913" t="s">
        <v>373</v>
      </c>
      <c r="F18" s="916"/>
      <c r="G18" s="407">
        <f>LOG!I18+LOG!I19+LOG!I20+LOG!$I$21</f>
        <v>954216801.21600008</v>
      </c>
      <c r="H18" s="408">
        <f>$G$18/($I$5*1000)</f>
        <v>53.568000000000005</v>
      </c>
      <c r="I18" s="915">
        <f>($G$18/$I$9)/$I$5</f>
        <v>3.3479999999999999</v>
      </c>
      <c r="M18" s="929"/>
    </row>
    <row r="19" spans="2:13" x14ac:dyDescent="0.25">
      <c r="B19" s="911"/>
      <c r="D19" s="912" t="s">
        <v>369</v>
      </c>
      <c r="E19" s="913" t="s">
        <v>374</v>
      </c>
      <c r="F19" s="916"/>
      <c r="G19" s="407">
        <f>LOG!I15+LOG!I16+LOG!$I$17</f>
        <v>759839304.67200005</v>
      </c>
      <c r="H19" s="408">
        <f>$G$19/($I$5*1000)</f>
        <v>42.656000000000006</v>
      </c>
      <c r="I19" s="915">
        <f>($G$19/$I$9)/$I$5</f>
        <v>2.6659999999999999</v>
      </c>
      <c r="M19" s="929"/>
    </row>
    <row r="20" spans="2:13" x14ac:dyDescent="0.25">
      <c r="B20" s="911"/>
      <c r="D20" s="406"/>
      <c r="E20" s="913"/>
      <c r="F20" s="914"/>
      <c r="G20" s="918">
        <f>SUM($G$16:$G$19)</f>
        <v>5449492432.9760008</v>
      </c>
      <c r="H20" s="409">
        <f>SUM($H$16:$H$19)</f>
        <v>305.92461826039329</v>
      </c>
      <c r="I20" s="409">
        <f>SUM($I$16:$I$19)</f>
        <v>19.120288641274577</v>
      </c>
      <c r="K20" s="931"/>
      <c r="M20" s="929"/>
    </row>
    <row r="21" spans="2:13" x14ac:dyDescent="0.25">
      <c r="B21" s="920"/>
      <c r="C21" s="921"/>
      <c r="D21" s="932"/>
      <c r="E21" s="923"/>
      <c r="F21" s="933"/>
      <c r="G21" s="921"/>
      <c r="H21" s="934"/>
      <c r="I21" s="935"/>
      <c r="M21" s="929"/>
    </row>
    <row r="22" spans="2:13" x14ac:dyDescent="0.25">
      <c r="B22" s="936" t="s">
        <v>290</v>
      </c>
      <c r="C22" s="937" t="s">
        <v>291</v>
      </c>
      <c r="D22" s="938" t="s">
        <v>369</v>
      </c>
      <c r="E22" s="937" t="s">
        <v>292</v>
      </c>
      <c r="F22" s="939">
        <f>F4</f>
        <v>1</v>
      </c>
      <c r="G22" s="940">
        <f>[5]MPC!$H$29*$F$22</f>
        <v>2184665532.2092161</v>
      </c>
      <c r="H22" s="408">
        <f>$G$22/($I$5*1000)</f>
        <v>122.64315937452496</v>
      </c>
      <c r="I22" s="915">
        <f>($G$22/$I$9)/$I$5</f>
        <v>7.6651974609078088</v>
      </c>
      <c r="M22" s="910"/>
    </row>
    <row r="23" spans="2:13" x14ac:dyDescent="0.25">
      <c r="B23" s="911"/>
      <c r="D23" s="912" t="s">
        <v>369</v>
      </c>
      <c r="E23" s="913" t="s">
        <v>293</v>
      </c>
      <c r="F23" s="916">
        <f>F4</f>
        <v>1</v>
      </c>
      <c r="G23" s="407">
        <f>OH!G51*$F$23</f>
        <v>1436056392.483475</v>
      </c>
      <c r="H23" s="408">
        <f>$G$23/($I$5*1000)</f>
        <v>80.61760045989945</v>
      </c>
      <c r="I23" s="915">
        <f>($G$23/$I$9)/$I$5</f>
        <v>5.0386000287437156</v>
      </c>
      <c r="M23" s="910"/>
    </row>
    <row r="24" spans="2:13" x14ac:dyDescent="0.25">
      <c r="B24" s="911"/>
      <c r="D24" s="912" t="s">
        <v>369</v>
      </c>
      <c r="E24" s="913" t="s">
        <v>294</v>
      </c>
      <c r="F24" s="916">
        <f>F4</f>
        <v>1</v>
      </c>
      <c r="G24" s="407">
        <f>DEP!I9*$F$24</f>
        <v>4181184787.4775009</v>
      </c>
      <c r="H24" s="408">
        <f>$G$24/($I$5*1000)</f>
        <v>234.72412811236421</v>
      </c>
      <c r="I24" s="915">
        <f>($G$24/$I$9)/$I$5</f>
        <v>14.670258007022762</v>
      </c>
      <c r="M24" s="910"/>
    </row>
    <row r="25" spans="2:13" x14ac:dyDescent="0.25">
      <c r="B25" s="911"/>
      <c r="D25" s="912" t="s">
        <v>369</v>
      </c>
      <c r="E25" s="913" t="s">
        <v>295</v>
      </c>
      <c r="F25" s="916">
        <f>F4</f>
        <v>1</v>
      </c>
      <c r="G25" s="407">
        <f>AMOR!$G$20*$F$25</f>
        <v>1048409804.9999995</v>
      </c>
      <c r="H25" s="408">
        <f>$G$25/($I$5*1000)</f>
        <v>58.855824339574916</v>
      </c>
      <c r="I25" s="915">
        <f>($G$25/$I$9)/$I$5</f>
        <v>3.6784890212234318</v>
      </c>
      <c r="M25" s="910"/>
    </row>
    <row r="26" spans="2:13" x14ac:dyDescent="0.25">
      <c r="B26" s="911"/>
      <c r="D26" s="406"/>
      <c r="E26" s="913"/>
      <c r="F26" s="914"/>
      <c r="G26" s="918">
        <f>SUM($G$22:$G$25)</f>
        <v>8850316517.1701908</v>
      </c>
      <c r="H26" s="409">
        <f>SUM($H$22:$H$25)</f>
        <v>496.8407122863635</v>
      </c>
      <c r="I26" s="919">
        <f>SUM($I$22:$I$25)</f>
        <v>31.052544517897719</v>
      </c>
      <c r="K26" s="931" t="e">
        <f>I26+I14</f>
        <v>#VALUE!</v>
      </c>
      <c r="M26" s="910"/>
    </row>
    <row r="27" spans="2:13" ht="15.75" thickBot="1" x14ac:dyDescent="0.3">
      <c r="B27" s="911"/>
      <c r="D27" s="406"/>
      <c r="E27" s="913"/>
      <c r="F27" s="914"/>
      <c r="H27" s="409"/>
      <c r="I27" s="941"/>
      <c r="M27" s="910"/>
    </row>
    <row r="28" spans="2:13" ht="17.25" thickTop="1" thickBot="1" x14ac:dyDescent="0.3">
      <c r="B28" s="2251" t="s">
        <v>375</v>
      </c>
      <c r="C28" s="2251"/>
      <c r="D28" s="2251"/>
      <c r="E28" s="2251"/>
      <c r="F28" s="2251"/>
      <c r="G28" s="942" t="e">
        <f>$G$26+$G$20+$G$14</f>
        <v>#VALUE!</v>
      </c>
      <c r="H28" s="943" t="e">
        <f>$H$26+$H$20+$H$14</f>
        <v>#VALUE!</v>
      </c>
      <c r="I28" s="943" t="e">
        <f>$I$26+$I$20+$I$14</f>
        <v>#VALUE!</v>
      </c>
      <c r="K28" s="931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D8" activePane="bottomRight" state="frozen"/>
      <selection pane="topRight"/>
      <selection pane="bottomLeft"/>
      <selection pane="bottomRight" activeCell="L10" sqref="L10"/>
    </sheetView>
  </sheetViews>
  <sheetFormatPr defaultColWidth="9" defaultRowHeight="14.25" x14ac:dyDescent="0.2"/>
  <cols>
    <col min="1" max="1" width="9" style="180"/>
    <col min="2" max="2" width="9.5703125" style="180" customWidth="1"/>
    <col min="3" max="3" width="18" style="174" customWidth="1"/>
    <col min="4" max="4" width="11.42578125" style="180" customWidth="1"/>
    <col min="5" max="5" width="15.5703125" style="180" customWidth="1"/>
    <col min="6" max="6" width="15.42578125" style="180" bestFit="1" customWidth="1"/>
    <col min="7" max="7" width="13.5703125" style="180" customWidth="1"/>
    <col min="8" max="8" width="15.42578125" style="180" customWidth="1"/>
    <col min="9" max="9" width="14.5703125" style="228" customWidth="1"/>
    <col min="10" max="10" width="16.42578125" style="180" customWidth="1"/>
    <col min="11" max="11" width="17.5703125" style="180" customWidth="1"/>
    <col min="12" max="12" width="17.42578125" style="228" customWidth="1"/>
    <col min="13" max="13" width="10.42578125" style="180" customWidth="1"/>
    <col min="14" max="14" width="8.5703125" style="180" customWidth="1"/>
    <col min="15" max="16384" width="9" style="180"/>
  </cols>
  <sheetData>
    <row r="2" spans="2:14" s="175" customFormat="1" x14ac:dyDescent="0.2">
      <c r="C2" s="152"/>
    </row>
    <row r="3" spans="2:14" s="175" customFormat="1" ht="21" customHeight="1" x14ac:dyDescent="0.2">
      <c r="B3" s="2252" t="s">
        <v>136</v>
      </c>
      <c r="C3" s="2252"/>
      <c r="D3" s="2252"/>
      <c r="E3" s="2252"/>
      <c r="F3" s="2252"/>
      <c r="G3" s="2252"/>
      <c r="H3" s="2252"/>
      <c r="I3" s="2252"/>
      <c r="J3" s="2252"/>
      <c r="K3" s="2252"/>
      <c r="L3" s="2252"/>
      <c r="M3" s="2252"/>
      <c r="N3" s="2252"/>
    </row>
    <row r="4" spans="2:14" s="175" customFormat="1" ht="15" thickBot="1" x14ac:dyDescent="0.25">
      <c r="B4" s="176"/>
      <c r="C4" s="152"/>
      <c r="D4" s="175">
        <v>2024</v>
      </c>
    </row>
    <row r="5" spans="2:14" ht="18.75" customHeight="1" thickBot="1" x14ac:dyDescent="0.25">
      <c r="B5" s="2253"/>
      <c r="C5" s="2254" t="s">
        <v>137</v>
      </c>
      <c r="D5" s="2255"/>
      <c r="E5" s="2256"/>
      <c r="F5" s="2253" t="s">
        <v>138</v>
      </c>
      <c r="G5" s="177"/>
      <c r="H5" s="178"/>
      <c r="I5" s="179"/>
      <c r="J5" s="178"/>
      <c r="K5" s="2257" t="s">
        <v>139</v>
      </c>
      <c r="L5" s="2259" t="s">
        <v>140</v>
      </c>
      <c r="M5" s="2261" t="s">
        <v>141</v>
      </c>
      <c r="N5" s="2257"/>
    </row>
    <row r="6" spans="2:14" ht="60.75" thickBot="1" x14ac:dyDescent="0.25">
      <c r="B6" s="2253"/>
      <c r="C6" s="153" t="s">
        <v>944</v>
      </c>
      <c r="D6" s="177" t="s">
        <v>142</v>
      </c>
      <c r="E6" s="177" t="s">
        <v>143</v>
      </c>
      <c r="F6" s="2253"/>
      <c r="G6" s="177" t="s">
        <v>144</v>
      </c>
      <c r="H6" s="177" t="s">
        <v>145</v>
      </c>
      <c r="I6" s="181" t="s">
        <v>146</v>
      </c>
      <c r="J6" s="177" t="s">
        <v>147</v>
      </c>
      <c r="K6" s="2258"/>
      <c r="L6" s="2260"/>
      <c r="M6" s="177" t="s">
        <v>148</v>
      </c>
      <c r="N6" s="177" t="s">
        <v>149</v>
      </c>
    </row>
    <row r="7" spans="2:14" s="185" customFormat="1" ht="15" customHeight="1" thickBot="1" x14ac:dyDescent="0.25">
      <c r="B7" s="2253"/>
      <c r="C7" s="154">
        <v>1</v>
      </c>
      <c r="D7" s="182">
        <v>2</v>
      </c>
      <c r="E7" s="182" t="s">
        <v>150</v>
      </c>
      <c r="F7" s="182" t="s">
        <v>151</v>
      </c>
      <c r="G7" s="182">
        <v>5</v>
      </c>
      <c r="H7" s="182" t="s">
        <v>152</v>
      </c>
      <c r="I7" s="183">
        <v>7</v>
      </c>
      <c r="J7" s="182" t="s">
        <v>153</v>
      </c>
      <c r="K7" s="184" t="s">
        <v>154</v>
      </c>
      <c r="L7" s="183">
        <v>10</v>
      </c>
      <c r="M7" s="182" t="s">
        <v>155</v>
      </c>
      <c r="N7" s="182" t="s">
        <v>156</v>
      </c>
    </row>
    <row r="8" spans="2:14" x14ac:dyDescent="0.2">
      <c r="B8" s="186">
        <v>1</v>
      </c>
      <c r="C8" s="189"/>
      <c r="D8" s="155">
        <v>5</v>
      </c>
      <c r="E8" s="156">
        <f>C8*D8</f>
        <v>0</v>
      </c>
      <c r="F8" s="156">
        <f>E8</f>
        <v>0</v>
      </c>
      <c r="G8" s="157">
        <v>35.314667</v>
      </c>
      <c r="H8" s="157">
        <f>(F8*G8)/1000</f>
        <v>0</v>
      </c>
      <c r="I8" s="190">
        <v>1047.7934499999999</v>
      </c>
      <c r="J8" s="158">
        <f>(H8*I8)/1000</f>
        <v>0</v>
      </c>
      <c r="K8" s="187">
        <f>L8-J8</f>
        <v>0</v>
      </c>
      <c r="L8" s="159">
        <v>0</v>
      </c>
      <c r="M8" s="160" t="e">
        <f>(J8/L8)</f>
        <v>#DIV/0!</v>
      </c>
      <c r="N8" s="160" t="e">
        <f>K8/L8</f>
        <v>#DIV/0!</v>
      </c>
    </row>
    <row r="9" spans="2:14" x14ac:dyDescent="0.2">
      <c r="B9" s="188">
        <f>B8+1</f>
        <v>2</v>
      </c>
      <c r="C9" s="189"/>
      <c r="D9" s="161">
        <v>5</v>
      </c>
      <c r="E9" s="162">
        <f t="shared" ref="E9:E21" si="0">C9*D9</f>
        <v>0</v>
      </c>
      <c r="F9" s="162">
        <f t="shared" ref="F9:F21" si="1">E9</f>
        <v>0</v>
      </c>
      <c r="G9" s="163">
        <v>35.314667</v>
      </c>
      <c r="H9" s="163">
        <f t="shared" ref="H9:H21" si="2">(F9*G9)/1000</f>
        <v>0</v>
      </c>
      <c r="I9" s="190">
        <v>1042.7042200000001</v>
      </c>
      <c r="J9" s="164">
        <f>(H9*I9)/1000</f>
        <v>0</v>
      </c>
      <c r="K9" s="191">
        <f t="shared" ref="K9:K21" si="3">L9-J9</f>
        <v>0.79690000000000005</v>
      </c>
      <c r="L9" s="165">
        <v>0.79690000000000005</v>
      </c>
      <c r="M9" s="166">
        <f t="shared" ref="M9:M21" si="4">(J9/L9)</f>
        <v>0</v>
      </c>
      <c r="N9" s="167">
        <f t="shared" ref="N9:N21" si="5">K9/L9</f>
        <v>1</v>
      </c>
    </row>
    <row r="10" spans="2:14" x14ac:dyDescent="0.2">
      <c r="B10" s="188">
        <f t="shared" ref="B10:B37" si="6">B9+1</f>
        <v>3</v>
      </c>
      <c r="C10" s="189">
        <v>159.69</v>
      </c>
      <c r="D10" s="161">
        <v>5</v>
      </c>
      <c r="E10" s="162">
        <f t="shared" si="0"/>
        <v>798.45</v>
      </c>
      <c r="F10" s="162">
        <f t="shared" si="1"/>
        <v>798.45</v>
      </c>
      <c r="G10" s="163">
        <v>35.314667</v>
      </c>
      <c r="H10" s="163">
        <f t="shared" si="2"/>
        <v>28.196995866150001</v>
      </c>
      <c r="I10" s="190">
        <v>1044.8302000000001</v>
      </c>
      <c r="J10" s="164">
        <f t="shared" ref="J10:J16" si="7">(H10*I10)/1000</f>
        <v>29.46107283022868</v>
      </c>
      <c r="K10" s="191">
        <f>L10-J10</f>
        <v>656.3733271697713</v>
      </c>
      <c r="L10" s="165">
        <v>685.83439999999996</v>
      </c>
      <c r="M10" s="166">
        <f t="shared" si="4"/>
        <v>4.2956539990161885E-2</v>
      </c>
      <c r="N10" s="167">
        <f t="shared" si="5"/>
        <v>0.9570434600098382</v>
      </c>
    </row>
    <row r="11" spans="2:14" x14ac:dyDescent="0.2">
      <c r="B11" s="188">
        <f t="shared" si="6"/>
        <v>4</v>
      </c>
      <c r="C11" s="189">
        <v>788.24</v>
      </c>
      <c r="D11" s="161">
        <v>5</v>
      </c>
      <c r="E11" s="162">
        <f t="shared" si="0"/>
        <v>3941.2</v>
      </c>
      <c r="F11" s="162">
        <f t="shared" si="1"/>
        <v>3941.2</v>
      </c>
      <c r="G11" s="163">
        <v>35.314667</v>
      </c>
      <c r="H11" s="163">
        <f t="shared" si="2"/>
        <v>139.18216558040001</v>
      </c>
      <c r="I11" s="190">
        <v>1050.3635200000001</v>
      </c>
      <c r="J11" s="164">
        <f t="shared" si="7"/>
        <v>146.19186936025181</v>
      </c>
      <c r="K11" s="191">
        <f t="shared" si="3"/>
        <v>696.04741063974825</v>
      </c>
      <c r="L11" s="168">
        <v>842.23928000000001</v>
      </c>
      <c r="M11" s="166">
        <f t="shared" si="4"/>
        <v>0.17357522123671532</v>
      </c>
      <c r="N11" s="167">
        <f t="shared" si="5"/>
        <v>0.8264247787632848</v>
      </c>
    </row>
    <row r="12" spans="2:14" x14ac:dyDescent="0.2">
      <c r="B12" s="188">
        <f t="shared" si="6"/>
        <v>5</v>
      </c>
      <c r="C12" s="189">
        <v>3.33</v>
      </c>
      <c r="D12" s="161">
        <v>5</v>
      </c>
      <c r="E12" s="162">
        <f t="shared" si="0"/>
        <v>16.649999999999999</v>
      </c>
      <c r="F12" s="162">
        <f t="shared" si="1"/>
        <v>16.649999999999999</v>
      </c>
      <c r="G12" s="163">
        <v>35.314667</v>
      </c>
      <c r="H12" s="163">
        <f t="shared" si="2"/>
        <v>0.58798920555</v>
      </c>
      <c r="I12" s="190">
        <v>1050.64978</v>
      </c>
      <c r="J12" s="164">
        <f t="shared" si="7"/>
        <v>0.61777072945348233</v>
      </c>
      <c r="K12" s="191">
        <f t="shared" si="3"/>
        <v>767.54332927054656</v>
      </c>
      <c r="L12" s="165">
        <v>768.16110000000003</v>
      </c>
      <c r="M12" s="166">
        <f t="shared" si="4"/>
        <v>8.0422027287437795E-4</v>
      </c>
      <c r="N12" s="167">
        <f t="shared" si="5"/>
        <v>0.99919577972712559</v>
      </c>
    </row>
    <row r="13" spans="2:14" x14ac:dyDescent="0.2">
      <c r="B13" s="188">
        <f t="shared" si="6"/>
        <v>6</v>
      </c>
      <c r="C13" s="189">
        <v>1356.95</v>
      </c>
      <c r="D13" s="161">
        <v>5</v>
      </c>
      <c r="E13" s="162">
        <f t="shared" si="0"/>
        <v>6784.75</v>
      </c>
      <c r="F13" s="162">
        <f t="shared" si="1"/>
        <v>6784.75</v>
      </c>
      <c r="G13" s="163">
        <v>35.314667</v>
      </c>
      <c r="H13" s="163">
        <f t="shared" si="2"/>
        <v>239.60118692825</v>
      </c>
      <c r="I13" s="190">
        <v>1051.39123</v>
      </c>
      <c r="J13" s="164">
        <f t="shared" si="7"/>
        <v>251.91458663395269</v>
      </c>
      <c r="K13" s="191">
        <f t="shared" si="3"/>
        <v>389.14956336604735</v>
      </c>
      <c r="L13" s="165">
        <v>641.06415000000004</v>
      </c>
      <c r="M13" s="166">
        <f t="shared" si="4"/>
        <v>0.39296314828079637</v>
      </c>
      <c r="N13" s="167">
        <f t="shared" si="5"/>
        <v>0.60703685171920363</v>
      </c>
    </row>
    <row r="14" spans="2:14" x14ac:dyDescent="0.2">
      <c r="B14" s="188">
        <f t="shared" si="6"/>
        <v>7</v>
      </c>
      <c r="C14" s="189">
        <v>4051.52</v>
      </c>
      <c r="D14" s="161">
        <v>5</v>
      </c>
      <c r="E14" s="162">
        <f>C14*D14</f>
        <v>20257.599999999999</v>
      </c>
      <c r="F14" s="162">
        <f t="shared" si="1"/>
        <v>20257.599999999999</v>
      </c>
      <c r="G14" s="163">
        <v>35.314667</v>
      </c>
      <c r="H14" s="163">
        <f t="shared" si="2"/>
        <v>715.39039821919994</v>
      </c>
      <c r="I14" s="190">
        <v>1053.7683099999999</v>
      </c>
      <c r="J14" s="164">
        <f t="shared" si="7"/>
        <v>753.85573092167328</v>
      </c>
      <c r="K14" s="191">
        <f t="shared" si="3"/>
        <v>105.66982907832676</v>
      </c>
      <c r="L14" s="165">
        <v>859.52556000000004</v>
      </c>
      <c r="M14" s="166">
        <f t="shared" si="4"/>
        <v>0.87706028302599082</v>
      </c>
      <c r="N14" s="167">
        <f t="shared" si="5"/>
        <v>0.12293971697400918</v>
      </c>
    </row>
    <row r="15" spans="2:14" x14ac:dyDescent="0.2">
      <c r="B15" s="188">
        <f t="shared" si="6"/>
        <v>8</v>
      </c>
      <c r="C15" s="189">
        <v>5815.62</v>
      </c>
      <c r="D15" s="161">
        <v>5</v>
      </c>
      <c r="E15" s="162">
        <f t="shared" si="0"/>
        <v>29078.1</v>
      </c>
      <c r="F15" s="162">
        <f t="shared" si="1"/>
        <v>29078.1</v>
      </c>
      <c r="G15" s="163">
        <v>35.314667</v>
      </c>
      <c r="H15" s="163">
        <f t="shared" si="2"/>
        <v>1026.8834184927</v>
      </c>
      <c r="I15" s="190">
        <v>1055.9121</v>
      </c>
      <c r="J15" s="164">
        <f t="shared" si="7"/>
        <v>1084.2986268758057</v>
      </c>
      <c r="K15" s="191">
        <f>L15-J15</f>
        <v>-55.066246875805746</v>
      </c>
      <c r="L15" s="165">
        <v>1029.2323799999999</v>
      </c>
      <c r="M15" s="166">
        <f t="shared" si="4"/>
        <v>1.0535022488078016</v>
      </c>
      <c r="N15" s="167">
        <f t="shared" si="5"/>
        <v>-5.350224880780155E-2</v>
      </c>
    </row>
    <row r="16" spans="2:14" x14ac:dyDescent="0.2">
      <c r="B16" s="188">
        <f t="shared" si="6"/>
        <v>9</v>
      </c>
      <c r="C16" s="189">
        <v>5220.53</v>
      </c>
      <c r="D16" s="161">
        <v>5</v>
      </c>
      <c r="E16" s="162">
        <f t="shared" si="0"/>
        <v>26102.649999999998</v>
      </c>
      <c r="F16" s="162">
        <f t="shared" si="1"/>
        <v>26102.649999999998</v>
      </c>
      <c r="G16" s="163">
        <v>35.314667</v>
      </c>
      <c r="H16" s="163">
        <f t="shared" si="2"/>
        <v>921.80639256754989</v>
      </c>
      <c r="I16" s="190">
        <v>1058.5966599999999</v>
      </c>
      <c r="J16" s="164">
        <f t="shared" si="7"/>
        <v>975.82116833865712</v>
      </c>
      <c r="K16" s="191">
        <f t="shared" si="3"/>
        <v>139.90533166134287</v>
      </c>
      <c r="L16" s="165">
        <v>1115.7265</v>
      </c>
      <c r="M16" s="166">
        <f t="shared" si="4"/>
        <v>0.87460606908472383</v>
      </c>
      <c r="N16" s="167">
        <f t="shared" si="5"/>
        <v>0.12539393091527617</v>
      </c>
    </row>
    <row r="17" spans="2:14" x14ac:dyDescent="0.2">
      <c r="B17" s="188">
        <f t="shared" si="6"/>
        <v>10</v>
      </c>
      <c r="C17" s="189">
        <v>2188</v>
      </c>
      <c r="D17" s="161">
        <v>5</v>
      </c>
      <c r="E17" s="162">
        <f t="shared" si="0"/>
        <v>10940</v>
      </c>
      <c r="F17" s="162">
        <f t="shared" si="1"/>
        <v>10940</v>
      </c>
      <c r="G17" s="163">
        <v>35.314667</v>
      </c>
      <c r="H17" s="163">
        <f t="shared" si="2"/>
        <v>386.34245698000001</v>
      </c>
      <c r="I17" s="190">
        <v>1055.60546</v>
      </c>
      <c r="J17" s="164">
        <f>(H17*I17)/1000</f>
        <v>407.8252070179031</v>
      </c>
      <c r="K17" s="191">
        <f t="shared" si="3"/>
        <v>551.84729298209686</v>
      </c>
      <c r="L17" s="165">
        <v>959.67250000000001</v>
      </c>
      <c r="M17" s="166">
        <f t="shared" si="4"/>
        <v>0.42496289829905837</v>
      </c>
      <c r="N17" s="167">
        <f t="shared" si="5"/>
        <v>0.57503710170094158</v>
      </c>
    </row>
    <row r="18" spans="2:14" x14ac:dyDescent="0.2">
      <c r="B18" s="188">
        <f t="shared" si="6"/>
        <v>11</v>
      </c>
      <c r="C18" s="189">
        <v>1796.49</v>
      </c>
      <c r="D18" s="161">
        <v>5</v>
      </c>
      <c r="E18" s="162">
        <f t="shared" si="0"/>
        <v>8982.4500000000007</v>
      </c>
      <c r="F18" s="162">
        <f>E18</f>
        <v>8982.4500000000007</v>
      </c>
      <c r="G18" s="163">
        <v>35.314667</v>
      </c>
      <c r="H18" s="163">
        <f t="shared" si="2"/>
        <v>317.21223059415001</v>
      </c>
      <c r="I18" s="190">
        <v>1056.3095699999999</v>
      </c>
      <c r="J18" s="164">
        <f>(H18*I18)/1000</f>
        <v>335.07431489764741</v>
      </c>
      <c r="K18" s="191">
        <f t="shared" si="3"/>
        <v>538.27708510235266</v>
      </c>
      <c r="L18" s="165">
        <v>873.35140000000001</v>
      </c>
      <c r="M18" s="166">
        <f t="shared" si="4"/>
        <v>0.38366494276833746</v>
      </c>
      <c r="N18" s="167">
        <f t="shared" si="5"/>
        <v>0.6163350572316626</v>
      </c>
    </row>
    <row r="19" spans="2:14" x14ac:dyDescent="0.2">
      <c r="B19" s="188">
        <f t="shared" si="6"/>
        <v>12</v>
      </c>
      <c r="C19" s="189">
        <v>4866.75</v>
      </c>
      <c r="D19" s="161">
        <v>5</v>
      </c>
      <c r="E19" s="162">
        <f>C19*D19</f>
        <v>24333.75</v>
      </c>
      <c r="F19" s="162">
        <f>E19</f>
        <v>24333.75</v>
      </c>
      <c r="G19" s="163">
        <v>35.314667</v>
      </c>
      <c r="H19" s="163">
        <f t="shared" si="2"/>
        <v>859.33827811125002</v>
      </c>
      <c r="I19" s="190">
        <v>1051.5483400000001</v>
      </c>
      <c r="J19" s="164">
        <f>(H19*I19)/1000</f>
        <v>903.63573984634331</v>
      </c>
      <c r="K19" s="191">
        <f t="shared" si="3"/>
        <v>6.6809601536566561</v>
      </c>
      <c r="L19" s="165">
        <v>910.31669999999997</v>
      </c>
      <c r="M19" s="166">
        <f t="shared" si="4"/>
        <v>0.99266083973450492</v>
      </c>
      <c r="N19" s="167">
        <f t="shared" si="5"/>
        <v>7.3391602654951362E-3</v>
      </c>
    </row>
    <row r="20" spans="2:14" x14ac:dyDescent="0.2">
      <c r="B20" s="188">
        <f t="shared" si="6"/>
        <v>13</v>
      </c>
      <c r="C20" s="189">
        <v>6932.28</v>
      </c>
      <c r="D20" s="161">
        <v>5</v>
      </c>
      <c r="E20" s="162">
        <f t="shared" si="0"/>
        <v>34661.4</v>
      </c>
      <c r="F20" s="162">
        <f>E20</f>
        <v>34661.4</v>
      </c>
      <c r="G20" s="163">
        <v>35.314667</v>
      </c>
      <c r="H20" s="163">
        <f t="shared" si="2"/>
        <v>1224.0557987538</v>
      </c>
      <c r="I20" s="190">
        <v>1053.7374199999999</v>
      </c>
      <c r="J20" s="164">
        <f>(H20*I20)/1000</f>
        <v>1289.8333993148683</v>
      </c>
      <c r="K20" s="191">
        <f t="shared" si="3"/>
        <v>-53.700699314868189</v>
      </c>
      <c r="L20" s="165">
        <v>1236.1327000000001</v>
      </c>
      <c r="M20" s="166">
        <f t="shared" si="4"/>
        <v>1.0434425036364365</v>
      </c>
      <c r="N20" s="167">
        <f t="shared" si="5"/>
        <v>-4.3442503636436591E-2</v>
      </c>
    </row>
    <row r="21" spans="2:14" x14ac:dyDescent="0.2">
      <c r="B21" s="188">
        <f t="shared" si="6"/>
        <v>14</v>
      </c>
      <c r="C21" s="189">
        <v>6338.15</v>
      </c>
      <c r="D21" s="161">
        <v>5</v>
      </c>
      <c r="E21" s="162">
        <f t="shared" si="0"/>
        <v>31690.75</v>
      </c>
      <c r="F21" s="162">
        <f t="shared" si="1"/>
        <v>31690.75</v>
      </c>
      <c r="G21" s="163">
        <v>35.314667</v>
      </c>
      <c r="H21" s="163">
        <f t="shared" si="2"/>
        <v>1119.1482832302499</v>
      </c>
      <c r="I21" s="190">
        <v>1054.6458700000001</v>
      </c>
      <c r="J21" s="164">
        <f>(H21*I21)/1000</f>
        <v>1180.3051148263735</v>
      </c>
      <c r="K21" s="191">
        <f t="shared" si="3"/>
        <v>-24.066514826373577</v>
      </c>
      <c r="L21" s="165">
        <v>1156.2385999999999</v>
      </c>
      <c r="M21" s="166">
        <f t="shared" si="4"/>
        <v>1.0208144883126835</v>
      </c>
      <c r="N21" s="167">
        <f t="shared" si="5"/>
        <v>-2.0814488312683541E-2</v>
      </c>
    </row>
    <row r="22" spans="2:14" x14ac:dyDescent="0.2">
      <c r="B22" s="188">
        <f t="shared" si="6"/>
        <v>15</v>
      </c>
      <c r="C22" s="189">
        <v>4350.1099999999997</v>
      </c>
      <c r="D22" s="161">
        <v>5</v>
      </c>
      <c r="E22" s="162">
        <f t="shared" ref="E22:E37" si="8">C22*D22</f>
        <v>21750.55</v>
      </c>
      <c r="F22" s="162">
        <f t="shared" ref="F22:F37" si="9">E22</f>
        <v>21750.55</v>
      </c>
      <c r="G22" s="163">
        <v>36.314667</v>
      </c>
      <c r="H22" s="163">
        <f t="shared" ref="H22:H37" si="10">(F22*G22)/1000</f>
        <v>789.86398031684996</v>
      </c>
      <c r="I22" s="190">
        <v>1051.3793900000001</v>
      </c>
      <c r="J22" s="164">
        <f t="shared" ref="J22:J37" si="11">(H22*I22)/1000</f>
        <v>830.44670980850174</v>
      </c>
      <c r="K22" s="191">
        <f t="shared" ref="K22:K37" si="12">L22-J22</f>
        <v>360.67519019149836</v>
      </c>
      <c r="L22" s="165">
        <v>1191.1219000000001</v>
      </c>
      <c r="M22" s="166">
        <f t="shared" ref="M22:M37" si="13">(J22/L22)</f>
        <v>0.69719707933209996</v>
      </c>
      <c r="N22" s="167">
        <f t="shared" ref="N22:N37" si="14">K22/L22</f>
        <v>0.30280292066789999</v>
      </c>
    </row>
    <row r="23" spans="2:14" x14ac:dyDescent="0.2">
      <c r="B23" s="188">
        <f t="shared" si="6"/>
        <v>16</v>
      </c>
      <c r="C23" s="189">
        <v>3652.71</v>
      </c>
      <c r="D23" s="161">
        <v>5</v>
      </c>
      <c r="E23" s="162">
        <f t="shared" si="8"/>
        <v>18263.55</v>
      </c>
      <c r="F23" s="162">
        <f t="shared" si="9"/>
        <v>18263.55</v>
      </c>
      <c r="G23" s="163">
        <v>37.314667</v>
      </c>
      <c r="H23" s="163">
        <f t="shared" si="10"/>
        <v>681.49828648785001</v>
      </c>
      <c r="I23" s="190">
        <v>1034.49316</v>
      </c>
      <c r="J23" s="164">
        <f t="shared" si="11"/>
        <v>705.00531592340133</v>
      </c>
      <c r="K23" s="191">
        <f t="shared" si="12"/>
        <v>338.83608407659869</v>
      </c>
      <c r="L23" s="165">
        <v>1043.8414</v>
      </c>
      <c r="M23" s="166">
        <f t="shared" si="13"/>
        <v>0.67539505132044131</v>
      </c>
      <c r="N23" s="167">
        <f t="shared" si="14"/>
        <v>0.32460494867955869</v>
      </c>
    </row>
    <row r="24" spans="2:14" x14ac:dyDescent="0.2">
      <c r="B24" s="188">
        <f t="shared" si="6"/>
        <v>17</v>
      </c>
      <c r="C24" s="189">
        <v>6388.24</v>
      </c>
      <c r="D24" s="161">
        <v>5</v>
      </c>
      <c r="E24" s="162">
        <f t="shared" si="8"/>
        <v>31941.199999999997</v>
      </c>
      <c r="F24" s="162">
        <f t="shared" si="9"/>
        <v>31941.199999999997</v>
      </c>
      <c r="G24" s="163">
        <v>38.314667</v>
      </c>
      <c r="H24" s="163">
        <f t="shared" si="10"/>
        <v>1223.8164415803999</v>
      </c>
      <c r="I24" s="190">
        <v>1041.3328799999999</v>
      </c>
      <c r="J24" s="164">
        <f>(H24*I24)/1000</f>
        <v>1274.4002997022694</v>
      </c>
      <c r="K24" s="191">
        <f t="shared" si="12"/>
        <v>-125.4959997022695</v>
      </c>
      <c r="L24" s="165">
        <v>1148.9042999999999</v>
      </c>
      <c r="M24" s="166">
        <f t="shared" si="13"/>
        <v>1.1092310296882599</v>
      </c>
      <c r="N24" s="167">
        <f t="shared" si="14"/>
        <v>-0.10923102968825994</v>
      </c>
    </row>
    <row r="25" spans="2:14" x14ac:dyDescent="0.2">
      <c r="B25" s="188">
        <f t="shared" si="6"/>
        <v>18</v>
      </c>
      <c r="C25" s="189">
        <v>7607.66</v>
      </c>
      <c r="D25" s="161">
        <v>5</v>
      </c>
      <c r="E25" s="162">
        <f t="shared" si="8"/>
        <v>38038.300000000003</v>
      </c>
      <c r="F25" s="162">
        <f t="shared" si="9"/>
        <v>38038.300000000003</v>
      </c>
      <c r="G25" s="163">
        <v>39.314667</v>
      </c>
      <c r="H25" s="163">
        <f t="shared" si="10"/>
        <v>1495.4630977460999</v>
      </c>
      <c r="I25" s="190">
        <v>1042.2141099999999</v>
      </c>
      <c r="J25" s="164">
        <f t="shared" si="11"/>
        <v>1558.5927414552943</v>
      </c>
      <c r="K25" s="191">
        <f t="shared" si="12"/>
        <v>-1558.5927414552943</v>
      </c>
      <c r="L25" s="165"/>
      <c r="M25" s="166" t="e">
        <f t="shared" si="13"/>
        <v>#DIV/0!</v>
      </c>
      <c r="N25" s="167" t="e">
        <f t="shared" si="14"/>
        <v>#DIV/0!</v>
      </c>
    </row>
    <row r="26" spans="2:14" x14ac:dyDescent="0.2">
      <c r="B26" s="188">
        <f t="shared" si="6"/>
        <v>19</v>
      </c>
      <c r="C26" s="189">
        <v>6514.97</v>
      </c>
      <c r="D26" s="161">
        <v>5</v>
      </c>
      <c r="E26" s="162">
        <f t="shared" si="8"/>
        <v>32574.850000000002</v>
      </c>
      <c r="F26" s="162">
        <f t="shared" si="9"/>
        <v>32574.850000000002</v>
      </c>
      <c r="G26" s="163">
        <v>40.314667</v>
      </c>
      <c r="H26" s="163">
        <f t="shared" si="10"/>
        <v>1313.24423032495</v>
      </c>
      <c r="I26" s="190">
        <v>1042.5070800000001</v>
      </c>
      <c r="J26" s="164">
        <f t="shared" si="11"/>
        <v>1369.0664078829111</v>
      </c>
      <c r="K26" s="191">
        <f t="shared" si="12"/>
        <v>-1369.0664078829111</v>
      </c>
      <c r="L26" s="165"/>
      <c r="M26" s="166" t="e">
        <f t="shared" si="13"/>
        <v>#DIV/0!</v>
      </c>
      <c r="N26" s="167" t="e">
        <f t="shared" si="14"/>
        <v>#DIV/0!</v>
      </c>
    </row>
    <row r="27" spans="2:14" x14ac:dyDescent="0.2">
      <c r="B27" s="188">
        <f t="shared" si="6"/>
        <v>20</v>
      </c>
      <c r="C27" s="189">
        <v>4942.41</v>
      </c>
      <c r="D27" s="161">
        <v>5</v>
      </c>
      <c r="E27" s="162">
        <f t="shared" si="8"/>
        <v>24712.05</v>
      </c>
      <c r="F27" s="162">
        <f t="shared" si="9"/>
        <v>24712.05</v>
      </c>
      <c r="G27" s="163">
        <v>41.314667</v>
      </c>
      <c r="H27" s="163">
        <f t="shared" si="10"/>
        <v>1020.97011663735</v>
      </c>
      <c r="I27" s="190">
        <v>1042.9853499999999</v>
      </c>
      <c r="J27" s="164">
        <f t="shared" si="11"/>
        <v>1064.8568744405472</v>
      </c>
      <c r="K27" s="191">
        <f t="shared" si="12"/>
        <v>-1064.8568744405472</v>
      </c>
      <c r="L27" s="165"/>
      <c r="M27" s="166" t="e">
        <f t="shared" si="13"/>
        <v>#DIV/0!</v>
      </c>
      <c r="N27" s="167" t="e">
        <f t="shared" si="14"/>
        <v>#DIV/0!</v>
      </c>
    </row>
    <row r="28" spans="2:14" x14ac:dyDescent="0.2">
      <c r="B28" s="188">
        <f t="shared" si="6"/>
        <v>21</v>
      </c>
      <c r="C28" s="189">
        <v>3073.52</v>
      </c>
      <c r="D28" s="161">
        <v>5</v>
      </c>
      <c r="E28" s="162">
        <f t="shared" si="8"/>
        <v>15367.6</v>
      </c>
      <c r="F28" s="162">
        <f t="shared" si="9"/>
        <v>15367.6</v>
      </c>
      <c r="G28" s="163">
        <v>42.314667</v>
      </c>
      <c r="H28" s="163">
        <f t="shared" si="10"/>
        <v>650.27487658919995</v>
      </c>
      <c r="I28" s="190">
        <v>1043.1148599999999</v>
      </c>
      <c r="J28" s="164">
        <f t="shared" si="11"/>
        <v>678.31138685486042</v>
      </c>
      <c r="K28" s="191">
        <f t="shared" si="12"/>
        <v>-678.31138685486042</v>
      </c>
      <c r="L28" s="165"/>
      <c r="M28" s="166" t="e">
        <f t="shared" si="13"/>
        <v>#DIV/0!</v>
      </c>
      <c r="N28" s="167" t="e">
        <f t="shared" si="14"/>
        <v>#DIV/0!</v>
      </c>
    </row>
    <row r="29" spans="2:14" x14ac:dyDescent="0.2">
      <c r="B29" s="188">
        <f t="shared" si="6"/>
        <v>22</v>
      </c>
      <c r="C29" s="189"/>
      <c r="D29" s="161">
        <v>5</v>
      </c>
      <c r="E29" s="162">
        <f>C29*D29</f>
        <v>0</v>
      </c>
      <c r="F29" s="162">
        <f>E29</f>
        <v>0</v>
      </c>
      <c r="G29" s="163">
        <v>42.314667</v>
      </c>
      <c r="H29" s="163">
        <f>(F29*G29)/1000</f>
        <v>0</v>
      </c>
      <c r="I29" s="190">
        <v>1042.5883699999999</v>
      </c>
      <c r="J29" s="164">
        <f>(H29*I29)/1000</f>
        <v>0</v>
      </c>
      <c r="K29" s="191">
        <f>L29-J29</f>
        <v>0</v>
      </c>
      <c r="L29" s="165"/>
      <c r="M29" s="166" t="e">
        <f>(J29/L29)</f>
        <v>#DIV/0!</v>
      </c>
      <c r="N29" s="167" t="e">
        <f>K29/L29</f>
        <v>#DIV/0!</v>
      </c>
    </row>
    <row r="30" spans="2:14" x14ac:dyDescent="0.2">
      <c r="B30" s="188">
        <f t="shared" si="6"/>
        <v>23</v>
      </c>
      <c r="C30" s="189"/>
      <c r="D30" s="161">
        <v>5</v>
      </c>
      <c r="E30" s="162">
        <f t="shared" si="8"/>
        <v>0</v>
      </c>
      <c r="F30" s="162">
        <f t="shared" si="9"/>
        <v>0</v>
      </c>
      <c r="G30" s="163">
        <v>44.314667</v>
      </c>
      <c r="H30" s="163">
        <f t="shared" si="10"/>
        <v>0</v>
      </c>
      <c r="I30" s="190">
        <v>1042.7497499999999</v>
      </c>
      <c r="J30" s="164">
        <f>(H30*I30)/1000</f>
        <v>0</v>
      </c>
      <c r="K30" s="191">
        <f t="shared" si="12"/>
        <v>0</v>
      </c>
      <c r="L30" s="165"/>
      <c r="M30" s="166" t="e">
        <f t="shared" si="13"/>
        <v>#DIV/0!</v>
      </c>
      <c r="N30" s="167" t="e">
        <f t="shared" si="14"/>
        <v>#DIV/0!</v>
      </c>
    </row>
    <row r="31" spans="2:14" x14ac:dyDescent="0.2">
      <c r="B31" s="188">
        <f t="shared" si="6"/>
        <v>24</v>
      </c>
      <c r="C31" s="189"/>
      <c r="D31" s="161">
        <v>5</v>
      </c>
      <c r="E31" s="162">
        <f t="shared" si="8"/>
        <v>0</v>
      </c>
      <c r="F31" s="162">
        <f t="shared" si="9"/>
        <v>0</v>
      </c>
      <c r="G31" s="163">
        <v>45.314667</v>
      </c>
      <c r="H31" s="163">
        <f t="shared" si="10"/>
        <v>0</v>
      </c>
      <c r="I31" s="190">
        <v>1042.2930899999999</v>
      </c>
      <c r="J31" s="164">
        <f>(H31*I31)/1000</f>
        <v>0</v>
      </c>
      <c r="K31" s="191">
        <f t="shared" si="12"/>
        <v>0</v>
      </c>
      <c r="L31" s="165"/>
      <c r="M31" s="166" t="e">
        <f t="shared" si="13"/>
        <v>#DIV/0!</v>
      </c>
      <c r="N31" s="167" t="e">
        <f t="shared" si="14"/>
        <v>#DIV/0!</v>
      </c>
    </row>
    <row r="32" spans="2:14" x14ac:dyDescent="0.2">
      <c r="B32" s="188">
        <f t="shared" si="6"/>
        <v>25</v>
      </c>
      <c r="C32" s="189"/>
      <c r="D32" s="161">
        <v>5</v>
      </c>
      <c r="E32" s="162">
        <f t="shared" si="8"/>
        <v>0</v>
      </c>
      <c r="F32" s="162">
        <f t="shared" si="9"/>
        <v>0</v>
      </c>
      <c r="G32" s="163">
        <v>46.314667</v>
      </c>
      <c r="H32" s="163">
        <f t="shared" si="10"/>
        <v>0</v>
      </c>
      <c r="I32" s="190">
        <v>1039.41137</v>
      </c>
      <c r="J32" s="164">
        <f>(H32*I32)/1000</f>
        <v>0</v>
      </c>
      <c r="K32" s="191">
        <f t="shared" si="12"/>
        <v>0</v>
      </c>
      <c r="L32" s="165"/>
      <c r="M32" s="166" t="e">
        <f t="shared" si="13"/>
        <v>#DIV/0!</v>
      </c>
      <c r="N32" s="167" t="e">
        <f t="shared" si="14"/>
        <v>#DIV/0!</v>
      </c>
    </row>
    <row r="33" spans="2:14" x14ac:dyDescent="0.2">
      <c r="B33" s="188">
        <f t="shared" si="6"/>
        <v>26</v>
      </c>
      <c r="C33" s="189"/>
      <c r="D33" s="161">
        <v>5</v>
      </c>
      <c r="E33" s="162">
        <f t="shared" si="8"/>
        <v>0</v>
      </c>
      <c r="F33" s="162">
        <f t="shared" si="9"/>
        <v>0</v>
      </c>
      <c r="G33" s="163">
        <v>47.314667</v>
      </c>
      <c r="H33" s="163">
        <f t="shared" si="10"/>
        <v>0</v>
      </c>
      <c r="I33" s="190">
        <v>1039.44067</v>
      </c>
      <c r="J33" s="164">
        <f t="shared" si="11"/>
        <v>0</v>
      </c>
      <c r="K33" s="191">
        <f t="shared" si="12"/>
        <v>0</v>
      </c>
      <c r="L33" s="165"/>
      <c r="M33" s="166" t="e">
        <f t="shared" si="13"/>
        <v>#DIV/0!</v>
      </c>
      <c r="N33" s="167" t="e">
        <f t="shared" si="14"/>
        <v>#DIV/0!</v>
      </c>
    </row>
    <row r="34" spans="2:14" x14ac:dyDescent="0.2">
      <c r="B34" s="188">
        <f t="shared" si="6"/>
        <v>27</v>
      </c>
      <c r="C34" s="189"/>
      <c r="D34" s="161">
        <v>5</v>
      </c>
      <c r="E34" s="162">
        <f t="shared" si="8"/>
        <v>0</v>
      </c>
      <c r="F34" s="162">
        <f t="shared" si="9"/>
        <v>0</v>
      </c>
      <c r="G34" s="163">
        <v>48.314667</v>
      </c>
      <c r="H34" s="163">
        <f t="shared" si="10"/>
        <v>0</v>
      </c>
      <c r="I34" s="190">
        <v>1040.2491399999999</v>
      </c>
      <c r="J34" s="164">
        <f t="shared" si="11"/>
        <v>0</v>
      </c>
      <c r="K34" s="191">
        <f t="shared" si="12"/>
        <v>0</v>
      </c>
      <c r="L34" s="165"/>
      <c r="M34" s="166" t="e">
        <f t="shared" si="13"/>
        <v>#DIV/0!</v>
      </c>
      <c r="N34" s="167" t="e">
        <f t="shared" si="14"/>
        <v>#DIV/0!</v>
      </c>
    </row>
    <row r="35" spans="2:14" x14ac:dyDescent="0.2">
      <c r="B35" s="188">
        <f t="shared" si="6"/>
        <v>28</v>
      </c>
      <c r="C35" s="189"/>
      <c r="D35" s="161">
        <v>5</v>
      </c>
      <c r="E35" s="162">
        <f t="shared" si="8"/>
        <v>0</v>
      </c>
      <c r="F35" s="162">
        <f t="shared" si="9"/>
        <v>0</v>
      </c>
      <c r="G35" s="163">
        <v>49.314667</v>
      </c>
      <c r="H35" s="163">
        <f t="shared" si="10"/>
        <v>0</v>
      </c>
      <c r="I35" s="190"/>
      <c r="J35" s="164">
        <f t="shared" si="11"/>
        <v>0</v>
      </c>
      <c r="K35" s="191">
        <f t="shared" si="12"/>
        <v>0</v>
      </c>
      <c r="L35" s="165"/>
      <c r="M35" s="166" t="e">
        <f t="shared" si="13"/>
        <v>#DIV/0!</v>
      </c>
      <c r="N35" s="167" t="e">
        <f t="shared" si="14"/>
        <v>#DIV/0!</v>
      </c>
    </row>
    <row r="36" spans="2:14" x14ac:dyDescent="0.2">
      <c r="B36" s="188">
        <f t="shared" si="6"/>
        <v>29</v>
      </c>
      <c r="C36" s="189"/>
      <c r="D36" s="161">
        <v>5</v>
      </c>
      <c r="E36" s="162">
        <f t="shared" si="8"/>
        <v>0</v>
      </c>
      <c r="F36" s="162">
        <f t="shared" si="9"/>
        <v>0</v>
      </c>
      <c r="G36" s="163">
        <v>50.314667</v>
      </c>
      <c r="H36" s="163">
        <f t="shared" si="10"/>
        <v>0</v>
      </c>
      <c r="I36" s="190"/>
      <c r="J36" s="164">
        <f t="shared" si="11"/>
        <v>0</v>
      </c>
      <c r="K36" s="191">
        <f t="shared" si="12"/>
        <v>0</v>
      </c>
      <c r="L36" s="165"/>
      <c r="M36" s="166" t="e">
        <f t="shared" si="13"/>
        <v>#DIV/0!</v>
      </c>
      <c r="N36" s="167" t="e">
        <f t="shared" si="14"/>
        <v>#DIV/0!</v>
      </c>
    </row>
    <row r="37" spans="2:14" ht="15" thickBot="1" x14ac:dyDescent="0.25">
      <c r="B37" s="188">
        <f t="shared" si="6"/>
        <v>30</v>
      </c>
      <c r="C37" s="189"/>
      <c r="D37" s="161">
        <v>5</v>
      </c>
      <c r="E37" s="162">
        <f t="shared" si="8"/>
        <v>0</v>
      </c>
      <c r="F37" s="162">
        <f t="shared" si="9"/>
        <v>0</v>
      </c>
      <c r="G37" s="163">
        <v>51.314667</v>
      </c>
      <c r="H37" s="163">
        <f t="shared" si="10"/>
        <v>0</v>
      </c>
      <c r="I37" s="190"/>
      <c r="J37" s="164">
        <f t="shared" si="11"/>
        <v>0</v>
      </c>
      <c r="K37" s="191">
        <f t="shared" si="12"/>
        <v>0</v>
      </c>
      <c r="L37" s="165"/>
      <c r="M37" s="166" t="e">
        <f t="shared" si="13"/>
        <v>#DIV/0!</v>
      </c>
      <c r="N37" s="167" t="e">
        <f t="shared" si="14"/>
        <v>#DIV/0!</v>
      </c>
    </row>
    <row r="38" spans="2:14" ht="15" x14ac:dyDescent="0.25">
      <c r="B38" s="192" t="s">
        <v>157</v>
      </c>
      <c r="C38" s="169"/>
      <c r="D38" s="193"/>
      <c r="E38" s="193"/>
      <c r="F38" s="194">
        <f>AVERAGE(F8:F37)</f>
        <v>12674.528333333328</v>
      </c>
      <c r="G38" s="194"/>
      <c r="H38" s="194">
        <f t="shared" ref="H38:N38" si="15">AVERAGE(H8:H37)</f>
        <v>471.76255414039832</v>
      </c>
      <c r="I38" s="195">
        <f t="shared" si="15"/>
        <v>1047.133901851852</v>
      </c>
      <c r="J38" s="196">
        <f t="shared" si="15"/>
        <v>494.65047792203143</v>
      </c>
      <c r="K38" s="197">
        <f t="shared" si="15"/>
        <v>-12.578485588698099</v>
      </c>
      <c r="L38" s="198">
        <f t="shared" si="15"/>
        <v>850.71528058823515</v>
      </c>
      <c r="M38" s="199" t="e">
        <f t="shared" si="15"/>
        <v>#DIV/0!</v>
      </c>
      <c r="N38" s="199" t="e">
        <f t="shared" si="15"/>
        <v>#DIV/0!</v>
      </c>
    </row>
    <row r="39" spans="2:14" ht="15" x14ac:dyDescent="0.25">
      <c r="B39" s="200" t="s">
        <v>158</v>
      </c>
      <c r="C39" s="112">
        <f>SUM(C8:C37)</f>
        <v>76047.170000000013</v>
      </c>
      <c r="D39" s="201"/>
      <c r="E39" s="202">
        <f>SUM(E8:E37)</f>
        <v>380235.84999999986</v>
      </c>
      <c r="F39" s="202">
        <f>SUM(F8:F37)</f>
        <v>380235.84999999986</v>
      </c>
      <c r="G39" s="202"/>
      <c r="H39" s="202">
        <f>SUM(H8:H37)</f>
        <v>14152.876624211949</v>
      </c>
      <c r="I39" s="203"/>
      <c r="J39" s="204">
        <f>SUM(J8:J37)</f>
        <v>14839.514337660943</v>
      </c>
      <c r="K39" s="205"/>
      <c r="L39" s="206"/>
      <c r="M39" s="207"/>
      <c r="N39" s="207"/>
    </row>
    <row r="40" spans="2:14" ht="15" x14ac:dyDescent="0.25">
      <c r="B40" s="208" t="s">
        <v>159</v>
      </c>
      <c r="C40" s="170"/>
      <c r="D40" s="209"/>
      <c r="E40" s="209"/>
      <c r="F40" s="210"/>
      <c r="G40" s="210"/>
      <c r="H40" s="210"/>
      <c r="I40" s="211"/>
      <c r="J40" s="207"/>
      <c r="K40" s="205"/>
      <c r="L40" s="212"/>
      <c r="M40" s="207"/>
      <c r="N40" s="207"/>
    </row>
    <row r="41" spans="2:14" ht="30.75" customHeight="1" thickBot="1" x14ac:dyDescent="0.25">
      <c r="B41" s="213" t="s">
        <v>160</v>
      </c>
      <c r="C41" s="171"/>
      <c r="D41" s="214"/>
      <c r="E41" s="214"/>
      <c r="F41" s="215"/>
      <c r="G41" s="215"/>
      <c r="H41" s="216">
        <f>H39+H40</f>
        <v>14152.876624211949</v>
      </c>
      <c r="I41" s="217"/>
      <c r="J41" s="218">
        <f>J39+J40</f>
        <v>14839.514337660943</v>
      </c>
      <c r="K41" s="219"/>
      <c r="L41" s="220"/>
      <c r="M41" s="221"/>
      <c r="N41" s="221"/>
    </row>
    <row r="42" spans="2:14" s="175" customFormat="1" x14ac:dyDescent="0.2">
      <c r="C42" s="152"/>
    </row>
    <row r="43" spans="2:14" s="175" customFormat="1" x14ac:dyDescent="0.2">
      <c r="C43" s="152" t="s">
        <v>161</v>
      </c>
      <c r="F43" s="222"/>
    </row>
    <row r="44" spans="2:14" s="175" customFormat="1" x14ac:dyDescent="0.2">
      <c r="C44" s="152">
        <f>C39</f>
        <v>76047.170000000013</v>
      </c>
      <c r="D44" s="175" t="s">
        <v>124</v>
      </c>
      <c r="F44" s="152">
        <f>C39*5</f>
        <v>380235.85000000009</v>
      </c>
      <c r="G44" s="175">
        <v>9983.7000000000007</v>
      </c>
    </row>
    <row r="45" spans="2:14" s="175" customFormat="1" ht="15" x14ac:dyDescent="0.25">
      <c r="C45" s="152">
        <v>5</v>
      </c>
      <c r="D45" s="175" t="s">
        <v>162</v>
      </c>
      <c r="F45" s="152">
        <v>21286.9</v>
      </c>
      <c r="G45" s="222">
        <f>G44-C39</f>
        <v>-66063.470000000016</v>
      </c>
      <c r="H45" s="223"/>
      <c r="L45" s="223"/>
    </row>
    <row r="46" spans="2:14" s="175" customFormat="1" x14ac:dyDescent="0.2">
      <c r="C46" s="152">
        <f>C44*C45</f>
        <v>380235.85000000009</v>
      </c>
      <c r="D46" s="175" t="s">
        <v>163</v>
      </c>
      <c r="F46" s="152">
        <f>F44/F45</f>
        <v>17.862434173129955</v>
      </c>
      <c r="G46" s="222"/>
      <c r="H46" s="143"/>
      <c r="J46" s="143"/>
      <c r="L46" s="224"/>
    </row>
    <row r="47" spans="2:14" s="175" customFormat="1" x14ac:dyDescent="0.2">
      <c r="C47" s="152" t="e">
        <f>#REF!</f>
        <v>#REF!</v>
      </c>
      <c r="D47" s="175" t="s">
        <v>164</v>
      </c>
      <c r="H47" s="225"/>
      <c r="J47" s="152"/>
      <c r="L47" s="224"/>
    </row>
    <row r="48" spans="2:14" s="175" customFormat="1" ht="15" x14ac:dyDescent="0.25">
      <c r="C48" s="152" t="e">
        <f>(C46*C47)/1000</f>
        <v>#REF!</v>
      </c>
      <c r="D48" s="175" t="s">
        <v>165</v>
      </c>
      <c r="H48" s="173"/>
      <c r="J48" s="143"/>
      <c r="L48" s="152"/>
    </row>
    <row r="49" spans="3:10" s="175" customFormat="1" x14ac:dyDescent="0.2">
      <c r="C49" s="152">
        <f>I38</f>
        <v>1047.133901851852</v>
      </c>
      <c r="D49" s="175" t="s">
        <v>166</v>
      </c>
      <c r="H49" s="152"/>
      <c r="J49" s="226"/>
    </row>
    <row r="50" spans="3:10" s="175" customFormat="1" ht="15" x14ac:dyDescent="0.25">
      <c r="C50" s="173" t="e">
        <f>(C48*C49)/1000</f>
        <v>#REF!</v>
      </c>
      <c r="D50" s="175" t="s">
        <v>167</v>
      </c>
      <c r="H50" s="227"/>
      <c r="I50" s="223"/>
    </row>
    <row r="51" spans="3:10" s="175" customFormat="1" x14ac:dyDescent="0.2">
      <c r="C51" s="152"/>
    </row>
    <row r="52" spans="3:10" s="175" customFormat="1" x14ac:dyDescent="0.2">
      <c r="C52" s="152"/>
    </row>
    <row r="53" spans="3:10" s="175" customFormat="1" x14ac:dyDescent="0.2">
      <c r="C53" s="152"/>
    </row>
    <row r="54" spans="3:10" s="175" customFormat="1" x14ac:dyDescent="0.2">
      <c r="C54" s="152"/>
    </row>
    <row r="55" spans="3:10" s="175" customFormat="1" x14ac:dyDescent="0.2">
      <c r="C55" s="152"/>
    </row>
    <row r="56" spans="3:10" s="175" customFormat="1" x14ac:dyDescent="0.2">
      <c r="C56" s="152"/>
    </row>
    <row r="57" spans="3:10" s="175" customFormat="1" x14ac:dyDescent="0.2">
      <c r="C57" s="152"/>
    </row>
    <row r="58" spans="3:10" s="175" customFormat="1" x14ac:dyDescent="0.2">
      <c r="C58" s="152"/>
    </row>
    <row r="59" spans="3:10" s="175" customFormat="1" x14ac:dyDescent="0.2">
      <c r="C59" s="152"/>
      <c r="F59" s="143"/>
    </row>
    <row r="60" spans="3:10" s="175" customFormat="1" x14ac:dyDescent="0.2">
      <c r="C60" s="152"/>
      <c r="F60" s="143"/>
    </row>
    <row r="61" spans="3:10" s="175" customFormat="1" x14ac:dyDescent="0.2">
      <c r="C61" s="152"/>
      <c r="F61" s="143"/>
    </row>
    <row r="62" spans="3:10" s="175" customFormat="1" x14ac:dyDescent="0.2">
      <c r="C62" s="152"/>
      <c r="F62" s="143"/>
    </row>
    <row r="63" spans="3:10" s="175" customFormat="1" x14ac:dyDescent="0.2">
      <c r="C63" s="152"/>
    </row>
    <row r="64" spans="3:10" s="175" customFormat="1" x14ac:dyDescent="0.2">
      <c r="C64" s="152"/>
    </row>
    <row r="65" spans="3:3" s="175" customFormat="1" x14ac:dyDescent="0.2">
      <c r="C65" s="152"/>
    </row>
    <row r="66" spans="3:3" s="175" customFormat="1" x14ac:dyDescent="0.2">
      <c r="C66" s="152"/>
    </row>
    <row r="67" spans="3:3" s="175" customFormat="1" x14ac:dyDescent="0.2">
      <c r="C67" s="152"/>
    </row>
    <row r="68" spans="3:3" s="175" customFormat="1" x14ac:dyDescent="0.2">
      <c r="C68" s="152"/>
    </row>
    <row r="69" spans="3:3" s="175" customFormat="1" x14ac:dyDescent="0.2">
      <c r="C69" s="152"/>
    </row>
    <row r="70" spans="3:3" s="175" customFormat="1" x14ac:dyDescent="0.2">
      <c r="C70" s="152"/>
    </row>
    <row r="71" spans="3:3" s="175" customFormat="1" x14ac:dyDescent="0.2">
      <c r="C71" s="152"/>
    </row>
    <row r="72" spans="3:3" s="175" customFormat="1" x14ac:dyDescent="0.2">
      <c r="C72" s="152"/>
    </row>
    <row r="73" spans="3:3" s="175" customFormat="1" x14ac:dyDescent="0.2">
      <c r="C73" s="152"/>
    </row>
    <row r="74" spans="3:3" s="175" customFormat="1" x14ac:dyDescent="0.2">
      <c r="C74" s="152"/>
    </row>
    <row r="75" spans="3:3" s="175" customFormat="1" x14ac:dyDescent="0.2">
      <c r="C75" s="152"/>
    </row>
    <row r="76" spans="3:3" s="175" customFormat="1" x14ac:dyDescent="0.2">
      <c r="C76" s="152"/>
    </row>
    <row r="77" spans="3:3" s="175" customFormat="1" x14ac:dyDescent="0.2">
      <c r="C77" s="152"/>
    </row>
    <row r="78" spans="3:3" s="175" customFormat="1" x14ac:dyDescent="0.2">
      <c r="C78" s="152"/>
    </row>
    <row r="79" spans="3:3" s="175" customFormat="1" x14ac:dyDescent="0.2">
      <c r="C79" s="152"/>
    </row>
    <row r="80" spans="3:3" s="175" customFormat="1" x14ac:dyDescent="0.2">
      <c r="C80" s="152"/>
    </row>
    <row r="81" spans="3:3" s="175" customFormat="1" x14ac:dyDescent="0.2">
      <c r="C81" s="152"/>
    </row>
    <row r="82" spans="3:3" s="175" customFormat="1" x14ac:dyDescent="0.2">
      <c r="C82" s="152"/>
    </row>
    <row r="83" spans="3:3" s="175" customFormat="1" x14ac:dyDescent="0.2">
      <c r="C83" s="152"/>
    </row>
    <row r="84" spans="3:3" s="175" customFormat="1" x14ac:dyDescent="0.2">
      <c r="C84" s="152"/>
    </row>
    <row r="85" spans="3:3" s="175" customFormat="1" x14ac:dyDescent="0.2">
      <c r="C85" s="152"/>
    </row>
    <row r="86" spans="3:3" s="175" customFormat="1" x14ac:dyDescent="0.2">
      <c r="C86" s="152"/>
    </row>
    <row r="87" spans="3:3" s="175" customFormat="1" x14ac:dyDescent="0.2">
      <c r="C87" s="152"/>
    </row>
    <row r="88" spans="3:3" s="175" customFormat="1" x14ac:dyDescent="0.2">
      <c r="C88" s="152"/>
    </row>
    <row r="89" spans="3:3" s="175" customFormat="1" x14ac:dyDescent="0.2">
      <c r="C89" s="152"/>
    </row>
    <row r="90" spans="3:3" s="175" customFormat="1" x14ac:dyDescent="0.2">
      <c r="C90" s="152"/>
    </row>
    <row r="91" spans="3:3" s="175" customFormat="1" x14ac:dyDescent="0.2">
      <c r="C91" s="152"/>
    </row>
    <row r="92" spans="3:3" s="175" customFormat="1" x14ac:dyDescent="0.2">
      <c r="C92" s="152"/>
    </row>
    <row r="93" spans="3:3" s="175" customFormat="1" x14ac:dyDescent="0.2">
      <c r="C93" s="152"/>
    </row>
    <row r="94" spans="3:3" s="175" customFormat="1" x14ac:dyDescent="0.2">
      <c r="C94" s="152"/>
    </row>
    <row r="95" spans="3:3" s="175" customFormat="1" x14ac:dyDescent="0.2">
      <c r="C95" s="152"/>
    </row>
    <row r="96" spans="3:3" s="175" customFormat="1" x14ac:dyDescent="0.2">
      <c r="C96" s="152"/>
    </row>
    <row r="97" spans="3:3" s="175" customFormat="1" x14ac:dyDescent="0.2">
      <c r="C97" s="152"/>
    </row>
    <row r="98" spans="3:3" s="175" customFormat="1" x14ac:dyDescent="0.2">
      <c r="C98" s="152"/>
    </row>
    <row r="99" spans="3:3" s="175" customFormat="1" x14ac:dyDescent="0.2">
      <c r="C99" s="152"/>
    </row>
    <row r="100" spans="3:3" s="175" customFormat="1" x14ac:dyDescent="0.2">
      <c r="C100" s="152"/>
    </row>
    <row r="101" spans="3:3" s="175" customFormat="1" x14ac:dyDescent="0.2">
      <c r="C101" s="152"/>
    </row>
    <row r="102" spans="3:3" s="175" customFormat="1" x14ac:dyDescent="0.2">
      <c r="C102" s="152"/>
    </row>
    <row r="103" spans="3:3" s="175" customFormat="1" x14ac:dyDescent="0.2">
      <c r="C103" s="152"/>
    </row>
    <row r="104" spans="3:3" s="175" customFormat="1" x14ac:dyDescent="0.2">
      <c r="C104" s="152"/>
    </row>
    <row r="105" spans="3:3" s="175" customFormat="1" x14ac:dyDescent="0.2">
      <c r="C105" s="152"/>
    </row>
    <row r="106" spans="3:3" s="175" customFormat="1" x14ac:dyDescent="0.2">
      <c r="C106" s="152"/>
    </row>
    <row r="107" spans="3:3" s="175" customFormat="1" x14ac:dyDescent="0.2">
      <c r="C107" s="152"/>
    </row>
    <row r="108" spans="3:3" s="175" customFormat="1" x14ac:dyDescent="0.2">
      <c r="C108" s="152"/>
    </row>
    <row r="109" spans="3:3" s="175" customFormat="1" x14ac:dyDescent="0.2">
      <c r="C109" s="152"/>
    </row>
    <row r="110" spans="3:3" s="175" customFormat="1" x14ac:dyDescent="0.2">
      <c r="C110" s="152"/>
    </row>
    <row r="111" spans="3:3" s="175" customFormat="1" x14ac:dyDescent="0.2">
      <c r="C111" s="152"/>
    </row>
    <row r="112" spans="3:3" s="175" customFormat="1" x14ac:dyDescent="0.2">
      <c r="C112" s="152"/>
    </row>
    <row r="113" spans="3:3" s="175" customFormat="1" x14ac:dyDescent="0.2">
      <c r="C113" s="152"/>
    </row>
    <row r="114" spans="3:3" s="175" customFormat="1" x14ac:dyDescent="0.2">
      <c r="C114" s="152"/>
    </row>
    <row r="115" spans="3:3" s="175" customFormat="1" x14ac:dyDescent="0.2">
      <c r="C115" s="152"/>
    </row>
    <row r="116" spans="3:3" s="175" customFormat="1" x14ac:dyDescent="0.2">
      <c r="C116" s="152"/>
    </row>
    <row r="117" spans="3:3" s="175" customFormat="1" x14ac:dyDescent="0.2">
      <c r="C117" s="152"/>
    </row>
    <row r="118" spans="3:3" s="175" customFormat="1" x14ac:dyDescent="0.2">
      <c r="C118" s="152"/>
    </row>
    <row r="119" spans="3:3" s="175" customFormat="1" x14ac:dyDescent="0.2">
      <c r="C119" s="152"/>
    </row>
    <row r="120" spans="3:3" s="175" customFormat="1" x14ac:dyDescent="0.2">
      <c r="C120" s="152"/>
    </row>
    <row r="121" spans="3:3" s="175" customFormat="1" x14ac:dyDescent="0.2">
      <c r="C121" s="152"/>
    </row>
    <row r="122" spans="3:3" s="175" customFormat="1" x14ac:dyDescent="0.2">
      <c r="C122" s="152"/>
    </row>
    <row r="123" spans="3:3" s="175" customFormat="1" x14ac:dyDescent="0.2">
      <c r="C123" s="152"/>
    </row>
    <row r="124" spans="3:3" s="175" customFormat="1" x14ac:dyDescent="0.2">
      <c r="C124" s="152"/>
    </row>
    <row r="125" spans="3:3" s="175" customFormat="1" x14ac:dyDescent="0.2">
      <c r="C125" s="152"/>
    </row>
    <row r="126" spans="3:3" s="175" customFormat="1" x14ac:dyDescent="0.2">
      <c r="C126" s="152"/>
    </row>
    <row r="127" spans="3:3" s="175" customFormat="1" x14ac:dyDescent="0.2">
      <c r="C127" s="152"/>
    </row>
    <row r="128" spans="3:3" s="175" customFormat="1" x14ac:dyDescent="0.2">
      <c r="C128" s="152"/>
    </row>
    <row r="129" spans="3:3" s="175" customFormat="1" x14ac:dyDescent="0.2">
      <c r="C129" s="152"/>
    </row>
    <row r="130" spans="3:3" s="175" customFormat="1" x14ac:dyDescent="0.2">
      <c r="C130" s="152"/>
    </row>
    <row r="131" spans="3:3" s="175" customFormat="1" x14ac:dyDescent="0.2">
      <c r="C131" s="152"/>
    </row>
    <row r="132" spans="3:3" s="175" customFormat="1" x14ac:dyDescent="0.2">
      <c r="C132" s="152"/>
    </row>
    <row r="133" spans="3:3" s="175" customFormat="1" x14ac:dyDescent="0.2">
      <c r="C133" s="152"/>
    </row>
    <row r="134" spans="3:3" s="175" customFormat="1" x14ac:dyDescent="0.2">
      <c r="C134" s="152"/>
    </row>
    <row r="135" spans="3:3" s="175" customFormat="1" x14ac:dyDescent="0.2">
      <c r="C135" s="152"/>
    </row>
    <row r="136" spans="3:3" s="175" customFormat="1" x14ac:dyDescent="0.2">
      <c r="C136" s="152"/>
    </row>
    <row r="137" spans="3:3" s="175" customFormat="1" x14ac:dyDescent="0.2">
      <c r="C137" s="152"/>
    </row>
    <row r="138" spans="3:3" s="175" customFormat="1" x14ac:dyDescent="0.2">
      <c r="C138" s="152"/>
    </row>
    <row r="139" spans="3:3" s="175" customFormat="1" x14ac:dyDescent="0.2">
      <c r="C139" s="152"/>
    </row>
    <row r="140" spans="3:3" s="175" customFormat="1" x14ac:dyDescent="0.2">
      <c r="C140" s="152"/>
    </row>
    <row r="141" spans="3:3" s="175" customFormat="1" x14ac:dyDescent="0.2">
      <c r="C141" s="152"/>
    </row>
    <row r="142" spans="3:3" s="175" customFormat="1" x14ac:dyDescent="0.2">
      <c r="C142" s="152"/>
    </row>
    <row r="143" spans="3:3" s="175" customFormat="1" x14ac:dyDescent="0.2">
      <c r="C143" s="152"/>
    </row>
    <row r="144" spans="3:3" s="175" customFormat="1" x14ac:dyDescent="0.2">
      <c r="C144" s="152"/>
    </row>
    <row r="145" spans="3:3" s="175" customFormat="1" x14ac:dyDescent="0.2">
      <c r="C145" s="152"/>
    </row>
    <row r="146" spans="3:3" s="175" customFormat="1" x14ac:dyDescent="0.2">
      <c r="C146" s="152"/>
    </row>
    <row r="147" spans="3:3" s="175" customFormat="1" x14ac:dyDescent="0.2">
      <c r="C147" s="152"/>
    </row>
    <row r="148" spans="3:3" s="175" customFormat="1" x14ac:dyDescent="0.2">
      <c r="C148" s="152"/>
    </row>
    <row r="149" spans="3:3" s="175" customFormat="1" x14ac:dyDescent="0.2">
      <c r="C149" s="152"/>
    </row>
    <row r="150" spans="3:3" s="175" customFormat="1" x14ac:dyDescent="0.2">
      <c r="C150" s="152"/>
    </row>
    <row r="151" spans="3:3" s="175" customFormat="1" x14ac:dyDescent="0.2">
      <c r="C151" s="152"/>
    </row>
    <row r="152" spans="3:3" s="175" customFormat="1" x14ac:dyDescent="0.2">
      <c r="C152" s="152"/>
    </row>
    <row r="153" spans="3:3" s="175" customFormat="1" x14ac:dyDescent="0.2">
      <c r="C153" s="152"/>
    </row>
    <row r="154" spans="3:3" s="175" customFormat="1" x14ac:dyDescent="0.2">
      <c r="C154" s="152"/>
    </row>
    <row r="155" spans="3:3" s="175" customFormat="1" x14ac:dyDescent="0.2">
      <c r="C155" s="152"/>
    </row>
    <row r="156" spans="3:3" s="175" customFormat="1" x14ac:dyDescent="0.2">
      <c r="C156" s="152"/>
    </row>
    <row r="157" spans="3:3" s="175" customFormat="1" x14ac:dyDescent="0.2">
      <c r="C157" s="152"/>
    </row>
    <row r="158" spans="3:3" s="175" customFormat="1" x14ac:dyDescent="0.2">
      <c r="C158" s="152"/>
    </row>
    <row r="159" spans="3:3" s="175" customFormat="1" x14ac:dyDescent="0.2">
      <c r="C159" s="152"/>
    </row>
    <row r="160" spans="3:3" s="175" customFormat="1" x14ac:dyDescent="0.2">
      <c r="C160" s="152"/>
    </row>
    <row r="161" spans="3:3" s="175" customFormat="1" x14ac:dyDescent="0.2">
      <c r="C161" s="152"/>
    </row>
    <row r="162" spans="3:3" s="175" customFormat="1" x14ac:dyDescent="0.2">
      <c r="C162" s="152"/>
    </row>
    <row r="163" spans="3:3" s="175" customFormat="1" x14ac:dyDescent="0.2">
      <c r="C163" s="152"/>
    </row>
    <row r="164" spans="3:3" s="175" customFormat="1" x14ac:dyDescent="0.2">
      <c r="C164" s="152"/>
    </row>
    <row r="165" spans="3:3" s="175" customFormat="1" x14ac:dyDescent="0.2">
      <c r="C165" s="152"/>
    </row>
    <row r="166" spans="3:3" s="175" customFormat="1" x14ac:dyDescent="0.2">
      <c r="C166" s="152"/>
    </row>
    <row r="167" spans="3:3" s="175" customFormat="1" x14ac:dyDescent="0.2">
      <c r="C167" s="152"/>
    </row>
    <row r="168" spans="3:3" s="175" customFormat="1" x14ac:dyDescent="0.2">
      <c r="C168" s="152"/>
    </row>
    <row r="169" spans="3:3" s="175" customFormat="1" x14ac:dyDescent="0.2">
      <c r="C169" s="152"/>
    </row>
    <row r="170" spans="3:3" s="175" customFormat="1" x14ac:dyDescent="0.2">
      <c r="C170" s="152"/>
    </row>
    <row r="171" spans="3:3" s="175" customFormat="1" x14ac:dyDescent="0.2">
      <c r="C171" s="152"/>
    </row>
    <row r="172" spans="3:3" s="175" customFormat="1" x14ac:dyDescent="0.2">
      <c r="C172" s="152"/>
    </row>
    <row r="173" spans="3:3" s="175" customFormat="1" x14ac:dyDescent="0.2">
      <c r="C173" s="152"/>
    </row>
    <row r="174" spans="3:3" s="175" customFormat="1" x14ac:dyDescent="0.2">
      <c r="C174" s="152"/>
    </row>
    <row r="175" spans="3:3" s="175" customFormat="1" x14ac:dyDescent="0.2">
      <c r="C175" s="152"/>
    </row>
    <row r="176" spans="3:3" s="175" customFormat="1" x14ac:dyDescent="0.2">
      <c r="C176" s="152"/>
    </row>
    <row r="177" spans="3:3" s="175" customFormat="1" x14ac:dyDescent="0.2">
      <c r="C177" s="152"/>
    </row>
    <row r="178" spans="3:3" s="175" customFormat="1" x14ac:dyDescent="0.2">
      <c r="C178" s="152"/>
    </row>
    <row r="179" spans="3:3" s="175" customFormat="1" x14ac:dyDescent="0.2">
      <c r="C179" s="152"/>
    </row>
    <row r="180" spans="3:3" s="175" customFormat="1" x14ac:dyDescent="0.2">
      <c r="C180" s="152"/>
    </row>
    <row r="181" spans="3:3" s="175" customFormat="1" x14ac:dyDescent="0.2">
      <c r="C181" s="152"/>
    </row>
    <row r="182" spans="3:3" s="175" customFormat="1" x14ac:dyDescent="0.2">
      <c r="C182" s="152"/>
    </row>
    <row r="183" spans="3:3" s="175" customFormat="1" x14ac:dyDescent="0.2">
      <c r="C183" s="152"/>
    </row>
    <row r="184" spans="3:3" s="175" customFormat="1" x14ac:dyDescent="0.2">
      <c r="C184" s="152"/>
    </row>
    <row r="185" spans="3:3" s="175" customFormat="1" x14ac:dyDescent="0.2">
      <c r="C185" s="152"/>
    </row>
    <row r="186" spans="3:3" s="175" customFormat="1" x14ac:dyDescent="0.2">
      <c r="C186" s="152"/>
    </row>
    <row r="187" spans="3:3" s="175" customFormat="1" x14ac:dyDescent="0.2">
      <c r="C187" s="152"/>
    </row>
    <row r="188" spans="3:3" s="175" customFormat="1" x14ac:dyDescent="0.2">
      <c r="C188" s="152"/>
    </row>
    <row r="189" spans="3:3" s="175" customFormat="1" x14ac:dyDescent="0.2">
      <c r="C189" s="152"/>
    </row>
    <row r="190" spans="3:3" s="175" customFormat="1" x14ac:dyDescent="0.2">
      <c r="C190" s="152"/>
    </row>
    <row r="191" spans="3:3" s="175" customFormat="1" x14ac:dyDescent="0.2">
      <c r="C191" s="152"/>
    </row>
    <row r="192" spans="3:3" s="175" customFormat="1" x14ac:dyDescent="0.2">
      <c r="C192" s="152"/>
    </row>
    <row r="193" spans="3:3" s="175" customFormat="1" x14ac:dyDescent="0.2">
      <c r="C193" s="152"/>
    </row>
    <row r="194" spans="3:3" s="175" customFormat="1" x14ac:dyDescent="0.2">
      <c r="C194" s="152"/>
    </row>
    <row r="195" spans="3:3" s="175" customFormat="1" x14ac:dyDescent="0.2">
      <c r="C195" s="152"/>
    </row>
    <row r="196" spans="3:3" s="175" customFormat="1" x14ac:dyDescent="0.2">
      <c r="C196" s="152"/>
    </row>
    <row r="197" spans="3:3" s="175" customFormat="1" x14ac:dyDescent="0.2">
      <c r="C197" s="152"/>
    </row>
    <row r="198" spans="3:3" s="175" customFormat="1" x14ac:dyDescent="0.2">
      <c r="C198" s="152"/>
    </row>
    <row r="199" spans="3:3" s="175" customFormat="1" x14ac:dyDescent="0.2">
      <c r="C199" s="152"/>
    </row>
    <row r="200" spans="3:3" s="175" customFormat="1" x14ac:dyDescent="0.2">
      <c r="C200" s="152"/>
    </row>
    <row r="201" spans="3:3" s="175" customFormat="1" x14ac:dyDescent="0.2">
      <c r="C201" s="152"/>
    </row>
    <row r="202" spans="3:3" s="175" customFormat="1" x14ac:dyDescent="0.2">
      <c r="C202" s="152"/>
    </row>
    <row r="203" spans="3:3" s="175" customFormat="1" x14ac:dyDescent="0.2">
      <c r="C203" s="152"/>
    </row>
    <row r="204" spans="3:3" s="175" customFormat="1" x14ac:dyDescent="0.2">
      <c r="C204" s="152"/>
    </row>
    <row r="205" spans="3:3" s="175" customFormat="1" x14ac:dyDescent="0.2">
      <c r="C205" s="152"/>
    </row>
    <row r="206" spans="3:3" s="175" customFormat="1" x14ac:dyDescent="0.2">
      <c r="C206" s="152"/>
    </row>
    <row r="207" spans="3:3" s="175" customFormat="1" x14ac:dyDescent="0.2">
      <c r="C207" s="152"/>
    </row>
    <row r="208" spans="3:3" s="175" customFormat="1" x14ac:dyDescent="0.2">
      <c r="C208" s="152"/>
    </row>
    <row r="209" spans="3:3" s="175" customFormat="1" x14ac:dyDescent="0.2">
      <c r="C209" s="152"/>
    </row>
    <row r="210" spans="3:3" s="175" customFormat="1" x14ac:dyDescent="0.2">
      <c r="C210" s="152"/>
    </row>
    <row r="211" spans="3:3" s="175" customFormat="1" x14ac:dyDescent="0.2">
      <c r="C211" s="152"/>
    </row>
    <row r="212" spans="3:3" s="175" customFormat="1" x14ac:dyDescent="0.2">
      <c r="C212" s="152"/>
    </row>
    <row r="213" spans="3:3" s="175" customFormat="1" x14ac:dyDescent="0.2">
      <c r="C213" s="152"/>
    </row>
    <row r="214" spans="3:3" s="175" customFormat="1" x14ac:dyDescent="0.2">
      <c r="C214" s="152"/>
    </row>
    <row r="215" spans="3:3" s="175" customFormat="1" x14ac:dyDescent="0.2">
      <c r="C215" s="152"/>
    </row>
    <row r="216" spans="3:3" s="175" customFormat="1" x14ac:dyDescent="0.2">
      <c r="C216" s="152"/>
    </row>
    <row r="217" spans="3:3" s="175" customFormat="1" x14ac:dyDescent="0.2">
      <c r="C217" s="152"/>
    </row>
    <row r="218" spans="3:3" s="175" customFormat="1" x14ac:dyDescent="0.2">
      <c r="C218" s="152"/>
    </row>
    <row r="219" spans="3:3" s="175" customFormat="1" x14ac:dyDescent="0.2">
      <c r="C219" s="152"/>
    </row>
    <row r="220" spans="3:3" s="175" customFormat="1" x14ac:dyDescent="0.2">
      <c r="C220" s="152"/>
    </row>
    <row r="221" spans="3:3" s="175" customFormat="1" x14ac:dyDescent="0.2">
      <c r="C221" s="152"/>
    </row>
    <row r="222" spans="3:3" s="175" customFormat="1" x14ac:dyDescent="0.2">
      <c r="C222" s="152"/>
    </row>
    <row r="223" spans="3:3" s="175" customFormat="1" x14ac:dyDescent="0.2">
      <c r="C223" s="152"/>
    </row>
    <row r="224" spans="3:3" s="175" customFormat="1" x14ac:dyDescent="0.2">
      <c r="C224" s="152"/>
    </row>
    <row r="225" spans="3:3" s="175" customFormat="1" x14ac:dyDescent="0.2">
      <c r="C225" s="152"/>
    </row>
    <row r="226" spans="3:3" s="175" customFormat="1" x14ac:dyDescent="0.2">
      <c r="C226" s="152"/>
    </row>
    <row r="227" spans="3:3" s="175" customFormat="1" x14ac:dyDescent="0.2">
      <c r="C227" s="152"/>
    </row>
    <row r="228" spans="3:3" s="175" customFormat="1" x14ac:dyDescent="0.2">
      <c r="C228" s="152"/>
    </row>
    <row r="229" spans="3:3" s="175" customFormat="1" x14ac:dyDescent="0.2">
      <c r="C229" s="152"/>
    </row>
    <row r="230" spans="3:3" s="175" customFormat="1" x14ac:dyDescent="0.2">
      <c r="C230" s="152"/>
    </row>
    <row r="231" spans="3:3" s="175" customFormat="1" x14ac:dyDescent="0.2">
      <c r="C231" s="152"/>
    </row>
    <row r="232" spans="3:3" s="175" customFormat="1" x14ac:dyDescent="0.2">
      <c r="C232" s="152"/>
    </row>
    <row r="233" spans="3:3" s="175" customFormat="1" x14ac:dyDescent="0.2">
      <c r="C233" s="152"/>
    </row>
    <row r="234" spans="3:3" s="175" customFormat="1" x14ac:dyDescent="0.2">
      <c r="C234" s="152"/>
    </row>
    <row r="235" spans="3:3" s="175" customFormat="1" x14ac:dyDescent="0.2">
      <c r="C235" s="152"/>
    </row>
    <row r="236" spans="3:3" s="175" customFormat="1" x14ac:dyDescent="0.2">
      <c r="C236" s="152"/>
    </row>
    <row r="237" spans="3:3" s="175" customFormat="1" x14ac:dyDescent="0.2">
      <c r="C237" s="152"/>
    </row>
    <row r="238" spans="3:3" s="175" customFormat="1" x14ac:dyDescent="0.2">
      <c r="C238" s="152"/>
    </row>
    <row r="239" spans="3:3" s="175" customFormat="1" x14ac:dyDescent="0.2">
      <c r="C239" s="152"/>
    </row>
    <row r="240" spans="3:3" s="175" customFormat="1" x14ac:dyDescent="0.2">
      <c r="C240" s="152"/>
    </row>
    <row r="241" spans="3:3" s="175" customFormat="1" x14ac:dyDescent="0.2">
      <c r="C241" s="152"/>
    </row>
    <row r="242" spans="3:3" s="175" customFormat="1" x14ac:dyDescent="0.2">
      <c r="C242" s="152"/>
    </row>
    <row r="243" spans="3:3" s="175" customFormat="1" x14ac:dyDescent="0.2">
      <c r="C243" s="152"/>
    </row>
    <row r="244" spans="3:3" s="175" customFormat="1" x14ac:dyDescent="0.2">
      <c r="C244" s="152"/>
    </row>
    <row r="245" spans="3:3" s="175" customFormat="1" x14ac:dyDescent="0.2">
      <c r="C245" s="152"/>
    </row>
    <row r="246" spans="3:3" s="175" customFormat="1" x14ac:dyDescent="0.2">
      <c r="C246" s="152"/>
    </row>
    <row r="247" spans="3:3" s="175" customFormat="1" x14ac:dyDescent="0.2">
      <c r="C247" s="152"/>
    </row>
    <row r="248" spans="3:3" s="175" customFormat="1" x14ac:dyDescent="0.2">
      <c r="C248" s="152"/>
    </row>
    <row r="249" spans="3:3" s="175" customFormat="1" x14ac:dyDescent="0.2">
      <c r="C249" s="152"/>
    </row>
    <row r="250" spans="3:3" s="175" customFormat="1" x14ac:dyDescent="0.2">
      <c r="C250" s="152"/>
    </row>
    <row r="251" spans="3:3" s="175" customFormat="1" x14ac:dyDescent="0.2">
      <c r="C251" s="152"/>
    </row>
    <row r="252" spans="3:3" s="175" customFormat="1" x14ac:dyDescent="0.2">
      <c r="C252" s="152"/>
    </row>
    <row r="253" spans="3:3" s="175" customFormat="1" x14ac:dyDescent="0.2">
      <c r="C253" s="152"/>
    </row>
    <row r="254" spans="3:3" s="175" customFormat="1" x14ac:dyDescent="0.2">
      <c r="C254" s="152"/>
    </row>
    <row r="255" spans="3:3" s="175" customFormat="1" x14ac:dyDescent="0.2">
      <c r="C255" s="152"/>
    </row>
    <row r="256" spans="3:3" s="175" customFormat="1" x14ac:dyDescent="0.2">
      <c r="C256" s="152"/>
    </row>
    <row r="257" spans="3:3" s="175" customFormat="1" x14ac:dyDescent="0.2">
      <c r="C257" s="152"/>
    </row>
    <row r="258" spans="3:3" s="175" customFormat="1" x14ac:dyDescent="0.2">
      <c r="C258" s="152"/>
    </row>
    <row r="259" spans="3:3" s="175" customFormat="1" x14ac:dyDescent="0.2">
      <c r="C259" s="152"/>
    </row>
    <row r="260" spans="3:3" s="175" customFormat="1" x14ac:dyDescent="0.2">
      <c r="C260" s="152"/>
    </row>
    <row r="261" spans="3:3" s="175" customFormat="1" x14ac:dyDescent="0.2">
      <c r="C261" s="152"/>
    </row>
    <row r="262" spans="3:3" s="175" customFormat="1" x14ac:dyDescent="0.2">
      <c r="C262" s="152"/>
    </row>
    <row r="263" spans="3:3" s="175" customFormat="1" x14ac:dyDescent="0.2">
      <c r="C263" s="152"/>
    </row>
    <row r="264" spans="3:3" s="175" customFormat="1" x14ac:dyDescent="0.2">
      <c r="C264" s="152"/>
    </row>
    <row r="265" spans="3:3" s="175" customFormat="1" x14ac:dyDescent="0.2">
      <c r="C265" s="152"/>
    </row>
    <row r="266" spans="3:3" s="175" customFormat="1" x14ac:dyDescent="0.2">
      <c r="C266" s="152"/>
    </row>
    <row r="267" spans="3:3" s="175" customFormat="1" x14ac:dyDescent="0.2">
      <c r="C267" s="152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13" zoomScaleNormal="100" workbookViewId="0">
      <selection activeCell="H44" sqref="H44"/>
    </sheetView>
  </sheetViews>
  <sheetFormatPr defaultColWidth="9.42578125" defaultRowHeight="15" x14ac:dyDescent="0.25"/>
  <cols>
    <col min="1" max="3" width="9.42578125" style="1440"/>
    <col min="4" max="4" width="33.5703125" style="1440" customWidth="1"/>
    <col min="5" max="5" width="12.42578125" style="1440" customWidth="1"/>
    <col min="6" max="8" width="14.42578125" style="1440" customWidth="1"/>
    <col min="9" max="9" width="55.5703125" style="1440" customWidth="1"/>
    <col min="10" max="10" width="9.42578125" style="1440"/>
    <col min="11" max="11" width="10.42578125" style="1440" bestFit="1" customWidth="1"/>
    <col min="12" max="16384" width="9.42578125" style="1440"/>
  </cols>
  <sheetData>
    <row r="2" spans="4:11" ht="18" x14ac:dyDescent="0.25">
      <c r="D2" s="2263" t="s">
        <v>795</v>
      </c>
      <c r="E2" s="2263"/>
      <c r="F2" s="2263"/>
      <c r="G2" s="2263"/>
      <c r="H2" s="2263"/>
      <c r="I2" s="2263"/>
    </row>
    <row r="3" spans="4:11" ht="18" x14ac:dyDescent="0.25">
      <c r="D3" s="2264" t="s">
        <v>796</v>
      </c>
      <c r="E3" s="2264"/>
      <c r="F3" s="2264"/>
      <c r="G3" s="2264"/>
      <c r="H3" s="2264"/>
      <c r="I3" s="2264"/>
    </row>
    <row r="4" spans="4:11" ht="15.75" thickBot="1" x14ac:dyDescent="0.3">
      <c r="D4" s="2265" t="s">
        <v>1120</v>
      </c>
      <c r="E4" s="2265"/>
      <c r="F4" s="1441"/>
      <c r="G4" s="1442"/>
      <c r="H4" s="1443"/>
      <c r="I4" s="1443"/>
    </row>
    <row r="5" spans="4:11" ht="26.25" thickBot="1" x14ac:dyDescent="0.3">
      <c r="D5" s="1444" t="s">
        <v>797</v>
      </c>
      <c r="E5" s="1445" t="s">
        <v>102</v>
      </c>
      <c r="F5" s="1446" t="s">
        <v>798</v>
      </c>
      <c r="G5" s="1446" t="s">
        <v>738</v>
      </c>
      <c r="H5" s="1447" t="s">
        <v>799</v>
      </c>
      <c r="I5" s="1448" t="s">
        <v>800</v>
      </c>
    </row>
    <row r="6" spans="4:11" ht="17.25" customHeight="1" x14ac:dyDescent="0.25">
      <c r="D6" s="1449" t="s">
        <v>71</v>
      </c>
      <c r="E6" s="1450" t="s">
        <v>14</v>
      </c>
      <c r="F6" s="1451">
        <f>'JUNI 2025'!E9</f>
        <v>58900000</v>
      </c>
      <c r="G6" s="1452">
        <f>'JUNI 2025'!$AL$9</f>
        <v>17813187</v>
      </c>
      <c r="H6" s="1453">
        <f>G6/F6</f>
        <v>0.30243101867572159</v>
      </c>
      <c r="I6" s="1454"/>
      <c r="J6" s="1455"/>
      <c r="K6" s="1456"/>
    </row>
    <row r="7" spans="4:11" ht="17.25" customHeight="1" x14ac:dyDescent="0.25">
      <c r="D7" s="1457" t="s">
        <v>801</v>
      </c>
      <c r="E7" s="1458" t="s">
        <v>14</v>
      </c>
      <c r="F7" s="1459">
        <f>'JUNI 2025'!E20</f>
        <v>55661000</v>
      </c>
      <c r="G7" s="1460">
        <f>'JUNI 2025'!AL29</f>
        <v>17792607</v>
      </c>
      <c r="H7" s="1461">
        <f>G7/F7</f>
        <v>0.31966021091967445</v>
      </c>
      <c r="I7" s="1462"/>
      <c r="J7" s="1455"/>
      <c r="K7" s="1456"/>
    </row>
    <row r="8" spans="4:11" x14ac:dyDescent="0.25">
      <c r="D8" s="2266" t="s">
        <v>802</v>
      </c>
      <c r="E8" s="2267"/>
      <c r="F8" s="2267"/>
      <c r="G8" s="2267"/>
      <c r="H8" s="2267"/>
      <c r="I8" s="2268"/>
    </row>
    <row r="9" spans="4:11" x14ac:dyDescent="0.25">
      <c r="D9" s="1463" t="s">
        <v>16</v>
      </c>
      <c r="E9" s="1464"/>
      <c r="F9" s="1465"/>
      <c r="G9" s="1466"/>
      <c r="H9" s="1467"/>
      <c r="I9" s="1468"/>
    </row>
    <row r="10" spans="4:11" x14ac:dyDescent="0.25">
      <c r="D10" s="1469" t="s">
        <v>760</v>
      </c>
      <c r="E10" s="1470" t="s">
        <v>14</v>
      </c>
      <c r="F10" s="1471">
        <v>232362</v>
      </c>
      <c r="G10" s="1472">
        <f>'JUNI 2025'!$AL$75</f>
        <v>153073</v>
      </c>
      <c r="H10" s="1473">
        <f>F10-G10</f>
        <v>79289</v>
      </c>
      <c r="I10" s="1474" t="s">
        <v>1130</v>
      </c>
    </row>
    <row r="11" spans="4:11" x14ac:dyDescent="0.25">
      <c r="D11" s="1469" t="s">
        <v>761</v>
      </c>
      <c r="E11" s="1470" t="s">
        <v>14</v>
      </c>
      <c r="F11" s="1471">
        <v>106326</v>
      </c>
      <c r="G11" s="1472">
        <f>'JUNI 2025'!$AL$81</f>
        <v>0</v>
      </c>
      <c r="H11" s="1473">
        <v>0</v>
      </c>
      <c r="I11" s="1474"/>
    </row>
    <row r="12" spans="4:11" x14ac:dyDescent="0.25">
      <c r="D12" s="1469" t="s">
        <v>762</v>
      </c>
      <c r="E12" s="1470" t="s">
        <v>14</v>
      </c>
      <c r="F12" s="1471">
        <v>20971</v>
      </c>
      <c r="G12" s="1472">
        <f>'JUNI 2025'!$AL$83</f>
        <v>8793.24</v>
      </c>
      <c r="H12" s="1473">
        <f t="shared" ref="H12:H23" si="0">F12-G12</f>
        <v>12177.76</v>
      </c>
      <c r="I12" s="1474" t="s">
        <v>1130</v>
      </c>
    </row>
    <row r="13" spans="4:11" x14ac:dyDescent="0.25">
      <c r="D13" s="1469" t="s">
        <v>817</v>
      </c>
      <c r="E13" s="1470" t="s">
        <v>19</v>
      </c>
      <c r="F13" s="1471">
        <v>22143.74</v>
      </c>
      <c r="G13" s="1472">
        <v>9451</v>
      </c>
      <c r="H13" s="1473">
        <f t="shared" si="0"/>
        <v>12692.740000000002</v>
      </c>
      <c r="I13" s="1474" t="s">
        <v>1130</v>
      </c>
    </row>
    <row r="14" spans="4:11" x14ac:dyDescent="0.25">
      <c r="D14" s="1469" t="s">
        <v>803</v>
      </c>
      <c r="E14" s="1470" t="s">
        <v>19</v>
      </c>
      <c r="F14" s="1471">
        <v>3907.73</v>
      </c>
      <c r="G14" s="1472">
        <v>2032</v>
      </c>
      <c r="H14" s="1473">
        <f t="shared" si="0"/>
        <v>1875.73</v>
      </c>
      <c r="I14" s="1474" t="s">
        <v>1130</v>
      </c>
    </row>
    <row r="15" spans="4:11" x14ac:dyDescent="0.25">
      <c r="D15" s="1475" t="s">
        <v>804</v>
      </c>
      <c r="E15" s="1476" t="s">
        <v>124</v>
      </c>
      <c r="F15" s="1471">
        <v>1521.33</v>
      </c>
      <c r="G15" s="1472">
        <f>'JUNI 2025'!$AL$260</f>
        <v>5429</v>
      </c>
      <c r="H15" s="1473">
        <f t="shared" si="0"/>
        <v>-3907.67</v>
      </c>
      <c r="I15" s="1474" t="s">
        <v>1130</v>
      </c>
    </row>
    <row r="16" spans="4:11" x14ac:dyDescent="0.25">
      <c r="D16" s="1469" t="s">
        <v>133</v>
      </c>
      <c r="E16" s="1470" t="s">
        <v>14</v>
      </c>
      <c r="F16" s="1471">
        <v>11424000</v>
      </c>
      <c r="G16" s="1472">
        <f>'JUNI 2025'!$AL$250</f>
        <v>102.13059751059855</v>
      </c>
      <c r="H16" s="1473">
        <f t="shared" si="0"/>
        <v>11423897.869402489</v>
      </c>
      <c r="I16" s="1474" t="s">
        <v>1130</v>
      </c>
    </row>
    <row r="17" spans="4:10" x14ac:dyDescent="0.25">
      <c r="D17" s="1469" t="s">
        <v>805</v>
      </c>
      <c r="E17" s="1470" t="s">
        <v>2</v>
      </c>
      <c r="F17" s="1471">
        <v>102679</v>
      </c>
      <c r="G17" s="1472">
        <v>135</v>
      </c>
      <c r="H17" s="1473">
        <f t="shared" si="0"/>
        <v>102544</v>
      </c>
      <c r="I17" s="1474" t="s">
        <v>1130</v>
      </c>
    </row>
    <row r="18" spans="4:10" x14ac:dyDescent="0.25">
      <c r="D18" s="1469" t="s">
        <v>806</v>
      </c>
      <c r="E18" s="1470" t="s">
        <v>2</v>
      </c>
      <c r="F18" s="1471">
        <v>73158</v>
      </c>
      <c r="G18" s="1472">
        <v>100</v>
      </c>
      <c r="H18" s="1473">
        <f t="shared" si="0"/>
        <v>73058</v>
      </c>
      <c r="I18" s="1474" t="s">
        <v>1130</v>
      </c>
    </row>
    <row r="19" spans="4:10" x14ac:dyDescent="0.25">
      <c r="D19" s="1477" t="s">
        <v>15</v>
      </c>
      <c r="E19" s="1478"/>
      <c r="F19" s="1479"/>
      <c r="G19" s="1480"/>
      <c r="H19" s="1481"/>
      <c r="I19" s="1482"/>
    </row>
    <row r="20" spans="4:10" x14ac:dyDescent="0.25">
      <c r="D20" s="1475" t="s">
        <v>804</v>
      </c>
      <c r="E20" s="1476" t="s">
        <v>124</v>
      </c>
      <c r="F20" s="1483">
        <v>2622</v>
      </c>
      <c r="G20" s="1484">
        <f>'JUNI 2025'!$AL$262</f>
        <v>71.800739530775715</v>
      </c>
      <c r="H20" s="1473">
        <f>F20-G20</f>
        <v>2550.1992604692241</v>
      </c>
      <c r="I20" s="1474" t="s">
        <v>1130</v>
      </c>
    </row>
    <row r="21" spans="4:10" x14ac:dyDescent="0.25">
      <c r="D21" s="1475" t="s">
        <v>133</v>
      </c>
      <c r="E21" s="1476" t="s">
        <v>14</v>
      </c>
      <c r="F21" s="1483">
        <v>2318000</v>
      </c>
      <c r="G21" s="1484">
        <f>'JUNI 2025'!$AL$252</f>
        <v>44.386779300076959</v>
      </c>
      <c r="H21" s="1473">
        <f t="shared" si="0"/>
        <v>2317955.6132207001</v>
      </c>
      <c r="I21" s="1474" t="s">
        <v>1130</v>
      </c>
    </row>
    <row r="22" spans="4:10" x14ac:dyDescent="0.25">
      <c r="D22" s="1475" t="s">
        <v>805</v>
      </c>
      <c r="E22" s="1476" t="s">
        <v>2</v>
      </c>
      <c r="F22" s="1483">
        <v>109440</v>
      </c>
      <c r="G22" s="1484">
        <v>150</v>
      </c>
      <c r="H22" s="1473">
        <f t="shared" si="0"/>
        <v>109290</v>
      </c>
      <c r="I22" s="1485" t="s">
        <v>1131</v>
      </c>
    </row>
    <row r="23" spans="4:10" x14ac:dyDescent="0.25">
      <c r="D23" s="1457" t="s">
        <v>806</v>
      </c>
      <c r="E23" s="1458" t="s">
        <v>2</v>
      </c>
      <c r="F23" s="1486">
        <v>28747</v>
      </c>
      <c r="G23" s="1487">
        <v>82</v>
      </c>
      <c r="H23" s="1473">
        <f t="shared" si="0"/>
        <v>28665</v>
      </c>
      <c r="I23" s="1485" t="s">
        <v>1131</v>
      </c>
    </row>
    <row r="24" spans="4:10" x14ac:dyDescent="0.25">
      <c r="D24" s="2266" t="s">
        <v>807</v>
      </c>
      <c r="E24" s="2267"/>
      <c r="F24" s="2267"/>
      <c r="G24" s="2267"/>
      <c r="H24" s="2267"/>
      <c r="I24" s="2268"/>
    </row>
    <row r="25" spans="4:10" x14ac:dyDescent="0.25">
      <c r="D25" s="1463" t="s">
        <v>16</v>
      </c>
      <c r="E25" s="1488"/>
      <c r="F25" s="1489"/>
      <c r="G25" s="1490"/>
      <c r="H25" s="1491"/>
      <c r="I25" s="1492"/>
    </row>
    <row r="26" spans="4:10" x14ac:dyDescent="0.25">
      <c r="D26" s="1475" t="s">
        <v>760</v>
      </c>
      <c r="E26" s="1476" t="s">
        <v>324</v>
      </c>
      <c r="F26" s="1493">
        <v>9</v>
      </c>
      <c r="G26" s="1494">
        <f>(G10/$G$6)*1000</f>
        <v>8.5932405021066689</v>
      </c>
      <c r="H26" s="1495">
        <f>F26-G26</f>
        <v>0.4067594978933311</v>
      </c>
      <c r="I26" s="1474" t="s">
        <v>1130</v>
      </c>
    </row>
    <row r="27" spans="4:10" x14ac:dyDescent="0.25">
      <c r="D27" s="1475" t="s">
        <v>761</v>
      </c>
      <c r="E27" s="1476" t="s">
        <v>324</v>
      </c>
      <c r="F27" s="1493">
        <v>18</v>
      </c>
      <c r="G27" s="1494">
        <f t="shared" ref="G27:G28" si="1">(G11/$G$6)*1000</f>
        <v>0</v>
      </c>
      <c r="H27" s="1495">
        <f t="shared" ref="H27:H39" si="2">F27-G27</f>
        <v>18</v>
      </c>
      <c r="I27" s="1474" t="s">
        <v>1130</v>
      </c>
      <c r="J27" s="1440" t="s">
        <v>216</v>
      </c>
    </row>
    <row r="28" spans="4:10" x14ac:dyDescent="0.25">
      <c r="D28" s="1475" t="s">
        <v>762</v>
      </c>
      <c r="E28" s="1476" t="s">
        <v>324</v>
      </c>
      <c r="F28" s="1493">
        <v>0.6</v>
      </c>
      <c r="G28" s="1494">
        <f t="shared" si="1"/>
        <v>0.49363654016544034</v>
      </c>
      <c r="H28" s="1495">
        <f t="shared" si="2"/>
        <v>0.10636345983455964</v>
      </c>
      <c r="I28" s="1474" t="s">
        <v>1130</v>
      </c>
    </row>
    <row r="29" spans="4:10" x14ac:dyDescent="0.25">
      <c r="D29" s="1475" t="s">
        <v>803</v>
      </c>
      <c r="E29" s="1476" t="s">
        <v>808</v>
      </c>
      <c r="F29" s="1496">
        <v>4.2</v>
      </c>
      <c r="G29" s="1494">
        <f>(G13/$G$6)*1000</f>
        <v>0.53056199320200259</v>
      </c>
      <c r="H29" s="1495">
        <f>F29-G29</f>
        <v>3.6694380067979977</v>
      </c>
      <c r="I29" s="1474" t="s">
        <v>1130</v>
      </c>
      <c r="J29" s="2135"/>
    </row>
    <row r="30" spans="4:10" x14ac:dyDescent="0.25">
      <c r="D30" s="1475" t="s">
        <v>809</v>
      </c>
      <c r="E30" s="1476" t="s">
        <v>810</v>
      </c>
      <c r="F30" s="1496">
        <v>0.2</v>
      </c>
      <c r="G30" s="1494">
        <f>(G14/$G$6)*1000</f>
        <v>0.11407279337493061</v>
      </c>
      <c r="H30" s="1495">
        <f t="shared" si="2"/>
        <v>8.5927206625069405E-2</v>
      </c>
      <c r="I30" s="1474" t="s">
        <v>1130</v>
      </c>
      <c r="J30" s="2135"/>
    </row>
    <row r="31" spans="4:10" x14ac:dyDescent="0.25">
      <c r="D31" s="1475" t="s">
        <v>804</v>
      </c>
      <c r="E31" s="1476" t="s">
        <v>811</v>
      </c>
      <c r="F31" s="1496">
        <v>0.04</v>
      </c>
      <c r="G31" s="1494">
        <f>(G15/$G$6)*1000</f>
        <v>0.30477421025221368</v>
      </c>
      <c r="H31" s="1495">
        <f t="shared" si="2"/>
        <v>-0.2647742102522137</v>
      </c>
      <c r="I31" s="1474" t="s">
        <v>1131</v>
      </c>
    </row>
    <row r="32" spans="4:10" x14ac:dyDescent="0.25">
      <c r="D32" s="1475" t="s">
        <v>812</v>
      </c>
      <c r="E32" s="1476" t="s">
        <v>324</v>
      </c>
      <c r="F32" s="1496">
        <v>28</v>
      </c>
      <c r="G32" s="2145">
        <f>(G16/$G$6)*1000000</f>
        <v>5.7334264503369639</v>
      </c>
      <c r="H32" s="1495">
        <f t="shared" si="2"/>
        <v>22.266573549663036</v>
      </c>
      <c r="I32" s="1474" t="s">
        <v>1131</v>
      </c>
    </row>
    <row r="33" spans="3:10" x14ac:dyDescent="0.25">
      <c r="D33" s="1475" t="s">
        <v>805</v>
      </c>
      <c r="E33" s="1476" t="s">
        <v>813</v>
      </c>
      <c r="F33" s="1496">
        <v>4.4000000000000004</v>
      </c>
      <c r="G33" s="2144">
        <f>(G17/$G$6)*1000000</f>
        <v>7.5786550716612364</v>
      </c>
      <c r="H33" s="1495">
        <f t="shared" si="2"/>
        <v>-3.1786550716612361</v>
      </c>
      <c r="I33" s="1474" t="s">
        <v>1131</v>
      </c>
    </row>
    <row r="34" spans="3:10" x14ac:dyDescent="0.25">
      <c r="D34" s="1475" t="s">
        <v>1064</v>
      </c>
      <c r="E34" s="1476" t="s">
        <v>813</v>
      </c>
      <c r="F34" s="1496">
        <v>7.3</v>
      </c>
      <c r="G34" s="2144">
        <f>(G18/$G$6)*1000000</f>
        <v>5.6138185716009161</v>
      </c>
      <c r="H34" s="1495">
        <f t="shared" si="2"/>
        <v>1.6861814283990837</v>
      </c>
      <c r="I34" s="1474" t="s">
        <v>1131</v>
      </c>
    </row>
    <row r="35" spans="3:10" x14ac:dyDescent="0.25">
      <c r="D35" s="1497" t="s">
        <v>15</v>
      </c>
      <c r="E35" s="1498"/>
      <c r="F35" s="1499"/>
      <c r="G35" s="1500"/>
      <c r="H35" s="1501"/>
      <c r="I35" s="1502"/>
    </row>
    <row r="36" spans="3:10" x14ac:dyDescent="0.25">
      <c r="D36" s="1475" t="s">
        <v>804</v>
      </c>
      <c r="E36" s="1476" t="s">
        <v>811</v>
      </c>
      <c r="F36" s="1496">
        <v>0.13</v>
      </c>
      <c r="G36" s="1494">
        <f>(G20/$G$7)*1000</f>
        <v>4.0354254736686829E-3</v>
      </c>
      <c r="H36" s="1495">
        <f t="shared" si="2"/>
        <v>0.12596457452633131</v>
      </c>
      <c r="I36" s="1474" t="s">
        <v>1130</v>
      </c>
    </row>
    <row r="37" spans="3:10" x14ac:dyDescent="0.25">
      <c r="D37" s="1475" t="s">
        <v>812</v>
      </c>
      <c r="E37" s="1476" t="s">
        <v>324</v>
      </c>
      <c r="F37" s="1503">
        <v>45</v>
      </c>
      <c r="G37" s="2145">
        <f>(G21/$G$7)*1000000</f>
        <v>2.4946754177213579</v>
      </c>
      <c r="H37" s="1495">
        <f t="shared" si="2"/>
        <v>42.505324582278639</v>
      </c>
      <c r="I37" s="1474" t="s">
        <v>1130</v>
      </c>
    </row>
    <row r="38" spans="3:10" x14ac:dyDescent="0.25">
      <c r="D38" s="1475" t="s">
        <v>805</v>
      </c>
      <c r="E38" s="1476" t="s">
        <v>813</v>
      </c>
      <c r="F38" s="1496">
        <v>4.0999999999999996</v>
      </c>
      <c r="G38" s="2144">
        <f>(G22/$G$7)*1000000</f>
        <v>8.4304677779934103</v>
      </c>
      <c r="H38" s="1495">
        <f t="shared" si="2"/>
        <v>-4.3304677779934106</v>
      </c>
      <c r="I38" s="2147" t="s">
        <v>1131</v>
      </c>
    </row>
    <row r="39" spans="3:10" x14ac:dyDescent="0.25">
      <c r="D39" s="1475" t="s">
        <v>1064</v>
      </c>
      <c r="E39" s="1476" t="s">
        <v>813</v>
      </c>
      <c r="F39" s="1496">
        <v>4.5</v>
      </c>
      <c r="G39" s="2144">
        <f>(G23/$G$7)*1000000</f>
        <v>4.6086557186363981</v>
      </c>
      <c r="H39" s="1495">
        <f t="shared" si="2"/>
        <v>-0.10865571863639811</v>
      </c>
      <c r="I39" s="2148" t="s">
        <v>1131</v>
      </c>
    </row>
    <row r="40" spans="3:10" ht="15.75" thickBot="1" x14ac:dyDescent="0.3">
      <c r="D40" s="1504"/>
      <c r="E40" s="1505"/>
      <c r="F40" s="1506"/>
      <c r="G40" s="2146"/>
      <c r="H40" s="1507"/>
      <c r="I40" s="1508"/>
    </row>
    <row r="41" spans="3:10" x14ac:dyDescent="0.25">
      <c r="E41" s="1509"/>
      <c r="F41" s="1509"/>
      <c r="H41" s="1510"/>
      <c r="I41" s="1510"/>
    </row>
    <row r="42" spans="3:10" x14ac:dyDescent="0.25">
      <c r="D42" s="2269" t="s">
        <v>1121</v>
      </c>
      <c r="E42" s="2269"/>
      <c r="F42" s="2269"/>
      <c r="G42" s="2269"/>
    </row>
    <row r="43" spans="3:10" x14ac:dyDescent="0.25">
      <c r="D43" s="2262" t="s">
        <v>1132</v>
      </c>
      <c r="E43" s="2262"/>
      <c r="F43" s="2262"/>
    </row>
    <row r="44" spans="3:10" x14ac:dyDescent="0.25">
      <c r="D44" s="2262"/>
      <c r="E44" s="2262"/>
      <c r="F44" s="2262"/>
      <c r="H44" s="1510"/>
      <c r="I44" s="1510"/>
    </row>
    <row r="45" spans="3:10" x14ac:dyDescent="0.25">
      <c r="D45" s="2262"/>
      <c r="E45" s="2262"/>
      <c r="F45" s="2262"/>
      <c r="H45" s="1510"/>
      <c r="I45" s="1510"/>
    </row>
    <row r="46" spans="3:10" x14ac:dyDescent="0.25">
      <c r="H46" s="1510"/>
      <c r="I46" s="1510"/>
    </row>
    <row r="47" spans="3:10" s="1316" customFormat="1" x14ac:dyDescent="0.2">
      <c r="D47" s="1191" t="s">
        <v>766</v>
      </c>
      <c r="E47" s="1191"/>
      <c r="F47" s="1191"/>
      <c r="G47" s="1191" t="s">
        <v>767</v>
      </c>
      <c r="H47" s="1318"/>
      <c r="I47" s="1191" t="s">
        <v>814</v>
      </c>
      <c r="J47" s="1307"/>
    </row>
    <row r="48" spans="3:10" s="1316" customFormat="1" x14ac:dyDescent="0.25">
      <c r="C48" s="1188"/>
      <c r="D48" s="1309"/>
      <c r="E48" s="1309"/>
      <c r="F48" s="1188"/>
      <c r="G48" s="1309"/>
      <c r="H48" s="1318"/>
      <c r="I48" s="1318"/>
      <c r="J48" s="1309"/>
    </row>
    <row r="49" spans="3:10" s="1316" customFormat="1" x14ac:dyDescent="0.25">
      <c r="C49" s="1188"/>
      <c r="D49" s="1188"/>
      <c r="E49" s="1188"/>
      <c r="F49" s="1188"/>
      <c r="G49" s="1188"/>
      <c r="H49" s="1318"/>
      <c r="I49" s="1318"/>
      <c r="J49" s="1188"/>
    </row>
    <row r="50" spans="3:10" s="1316" customFormat="1" x14ac:dyDescent="0.25">
      <c r="C50" s="1188"/>
      <c r="D50" s="1188"/>
      <c r="E50" s="1188"/>
      <c r="F50" s="1188"/>
      <c r="G50" s="1188"/>
      <c r="H50" s="1318"/>
      <c r="I50" s="1318"/>
      <c r="J50" s="1188"/>
    </row>
    <row r="51" spans="3:10" s="1316" customFormat="1" x14ac:dyDescent="0.2">
      <c r="D51" s="1311" t="s">
        <v>1118</v>
      </c>
      <c r="E51" s="1311"/>
      <c r="F51" s="1311" t="s">
        <v>769</v>
      </c>
      <c r="H51" s="1311" t="s">
        <v>770</v>
      </c>
      <c r="I51" s="1311" t="s">
        <v>815</v>
      </c>
      <c r="J51" s="1312"/>
    </row>
    <row r="52" spans="3:10" s="1316" customFormat="1" ht="15" customHeight="1" x14ac:dyDescent="0.2">
      <c r="D52" s="1309" t="s">
        <v>772</v>
      </c>
      <c r="E52" s="1309"/>
      <c r="F52" s="1309" t="s">
        <v>773</v>
      </c>
      <c r="H52" s="1309" t="s">
        <v>774</v>
      </c>
      <c r="I52" s="1309" t="s">
        <v>816</v>
      </c>
      <c r="J52" s="1314"/>
    </row>
  </sheetData>
  <mergeCells count="9">
    <mergeCell ref="D45:F45"/>
    <mergeCell ref="D2:I2"/>
    <mergeCell ref="D3:I3"/>
    <mergeCell ref="D4:E4"/>
    <mergeCell ref="D8:I8"/>
    <mergeCell ref="D24:I24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6"/>
  <sheetViews>
    <sheetView showGridLines="0" topLeftCell="A16" zoomScaleNormal="100" zoomScaleSheetLayoutView="115" workbookViewId="0">
      <selection activeCell="H44" sqref="H44"/>
    </sheetView>
  </sheetViews>
  <sheetFormatPr defaultColWidth="9" defaultRowHeight="14.25" x14ac:dyDescent="0.2"/>
  <cols>
    <col min="1" max="2" width="9" style="1316"/>
    <col min="3" max="3" width="1.5703125" style="1316" customWidth="1"/>
    <col min="4" max="4" width="4.42578125" style="1319" customWidth="1"/>
    <col min="5" max="5" width="42.5703125" style="1316" customWidth="1"/>
    <col min="6" max="6" width="10" style="1317" bestFit="1" customWidth="1"/>
    <col min="7" max="7" width="9" style="1316" customWidth="1"/>
    <col min="8" max="8" width="15.42578125" style="1316" customWidth="1"/>
    <col min="9" max="9" width="20.28515625" style="1316" bestFit="1" customWidth="1"/>
    <col min="10" max="10" width="16.42578125" style="1318" customWidth="1"/>
    <col min="11" max="11" width="13.5703125" style="1318" customWidth="1"/>
    <col min="12" max="12" width="14" style="1318" customWidth="1"/>
    <col min="13" max="13" width="18.7109375" style="1316" bestFit="1" customWidth="1"/>
    <col min="14" max="14" width="16.42578125" style="1316" bestFit="1" customWidth="1"/>
    <col min="15" max="16384" width="9" style="1316"/>
  </cols>
  <sheetData>
    <row r="1" spans="4:14" x14ac:dyDescent="0.2">
      <c r="D1" s="1315"/>
    </row>
    <row r="2" spans="4:14" ht="17.100000000000001" customHeight="1" x14ac:dyDescent="0.25">
      <c r="D2" s="2274" t="s">
        <v>776</v>
      </c>
      <c r="E2" s="2274"/>
      <c r="F2" s="2274"/>
      <c r="G2" s="2274"/>
      <c r="H2" s="2274"/>
      <c r="I2" s="2274"/>
      <c r="J2" s="2275"/>
      <c r="K2" s="2274"/>
      <c r="L2" s="2274"/>
    </row>
    <row r="3" spans="4:14" ht="17.100000000000001" customHeight="1" x14ac:dyDescent="0.25">
      <c r="D3" s="2274" t="s">
        <v>733</v>
      </c>
      <c r="E3" s="2274"/>
      <c r="F3" s="2274"/>
      <c r="G3" s="2274"/>
      <c r="H3" s="2274"/>
      <c r="I3" s="2274"/>
      <c r="J3" s="2275"/>
      <c r="K3" s="2274"/>
      <c r="L3" s="2274"/>
    </row>
    <row r="4" spans="4:14" ht="10.5" customHeight="1" x14ac:dyDescent="0.2"/>
    <row r="5" spans="4:14" ht="13.35" customHeight="1" thickBot="1" x14ac:dyDescent="0.25">
      <c r="D5" s="2265" t="s">
        <v>1120</v>
      </c>
      <c r="E5" s="2265"/>
    </row>
    <row r="6" spans="4:14" ht="15" customHeight="1" x14ac:dyDescent="0.25">
      <c r="D6" s="2276" t="s">
        <v>99</v>
      </c>
      <c r="E6" s="2276" t="s">
        <v>734</v>
      </c>
      <c r="F6" s="2277" t="s">
        <v>777</v>
      </c>
      <c r="G6" s="2277" t="s">
        <v>102</v>
      </c>
      <c r="H6" s="2280" t="s">
        <v>326</v>
      </c>
      <c r="I6" s="2280"/>
      <c r="J6" s="2281"/>
      <c r="K6" s="2282" t="s">
        <v>1129</v>
      </c>
      <c r="L6" s="2285" t="s">
        <v>736</v>
      </c>
    </row>
    <row r="7" spans="4:14" ht="15" customHeight="1" x14ac:dyDescent="0.2">
      <c r="D7" s="2276"/>
      <c r="E7" s="2276"/>
      <c r="F7" s="2278"/>
      <c r="G7" s="2278"/>
      <c r="H7" s="2288" t="s">
        <v>737</v>
      </c>
      <c r="I7" s="2290" t="s">
        <v>738</v>
      </c>
      <c r="J7" s="2292" t="s">
        <v>739</v>
      </c>
      <c r="K7" s="2283"/>
      <c r="L7" s="2286"/>
    </row>
    <row r="8" spans="4:14" ht="24" customHeight="1" x14ac:dyDescent="0.2">
      <c r="D8" s="2276"/>
      <c r="E8" s="2276"/>
      <c r="F8" s="2279"/>
      <c r="G8" s="2279"/>
      <c r="H8" s="2289"/>
      <c r="I8" s="2291"/>
      <c r="J8" s="2293"/>
      <c r="K8" s="2284"/>
      <c r="L8" s="2287"/>
    </row>
    <row r="9" spans="4:14" ht="15" x14ac:dyDescent="0.2">
      <c r="D9" s="1320"/>
      <c r="E9" s="1320" t="s">
        <v>778</v>
      </c>
      <c r="F9" s="1320"/>
      <c r="G9" s="1320"/>
      <c r="H9" s="1322"/>
      <c r="I9" s="1323"/>
      <c r="J9" s="1324"/>
      <c r="K9" s="1325">
        <v>17813187</v>
      </c>
      <c r="L9" s="1321"/>
    </row>
    <row r="10" spans="4:14" ht="15" x14ac:dyDescent="0.2">
      <c r="D10" s="1320"/>
      <c r="E10" s="2143" t="s">
        <v>353</v>
      </c>
      <c r="F10" s="1320"/>
      <c r="G10" s="1320"/>
      <c r="H10" s="1322"/>
      <c r="I10" s="1323"/>
      <c r="J10" s="1324"/>
      <c r="K10" s="1325">
        <f>'JUNI 2025'!AL29</f>
        <v>17792607</v>
      </c>
      <c r="L10" s="1321"/>
    </row>
    <row r="11" spans="4:14" ht="15" x14ac:dyDescent="0.25">
      <c r="D11" s="1326" t="s">
        <v>740</v>
      </c>
      <c r="E11" s="1327" t="s">
        <v>24</v>
      </c>
      <c r="F11" s="1328"/>
      <c r="G11" s="1329"/>
      <c r="H11" s="1330"/>
      <c r="I11" s="1330"/>
      <c r="J11" s="1331"/>
      <c r="K11" s="1331"/>
      <c r="L11" s="1332"/>
    </row>
    <row r="12" spans="4:14" ht="15" x14ac:dyDescent="0.25">
      <c r="D12" s="1333"/>
      <c r="E12" s="1334" t="s">
        <v>779</v>
      </c>
      <c r="F12" s="1335"/>
      <c r="G12" s="1336" t="s">
        <v>19</v>
      </c>
      <c r="H12" s="1337"/>
      <c r="I12" s="1338">
        <f>'JUNI 2025'!$AL$241</f>
        <v>11153.207300000002</v>
      </c>
      <c r="J12" s="1339"/>
      <c r="K12" s="1340"/>
      <c r="L12" s="1341"/>
    </row>
    <row r="13" spans="4:14" s="1351" customFormat="1" ht="15" x14ac:dyDescent="0.25">
      <c r="D13" s="1342"/>
      <c r="E13" s="1343" t="s">
        <v>780</v>
      </c>
      <c r="F13" s="1344">
        <v>1460.001</v>
      </c>
      <c r="G13" s="1345" t="s">
        <v>19</v>
      </c>
      <c r="H13" s="1346">
        <v>26051.47</v>
      </c>
      <c r="I13" s="1347">
        <v>11483.3943</v>
      </c>
      <c r="J13" s="1348">
        <f>I13/H13</f>
        <v>0.44079640419523347</v>
      </c>
      <c r="K13" s="1349">
        <f>I13/K9*1000</f>
        <v>0.64465692186356094</v>
      </c>
      <c r="L13" s="1350"/>
      <c r="N13" s="1352"/>
    </row>
    <row r="14" spans="4:14" x14ac:dyDescent="0.2">
      <c r="D14" s="1342"/>
      <c r="E14" s="1353" t="s">
        <v>17</v>
      </c>
      <c r="F14" s="1354"/>
      <c r="G14" s="1342"/>
      <c r="H14" s="1355"/>
      <c r="I14" s="1356"/>
      <c r="J14" s="1357"/>
      <c r="K14" s="1358"/>
      <c r="L14" s="1359"/>
    </row>
    <row r="15" spans="4:14" x14ac:dyDescent="0.2">
      <c r="D15" s="1342"/>
      <c r="E15" s="1343" t="s">
        <v>21</v>
      </c>
      <c r="F15" s="1344"/>
      <c r="G15" s="1345" t="s">
        <v>19</v>
      </c>
      <c r="H15" s="1355">
        <v>5907.73</v>
      </c>
      <c r="I15" s="2136">
        <v>2032.278</v>
      </c>
      <c r="J15" s="1357">
        <f>I15/H15</f>
        <v>0.34400319581294342</v>
      </c>
      <c r="K15" s="1358">
        <f>I15/K9*1000</f>
        <v>0.11408839979055967</v>
      </c>
      <c r="L15" s="1359"/>
      <c r="N15" s="1360"/>
    </row>
    <row r="16" spans="4:14" x14ac:dyDescent="0.2">
      <c r="D16" s="1342"/>
      <c r="E16" s="1343" t="s">
        <v>781</v>
      </c>
      <c r="F16" s="1344"/>
      <c r="G16" s="1345" t="s">
        <v>19</v>
      </c>
      <c r="H16" s="1355">
        <v>20143.740000000002</v>
      </c>
      <c r="I16" s="2138">
        <f>I13-I15</f>
        <v>9451.1162999999997</v>
      </c>
      <c r="J16" s="1357">
        <f>I16/H16</f>
        <v>0.46918379109341157</v>
      </c>
      <c r="K16" s="1358">
        <f>I16/K9*1000</f>
        <v>0.53056852207300131</v>
      </c>
      <c r="L16" s="1361"/>
      <c r="N16" s="1362"/>
    </row>
    <row r="17" spans="4:15" s="1372" customFormat="1" ht="15" x14ac:dyDescent="0.25">
      <c r="D17" s="1363"/>
      <c r="E17" s="1364" t="s">
        <v>1</v>
      </c>
      <c r="F17" s="1365"/>
      <c r="G17" s="1366" t="s">
        <v>19</v>
      </c>
      <c r="H17" s="1367">
        <f>H15+H16</f>
        <v>26051.47</v>
      </c>
      <c r="I17" s="1368">
        <f>I15+I16</f>
        <v>11483.3943</v>
      </c>
      <c r="J17" s="1369">
        <f t="shared" ref="J17:J43" si="0">I17/H17</f>
        <v>0.44079640419523347</v>
      </c>
      <c r="K17" s="1370">
        <f>SUM(K15+K16)</f>
        <v>0.64465692186356094</v>
      </c>
      <c r="L17" s="1371"/>
    </row>
    <row r="18" spans="4:15" s="1372" customFormat="1" ht="15" x14ac:dyDescent="0.25">
      <c r="D18" s="1373" t="s">
        <v>757</v>
      </c>
      <c r="E18" s="1374" t="s">
        <v>18</v>
      </c>
      <c r="F18" s="1375"/>
      <c r="G18" s="1373"/>
      <c r="H18" s="1376"/>
      <c r="I18" s="1376"/>
      <c r="J18" s="1377"/>
      <c r="K18" s="1378"/>
      <c r="L18" s="1379"/>
      <c r="M18" s="1372">
        <f>M19/'JUNI 2025'!E9</f>
        <v>19.783646517245923</v>
      </c>
    </row>
    <row r="19" spans="4:15" s="1372" customFormat="1" ht="15" x14ac:dyDescent="0.25">
      <c r="D19" s="1380"/>
      <c r="E19" s="1381" t="s">
        <v>4</v>
      </c>
      <c r="F19" s="1382"/>
      <c r="G19" s="1383" t="s">
        <v>14</v>
      </c>
      <c r="H19" s="1384">
        <v>11424000</v>
      </c>
      <c r="I19" s="1384">
        <v>1817779</v>
      </c>
      <c r="J19" s="1357">
        <f>I19/H19</f>
        <v>0.15911931022408965</v>
      </c>
      <c r="K19" s="2139">
        <f>I19/$K$10*1000</f>
        <v>102.16484858008724</v>
      </c>
      <c r="L19" s="1385"/>
      <c r="M19" s="1372">
        <v>1165256779.8657849</v>
      </c>
      <c r="N19" s="1352"/>
    </row>
    <row r="20" spans="4:15" s="1372" customFormat="1" ht="15" x14ac:dyDescent="0.25">
      <c r="D20" s="1380"/>
      <c r="E20" s="1386" t="s">
        <v>17</v>
      </c>
      <c r="F20" s="1387"/>
      <c r="G20" s="1380"/>
      <c r="H20" s="1388"/>
      <c r="I20" s="1388"/>
      <c r="J20" s="1357"/>
      <c r="K20" s="1358">
        <f t="shared" ref="K20" si="1">I20/$K$9</f>
        <v>0</v>
      </c>
      <c r="L20" s="1385"/>
    </row>
    <row r="21" spans="4:15" s="1372" customFormat="1" ht="15" x14ac:dyDescent="0.25">
      <c r="D21" s="1380"/>
      <c r="E21" s="1381" t="s">
        <v>16</v>
      </c>
      <c r="F21" s="1382" t="s">
        <v>1125</v>
      </c>
      <c r="G21" s="1383" t="s">
        <v>14</v>
      </c>
      <c r="H21" s="1384">
        <v>3420000</v>
      </c>
      <c r="I21" s="1384">
        <v>790670</v>
      </c>
      <c r="J21" s="1357">
        <f t="shared" si="0"/>
        <v>0.23119005847953217</v>
      </c>
      <c r="K21" s="1340">
        <f>I21/$K$9*1000</f>
        <v>44.386779300076959</v>
      </c>
      <c r="L21" s="1341"/>
    </row>
    <row r="22" spans="4:15" s="1372" customFormat="1" ht="15" x14ac:dyDescent="0.25">
      <c r="D22" s="1380"/>
      <c r="E22" s="1381" t="s">
        <v>15</v>
      </c>
      <c r="F22" s="1382" t="s">
        <v>1126</v>
      </c>
      <c r="G22" s="1383" t="s">
        <v>14</v>
      </c>
      <c r="H22" s="1384">
        <v>2318000</v>
      </c>
      <c r="I22" s="1384">
        <v>425736</v>
      </c>
      <c r="J22" s="1357">
        <f t="shared" si="0"/>
        <v>0.18366522864538395</v>
      </c>
      <c r="K22" s="1340">
        <f>I22/$K$10*1000</f>
        <v>23.927690866212018</v>
      </c>
      <c r="L22" s="1341"/>
      <c r="M22" s="1372">
        <f>24*5</f>
        <v>120</v>
      </c>
      <c r="N22" s="1372">
        <f>M22*2</f>
        <v>240</v>
      </c>
      <c r="O22" s="1372" t="s">
        <v>1124</v>
      </c>
    </row>
    <row r="23" spans="4:15" s="1372" customFormat="1" ht="15" x14ac:dyDescent="0.25">
      <c r="D23" s="1380"/>
      <c r="E23" s="1381" t="s">
        <v>7</v>
      </c>
      <c r="F23" s="1389">
        <v>106000</v>
      </c>
      <c r="G23" s="1383" t="s">
        <v>14</v>
      </c>
      <c r="H23" s="1390">
        <v>5686000</v>
      </c>
      <c r="I23" s="1337">
        <v>602373</v>
      </c>
      <c r="J23" s="1357">
        <f>I23/H23</f>
        <v>0.10593967639817095</v>
      </c>
      <c r="K23" s="1340">
        <f>I23/$K$9*1000</f>
        <v>33.816127344309585</v>
      </c>
      <c r="L23" s="1341"/>
    </row>
    <row r="24" spans="4:15" s="1372" customFormat="1" ht="15" x14ac:dyDescent="0.25">
      <c r="D24" s="1333"/>
      <c r="E24" s="1391" t="s">
        <v>1</v>
      </c>
      <c r="F24" s="1392"/>
      <c r="G24" s="1393" t="s">
        <v>14</v>
      </c>
      <c r="H24" s="1394">
        <f>SUM(H21:H23)</f>
        <v>11424000</v>
      </c>
      <c r="I24" s="1394">
        <f>SUM(I21:I23)</f>
        <v>1818779</v>
      </c>
      <c r="J24" s="1369">
        <f>I24/H24</f>
        <v>0.15920684523809525</v>
      </c>
      <c r="K24" s="1340">
        <f>I24/$K$9*1000</f>
        <v>102.10295327837741</v>
      </c>
      <c r="L24" s="1385"/>
    </row>
    <row r="25" spans="4:15" ht="15" x14ac:dyDescent="0.25">
      <c r="D25" s="1326" t="s">
        <v>759</v>
      </c>
      <c r="E25" s="1327" t="s">
        <v>13</v>
      </c>
      <c r="F25" s="1328"/>
      <c r="G25" s="1329"/>
      <c r="H25" s="1330"/>
      <c r="I25" s="1330"/>
      <c r="J25" s="1377"/>
      <c r="K25" s="1395"/>
      <c r="L25" s="1396"/>
    </row>
    <row r="26" spans="4:15" ht="15" x14ac:dyDescent="0.25">
      <c r="D26" s="1342"/>
      <c r="E26" s="1334" t="s">
        <v>782</v>
      </c>
      <c r="F26" s="1335"/>
      <c r="G26" s="1336" t="s">
        <v>124</v>
      </c>
      <c r="H26" s="1397">
        <f>SUM(H30:H32)</f>
        <v>41253</v>
      </c>
      <c r="I26" s="1398">
        <f>SUM(I27:$I$28)</f>
        <v>8754.193702124734</v>
      </c>
      <c r="J26" s="1348">
        <f>I26/H26</f>
        <v>0.21220744435858566</v>
      </c>
      <c r="K26" s="1349">
        <f>I26/$K$9*1000</f>
        <v>0.4914445518437961</v>
      </c>
      <c r="L26" s="1399"/>
      <c r="N26" s="1352"/>
    </row>
    <row r="27" spans="4:15" ht="15" x14ac:dyDescent="0.25">
      <c r="D27" s="1342"/>
      <c r="E27" s="1334" t="s">
        <v>783</v>
      </c>
      <c r="F27" s="1335"/>
      <c r="G27" s="1336"/>
      <c r="H27" s="1400"/>
      <c r="I27" s="1401">
        <f>'JUNI 2025'!$AL$264</f>
        <v>53.392962593958266</v>
      </c>
      <c r="J27" s="1357"/>
      <c r="K27" s="1401">
        <f>I27/$K$9*1000</f>
        <v>2.9973840500275594E-3</v>
      </c>
      <c r="L27" s="1402"/>
      <c r="N27" s="1352"/>
    </row>
    <row r="28" spans="4:15" ht="15" x14ac:dyDescent="0.25">
      <c r="D28" s="1342"/>
      <c r="E28" s="1334" t="s">
        <v>784</v>
      </c>
      <c r="F28" s="1335"/>
      <c r="G28" s="1336"/>
      <c r="H28" s="1400"/>
      <c r="I28" s="1401">
        <f>SUM(I30:$I$32)</f>
        <v>8700.8007395307759</v>
      </c>
      <c r="J28" s="1357"/>
      <c r="K28" s="1401">
        <f>I28/$K$9*1000</f>
        <v>0.48844716779376851</v>
      </c>
      <c r="L28" s="1402"/>
      <c r="N28" s="1352"/>
    </row>
    <row r="29" spans="4:15" x14ac:dyDescent="0.2">
      <c r="D29" s="1342"/>
      <c r="E29" s="1353" t="s">
        <v>785</v>
      </c>
      <c r="F29" s="1354"/>
      <c r="G29" s="1342"/>
      <c r="H29" s="1356"/>
      <c r="I29" s="1356"/>
      <c r="J29" s="1357"/>
      <c r="K29" s="1401">
        <f t="shared" ref="K29" si="2">I29/$K$9</f>
        <v>0</v>
      </c>
      <c r="L29" s="1403"/>
    </row>
    <row r="30" spans="4:15" x14ac:dyDescent="0.2">
      <c r="D30" s="1342"/>
      <c r="E30" s="1343" t="s">
        <v>10</v>
      </c>
      <c r="F30" s="1344" t="s">
        <v>1127</v>
      </c>
      <c r="G30" s="1345" t="s">
        <v>124</v>
      </c>
      <c r="H30" s="2126">
        <v>11745</v>
      </c>
      <c r="I30" s="2126">
        <f>'JUNI 2025'!$AL$260</f>
        <v>5429</v>
      </c>
      <c r="J30" s="1357">
        <f t="shared" si="0"/>
        <v>0.46223925074499789</v>
      </c>
      <c r="K30" s="1401">
        <f>I30/$K$9*1000</f>
        <v>0.30477421025221368</v>
      </c>
      <c r="L30" s="1403"/>
      <c r="M30" s="2130">
        <f>K27+K30+K31+K32</f>
        <v>0.49144921406713926</v>
      </c>
    </row>
    <row r="31" spans="4:15" x14ac:dyDescent="0.2">
      <c r="D31" s="1342"/>
      <c r="E31" s="1343" t="s">
        <v>9</v>
      </c>
      <c r="F31" s="1344" t="s">
        <v>1128</v>
      </c>
      <c r="G31" s="1345" t="s">
        <v>124</v>
      </c>
      <c r="H31" s="2126">
        <v>20895</v>
      </c>
      <c r="I31" s="2126">
        <f>'JUNI 2025'!$AL$262</f>
        <v>71.800739530775715</v>
      </c>
      <c r="J31" s="1357">
        <f t="shared" si="0"/>
        <v>3.4362641555767274E-3</v>
      </c>
      <c r="K31" s="1401">
        <f>I31/$K$10*1000</f>
        <v>4.0354254736686829E-3</v>
      </c>
      <c r="L31" s="1403"/>
    </row>
    <row r="32" spans="4:15" x14ac:dyDescent="0.2">
      <c r="D32" s="1342"/>
      <c r="E32" s="1343" t="s">
        <v>7</v>
      </c>
      <c r="F32" s="1344"/>
      <c r="G32" s="1345" t="s">
        <v>124</v>
      </c>
      <c r="H32" s="2126">
        <v>8613</v>
      </c>
      <c r="I32" s="2126">
        <f>'JUNI 2025'!$AL$265</f>
        <v>3200</v>
      </c>
      <c r="J32" s="1357">
        <f t="shared" si="0"/>
        <v>0.37153140601416462</v>
      </c>
      <c r="K32" s="1401">
        <f>I32/$K$9*1000</f>
        <v>0.1796421942912293</v>
      </c>
      <c r="L32" s="1403"/>
    </row>
    <row r="33" spans="4:15" s="1372" customFormat="1" ht="15" x14ac:dyDescent="0.25">
      <c r="D33" s="1333"/>
      <c r="E33" s="1391" t="s">
        <v>1</v>
      </c>
      <c r="F33" s="1392"/>
      <c r="G33" s="1404" t="s">
        <v>124</v>
      </c>
      <c r="H33" s="1405">
        <f>H26</f>
        <v>41253</v>
      </c>
      <c r="I33" s="1405">
        <f>SUM(I27:I28)</f>
        <v>8754.193702124734</v>
      </c>
      <c r="J33" s="1369">
        <f t="shared" si="0"/>
        <v>0.21220744435858566</v>
      </c>
      <c r="K33" s="1406">
        <f>I33/$K$9*1000</f>
        <v>0.4914445518437961</v>
      </c>
      <c r="L33" s="1402"/>
    </row>
    <row r="34" spans="4:15" ht="15" x14ac:dyDescent="0.25">
      <c r="D34" s="1326">
        <v>4</v>
      </c>
      <c r="E34" s="1327" t="s">
        <v>5</v>
      </c>
      <c r="F34" s="1328"/>
      <c r="G34" s="1329"/>
      <c r="H34" s="1330"/>
      <c r="I34" s="1330"/>
      <c r="J34" s="1377"/>
      <c r="K34" s="1331"/>
      <c r="L34" s="1332"/>
    </row>
    <row r="35" spans="4:15" ht="15" x14ac:dyDescent="0.25">
      <c r="D35" s="1333"/>
      <c r="E35" s="1391" t="s">
        <v>4</v>
      </c>
      <c r="F35" s="1392"/>
      <c r="G35" s="1407"/>
      <c r="H35" s="1337"/>
      <c r="I35" s="1337"/>
      <c r="J35" s="1357"/>
      <c r="K35" s="1340"/>
      <c r="L35" s="1341"/>
      <c r="M35" s="1360"/>
    </row>
    <row r="36" spans="4:15" ht="15" x14ac:dyDescent="0.25">
      <c r="D36" s="1408"/>
      <c r="E36" s="1343" t="s">
        <v>786</v>
      </c>
      <c r="F36" s="1344"/>
      <c r="G36" s="1345" t="s">
        <v>2</v>
      </c>
      <c r="H36" s="1397">
        <f>H38+H39+H41+H42</f>
        <v>704938</v>
      </c>
      <c r="I36" s="2137" t="str">
        <f>'JUNI 2025'!AL270</f>
        <v>Incoming</v>
      </c>
      <c r="J36" s="1348" t="e">
        <f>I36/H36*1000</f>
        <v>#VALUE!</v>
      </c>
      <c r="K36" s="2140" t="e">
        <f>I36/$K$9*100000</f>
        <v>#VALUE!</v>
      </c>
      <c r="L36" s="1409"/>
      <c r="N36" s="1410"/>
    </row>
    <row r="37" spans="4:15" x14ac:dyDescent="0.2">
      <c r="D37" s="1342"/>
      <c r="E37" s="1411" t="s">
        <v>11</v>
      </c>
      <c r="F37" s="1412"/>
      <c r="G37" s="1342"/>
      <c r="H37" s="1356"/>
      <c r="I37" s="1356"/>
      <c r="J37" s="1357"/>
      <c r="K37" s="1401">
        <f>I37/$K$9</f>
        <v>0</v>
      </c>
      <c r="L37" s="1413"/>
    </row>
    <row r="38" spans="4:15" ht="15" x14ac:dyDescent="0.25">
      <c r="D38" s="1414"/>
      <c r="E38" s="1415" t="s">
        <v>787</v>
      </c>
      <c r="F38" s="1335">
        <v>4.4000000000000004</v>
      </c>
      <c r="G38" s="1345" t="s">
        <v>2</v>
      </c>
      <c r="H38" s="1356">
        <v>162973</v>
      </c>
      <c r="I38" s="2126">
        <v>135763</v>
      </c>
      <c r="J38" s="2128">
        <f>I38/H38/10</f>
        <v>8.330398286832788E-2</v>
      </c>
      <c r="K38" s="2141">
        <f>I38/$K$9*1000</f>
        <v>7.6214885073625513</v>
      </c>
      <c r="L38" s="1416"/>
      <c r="N38" s="1417"/>
      <c r="O38" s="1418"/>
    </row>
    <row r="39" spans="4:15" ht="15" x14ac:dyDescent="0.25">
      <c r="D39" s="1414"/>
      <c r="E39" s="1415" t="s">
        <v>788</v>
      </c>
      <c r="F39" s="1335">
        <v>7.3</v>
      </c>
      <c r="G39" s="1345" t="s">
        <v>2</v>
      </c>
      <c r="H39" s="1356">
        <v>100660</v>
      </c>
      <c r="I39" s="2126">
        <v>99648</v>
      </c>
      <c r="J39" s="2128">
        <f t="shared" ref="J39:J42" si="3">I39/H39/10</f>
        <v>9.8994635406318296E-2</v>
      </c>
      <c r="K39" s="2141">
        <f>I39/$K$9*1000</f>
        <v>5.59405793022888</v>
      </c>
      <c r="L39" s="1416"/>
      <c r="N39" s="1417"/>
      <c r="O39" s="1418"/>
    </row>
    <row r="40" spans="4:15" ht="15" hidden="1" x14ac:dyDescent="0.25">
      <c r="D40" s="1414"/>
      <c r="E40" s="1415" t="s">
        <v>789</v>
      </c>
      <c r="F40" s="1335">
        <v>11.81</v>
      </c>
      <c r="G40" s="1345" t="s">
        <v>2</v>
      </c>
      <c r="H40" s="1356">
        <v>0</v>
      </c>
      <c r="I40" s="2126" t="str">
        <f>'JUNI 2025'!$AL$283</f>
        <v>Others</v>
      </c>
      <c r="J40" s="2128" t="e">
        <f t="shared" si="3"/>
        <v>#VALUE!</v>
      </c>
      <c r="K40" s="1401" t="e">
        <f t="shared" ref="K40" si="4">I40/$K$9*1000</f>
        <v>#VALUE!</v>
      </c>
      <c r="L40" s="1416"/>
      <c r="N40" s="1417"/>
      <c r="O40" s="1418"/>
    </row>
    <row r="41" spans="4:15" ht="15" x14ac:dyDescent="0.25">
      <c r="D41" s="1414"/>
      <c r="E41" s="1415" t="s">
        <v>790</v>
      </c>
      <c r="F41" s="1335">
        <v>4.5</v>
      </c>
      <c r="G41" s="1345" t="s">
        <v>2</v>
      </c>
      <c r="H41" s="1356">
        <v>287808</v>
      </c>
      <c r="I41" s="2126">
        <v>150240</v>
      </c>
      <c r="J41" s="2128">
        <f t="shared" si="3"/>
        <v>5.2201467645096734E-2</v>
      </c>
      <c r="K41" s="2141">
        <f>I41/$K$10*1000</f>
        <v>8.4439565264381997</v>
      </c>
      <c r="L41" s="1416"/>
      <c r="N41" s="1417"/>
      <c r="O41" s="1418"/>
    </row>
    <row r="42" spans="4:15" ht="15" x14ac:dyDescent="0.25">
      <c r="D42" s="2124"/>
      <c r="E42" s="1420" t="s">
        <v>791</v>
      </c>
      <c r="F42" s="1421">
        <v>4.0999999999999996</v>
      </c>
      <c r="G42" s="1422" t="s">
        <v>2</v>
      </c>
      <c r="H42" s="1423">
        <v>153497</v>
      </c>
      <c r="I42" s="2127">
        <v>82129</v>
      </c>
      <c r="J42" s="2129">
        <f t="shared" si="3"/>
        <v>5.3505280233489903E-2</v>
      </c>
      <c r="K42" s="2142">
        <f>I42/$K$10*1000</f>
        <v>4.6159059209254725</v>
      </c>
      <c r="L42" s="2125"/>
      <c r="N42" s="1417"/>
      <c r="O42" s="1418"/>
    </row>
    <row r="43" spans="4:15" ht="15" hidden="1" x14ac:dyDescent="0.25">
      <c r="D43" s="1419"/>
      <c r="E43" s="1420" t="s">
        <v>792</v>
      </c>
      <c r="F43" s="1421">
        <v>241.12</v>
      </c>
      <c r="G43" s="1422" t="s">
        <v>2</v>
      </c>
      <c r="H43" s="1423">
        <v>4581</v>
      </c>
      <c r="I43" s="1423">
        <f>'JUNI 2025'!$AL$284</f>
        <v>0</v>
      </c>
      <c r="J43" s="1369">
        <f t="shared" si="0"/>
        <v>0</v>
      </c>
      <c r="K43" s="1424">
        <f t="shared" ref="K43" si="5">I43/$K$9*1000</f>
        <v>0</v>
      </c>
      <c r="L43" s="1425"/>
      <c r="N43" s="1417"/>
      <c r="O43" s="1418"/>
    </row>
    <row r="44" spans="4:15" ht="15" x14ac:dyDescent="0.25">
      <c r="D44" s="1426"/>
      <c r="E44" s="1427"/>
      <c r="F44" s="1428"/>
      <c r="G44" s="1429"/>
      <c r="H44" s="1430"/>
      <c r="I44" s="1430"/>
      <c r="J44" s="1431"/>
      <c r="K44" s="1432"/>
      <c r="L44" s="1433"/>
      <c r="N44" s="1417"/>
      <c r="O44" s="1418"/>
    </row>
    <row r="45" spans="4:15" s="1318" customFormat="1" hidden="1" x14ac:dyDescent="0.2">
      <c r="D45" s="1434" t="s">
        <v>793</v>
      </c>
      <c r="F45" s="1309"/>
    </row>
    <row r="46" spans="4:15" s="1318" customFormat="1" hidden="1" x14ac:dyDescent="0.2">
      <c r="D46" s="1318" t="s">
        <v>794</v>
      </c>
      <c r="F46" s="1309"/>
      <c r="H46" s="1435"/>
      <c r="J46" s="1435"/>
      <c r="K46" s="1435"/>
      <c r="L46" s="1435"/>
    </row>
    <row r="47" spans="4:15" s="1318" customFormat="1" x14ac:dyDescent="0.2">
      <c r="D47" s="1436"/>
      <c r="F47" s="1309"/>
      <c r="H47" s="1432"/>
      <c r="J47" s="1432"/>
      <c r="K47" s="1432"/>
      <c r="L47" s="1432"/>
    </row>
    <row r="48" spans="4:15" s="1318" customFormat="1" x14ac:dyDescent="0.2">
      <c r="D48" s="2294"/>
      <c r="E48" s="2294"/>
      <c r="F48" s="2294"/>
      <c r="G48" s="2294"/>
      <c r="H48" s="2294"/>
      <c r="I48" s="2294"/>
      <c r="J48" s="2294"/>
      <c r="K48" s="2294"/>
      <c r="L48" s="2294"/>
    </row>
    <row r="49" spans="4:12" ht="15" x14ac:dyDescent="0.2">
      <c r="D49" s="2273"/>
      <c r="E49" s="2273"/>
      <c r="F49" s="1437"/>
      <c r="G49" s="1438"/>
      <c r="J49" s="1432"/>
      <c r="K49" s="1432"/>
      <c r="L49" s="1432"/>
    </row>
    <row r="50" spans="4:12" ht="15" x14ac:dyDescent="0.2">
      <c r="D50" s="2273"/>
      <c r="E50" s="2273"/>
      <c r="F50" s="1437"/>
      <c r="G50" s="1438"/>
      <c r="H50" s="1439"/>
      <c r="J50" s="1432"/>
      <c r="K50" s="1432"/>
      <c r="L50" s="1432"/>
    </row>
    <row r="51" spans="4:12" ht="15" x14ac:dyDescent="0.2">
      <c r="D51" s="1316"/>
      <c r="E51" s="1307" t="s">
        <v>766</v>
      </c>
      <c r="F51" s="2270" t="s">
        <v>767</v>
      </c>
      <c r="G51" s="2270"/>
      <c r="H51" s="2270"/>
      <c r="I51" s="2270"/>
      <c r="K51" s="2270" t="s">
        <v>768</v>
      </c>
      <c r="L51" s="2270"/>
    </row>
    <row r="52" spans="4:12" ht="15" x14ac:dyDescent="0.25">
      <c r="D52" s="1316"/>
      <c r="E52" s="1188"/>
      <c r="F52" s="1309"/>
      <c r="G52" s="1309"/>
      <c r="H52" s="1188"/>
      <c r="I52" s="1309"/>
      <c r="L52" s="1309"/>
    </row>
    <row r="53" spans="4:12" ht="15" x14ac:dyDescent="0.25">
      <c r="D53" s="1316"/>
      <c r="E53" s="1188"/>
      <c r="F53" s="1188"/>
      <c r="G53" s="1188"/>
      <c r="H53" s="1188"/>
      <c r="I53" s="1188"/>
      <c r="L53" s="1188"/>
    </row>
    <row r="54" spans="4:12" ht="15" x14ac:dyDescent="0.25">
      <c r="D54" s="1316"/>
      <c r="E54" s="1188"/>
      <c r="F54" s="1188"/>
      <c r="G54" s="1188"/>
      <c r="H54" s="1188"/>
      <c r="I54" s="1188"/>
      <c r="L54" s="1188"/>
    </row>
    <row r="55" spans="4:12" ht="15" x14ac:dyDescent="0.2">
      <c r="D55" s="1316"/>
      <c r="E55" s="1312" t="s">
        <v>1118</v>
      </c>
      <c r="F55" s="2271" t="s">
        <v>769</v>
      </c>
      <c r="G55" s="2271"/>
      <c r="I55" s="1311" t="s">
        <v>770</v>
      </c>
      <c r="K55" s="2271" t="s">
        <v>771</v>
      </c>
      <c r="L55" s="2271"/>
    </row>
    <row r="56" spans="4:12" ht="19.5" customHeight="1" x14ac:dyDescent="0.2">
      <c r="E56" s="1314" t="s">
        <v>772</v>
      </c>
      <c r="F56" s="2272" t="s">
        <v>773</v>
      </c>
      <c r="G56" s="2272"/>
      <c r="I56" s="1309" t="s">
        <v>774</v>
      </c>
      <c r="K56" s="2272" t="s">
        <v>775</v>
      </c>
      <c r="L56" s="2272"/>
    </row>
  </sheetData>
  <mergeCells count="22">
    <mergeCell ref="D50:E50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8:L48"/>
    <mergeCell ref="D49:E49"/>
    <mergeCell ref="F51:I51"/>
    <mergeCell ref="K51:L51"/>
    <mergeCell ref="F55:G55"/>
    <mergeCell ref="K55:L55"/>
    <mergeCell ref="F56:G56"/>
    <mergeCell ref="K56:L56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zoomScale="130" zoomScaleNormal="130" workbookViewId="0">
      <selection activeCell="H44" sqref="H44"/>
    </sheetView>
  </sheetViews>
  <sheetFormatPr defaultColWidth="9.42578125" defaultRowHeight="15" x14ac:dyDescent="0.25"/>
  <cols>
    <col min="1" max="1" width="9.42578125" style="1188"/>
    <col min="2" max="2" width="5.5703125" style="1188" customWidth="1"/>
    <col min="3" max="3" width="32.5703125" style="1188" customWidth="1"/>
    <col min="4" max="4" width="9" style="1188" customWidth="1"/>
    <col min="5" max="5" width="15.5703125" style="1188" customWidth="1"/>
    <col min="6" max="6" width="20.5703125" style="1188" customWidth="1"/>
    <col min="7" max="7" width="13.5703125" style="1188" customWidth="1"/>
    <col min="8" max="8" width="21.5703125" style="1189" customWidth="1"/>
    <col min="9" max="9" width="16.42578125" style="1190" customWidth="1"/>
    <col min="10" max="10" width="11.42578125" style="1188" bestFit="1" customWidth="1"/>
    <col min="11" max="11" width="11.5703125" style="1188" bestFit="1" customWidth="1"/>
    <col min="12" max="12" width="13.5703125" style="1188" customWidth="1"/>
    <col min="13" max="13" width="13.42578125" style="1188" bestFit="1" customWidth="1"/>
    <col min="14" max="16384" width="9.42578125" style="1188"/>
  </cols>
  <sheetData>
    <row r="1" spans="2:12" x14ac:dyDescent="0.25">
      <c r="B1" s="1187"/>
    </row>
    <row r="2" spans="2:12" x14ac:dyDescent="0.25">
      <c r="B2" s="2270" t="s">
        <v>732</v>
      </c>
      <c r="C2" s="2270"/>
      <c r="D2" s="2270"/>
      <c r="E2" s="2270"/>
      <c r="F2" s="2270"/>
      <c r="G2" s="2270"/>
      <c r="H2" s="2270"/>
      <c r="I2" s="1192"/>
    </row>
    <row r="3" spans="2:12" x14ac:dyDescent="0.25">
      <c r="B3" s="2270" t="s">
        <v>733</v>
      </c>
      <c r="C3" s="2270"/>
      <c r="D3" s="2270"/>
      <c r="E3" s="2270"/>
      <c r="F3" s="2270"/>
      <c r="G3" s="2270"/>
      <c r="H3" s="2270"/>
      <c r="I3" s="1192"/>
    </row>
    <row r="4" spans="2:12" ht="15.75" thickBot="1" x14ac:dyDescent="0.3">
      <c r="B4" s="2265" t="s">
        <v>1120</v>
      </c>
      <c r="C4" s="2265"/>
      <c r="D4" s="1193"/>
      <c r="E4" s="1193"/>
      <c r="F4" s="1193"/>
      <c r="G4" s="1194"/>
      <c r="H4" s="1195"/>
      <c r="I4" s="1196"/>
    </row>
    <row r="5" spans="2:12" x14ac:dyDescent="0.25">
      <c r="B5" s="2298" t="s">
        <v>175</v>
      </c>
      <c r="C5" s="2300" t="s">
        <v>734</v>
      </c>
      <c r="D5" s="2300" t="s">
        <v>735</v>
      </c>
      <c r="E5" s="2302" t="s">
        <v>326</v>
      </c>
      <c r="F5" s="2303"/>
      <c r="G5" s="2304"/>
      <c r="H5" s="2305" t="s">
        <v>736</v>
      </c>
      <c r="I5" s="1197"/>
    </row>
    <row r="6" spans="2:12" ht="41.25" customHeight="1" x14ac:dyDescent="0.25">
      <c r="B6" s="2299"/>
      <c r="C6" s="2301"/>
      <c r="D6" s="2301"/>
      <c r="E6" s="1198" t="s">
        <v>737</v>
      </c>
      <c r="F6" s="1198" t="s">
        <v>738</v>
      </c>
      <c r="G6" s="1198" t="s">
        <v>739</v>
      </c>
      <c r="H6" s="2306"/>
      <c r="I6" s="1197"/>
    </row>
    <row r="7" spans="2:12" x14ac:dyDescent="0.25">
      <c r="B7" s="1199" t="s">
        <v>740</v>
      </c>
      <c r="C7" s="1200" t="s">
        <v>85</v>
      </c>
      <c r="D7" s="1201"/>
      <c r="E7" s="1202"/>
      <c r="F7" s="1202"/>
      <c r="G7" s="1202"/>
      <c r="H7" s="1203"/>
      <c r="I7" s="1204"/>
    </row>
    <row r="8" spans="2:12" x14ac:dyDescent="0.25">
      <c r="B8" s="1205"/>
      <c r="C8" s="1206" t="s">
        <v>741</v>
      </c>
      <c r="D8" s="1207"/>
      <c r="E8" s="1208"/>
      <c r="F8" s="1209"/>
      <c r="G8" s="1208"/>
      <c r="H8" s="1210"/>
      <c r="I8" s="1204"/>
      <c r="J8" s="1211"/>
      <c r="K8" s="1211"/>
      <c r="L8" s="1212"/>
    </row>
    <row r="9" spans="2:12" x14ac:dyDescent="0.25">
      <c r="B9" s="1205"/>
      <c r="C9" s="1213" t="s">
        <v>84</v>
      </c>
      <c r="D9" s="1214" t="s">
        <v>228</v>
      </c>
      <c r="E9" s="1215">
        <v>15</v>
      </c>
      <c r="F9" s="1215">
        <f>'JUNI 2025'!$AL$6</f>
        <v>10</v>
      </c>
      <c r="G9" s="1216">
        <f>(F9/E9)</f>
        <v>0.66666666666666663</v>
      </c>
      <c r="H9" s="1224" t="s">
        <v>745</v>
      </c>
      <c r="I9" s="1204"/>
      <c r="J9" s="1218"/>
      <c r="K9" s="1211"/>
    </row>
    <row r="10" spans="2:12" x14ac:dyDescent="0.25">
      <c r="B10" s="1205"/>
      <c r="C10" s="1219" t="s">
        <v>743</v>
      </c>
      <c r="D10" s="1220" t="s">
        <v>14</v>
      </c>
      <c r="E10" s="1209"/>
      <c r="F10" s="1209"/>
      <c r="G10" s="1221"/>
      <c r="H10" s="1222"/>
      <c r="I10" s="1223"/>
      <c r="J10" s="1218"/>
      <c r="K10" s="1211"/>
    </row>
    <row r="11" spans="2:12" x14ac:dyDescent="0.25">
      <c r="B11" s="1205"/>
      <c r="C11" s="1213" t="s">
        <v>744</v>
      </c>
      <c r="D11" s="1214" t="s">
        <v>14</v>
      </c>
      <c r="E11" s="1215">
        <f>'JUNI 2025'!E9</f>
        <v>58900000</v>
      </c>
      <c r="F11" s="1215">
        <f>F12+F13</f>
        <v>17813187</v>
      </c>
      <c r="G11" s="1216">
        <f>(F11/E11)</f>
        <v>0.30243101867572159</v>
      </c>
      <c r="H11" s="1224" t="s">
        <v>745</v>
      </c>
      <c r="I11" s="1204"/>
      <c r="J11" s="1225"/>
      <c r="L11" s="1212"/>
    </row>
    <row r="12" spans="2:12" x14ac:dyDescent="0.25">
      <c r="B12" s="1205"/>
      <c r="C12" s="1213" t="s">
        <v>97</v>
      </c>
      <c r="D12" s="1214"/>
      <c r="E12" s="1215"/>
      <c r="F12" s="1215">
        <f>'JUNI 2025'!$AL$11</f>
        <v>17813187</v>
      </c>
      <c r="G12" s="1216"/>
      <c r="H12" s="1224"/>
      <c r="I12" s="1204"/>
      <c r="J12" s="1225"/>
      <c r="L12" s="1212"/>
    </row>
    <row r="13" spans="2:12" x14ac:dyDescent="0.25">
      <c r="B13" s="1205"/>
      <c r="C13" s="1213" t="s">
        <v>98</v>
      </c>
      <c r="D13" s="1214"/>
      <c r="E13" s="1215"/>
      <c r="F13" s="1215">
        <f>'JUNI 2025'!$AL$12</f>
        <v>0</v>
      </c>
      <c r="G13" s="1216"/>
      <c r="H13" s="1224"/>
      <c r="I13" s="1204"/>
      <c r="J13" s="1225"/>
      <c r="L13" s="1212"/>
    </row>
    <row r="14" spans="2:12" x14ac:dyDescent="0.25">
      <c r="B14" s="1205"/>
      <c r="C14" s="1226" t="s">
        <v>746</v>
      </c>
      <c r="D14" s="1227" t="s">
        <v>25</v>
      </c>
      <c r="E14" s="1228">
        <v>5</v>
      </c>
      <c r="F14" s="1229">
        <f>'JUNI 2025'!$AL$13</f>
        <v>4.5701666666666672</v>
      </c>
      <c r="G14" s="1230"/>
      <c r="H14" s="1231"/>
      <c r="I14" s="1232"/>
      <c r="J14" s="1233"/>
    </row>
    <row r="15" spans="2:12" x14ac:dyDescent="0.25">
      <c r="B15" s="1205"/>
      <c r="C15" s="1226" t="s">
        <v>747</v>
      </c>
      <c r="D15" s="1227" t="s">
        <v>25</v>
      </c>
      <c r="E15" s="1228">
        <v>0.5</v>
      </c>
      <c r="F15" s="1229">
        <f>'JUNI 2025'!$AL$14</f>
        <v>0.45666666666666667</v>
      </c>
      <c r="G15" s="1230"/>
      <c r="H15" s="1231"/>
      <c r="I15" s="1232"/>
      <c r="J15" s="1233"/>
    </row>
    <row r="16" spans="2:12" x14ac:dyDescent="0.25">
      <c r="B16" s="1205"/>
      <c r="C16" s="1226" t="s">
        <v>748</v>
      </c>
      <c r="D16" s="1227" t="s">
        <v>25</v>
      </c>
      <c r="E16" s="1228">
        <v>22.2</v>
      </c>
      <c r="F16" s="1229">
        <f>'JUNI 2025'!$O$15</f>
        <v>0</v>
      </c>
      <c r="G16" s="1230"/>
      <c r="H16" s="1231"/>
      <c r="I16" s="1232"/>
    </row>
    <row r="17" spans="2:13" x14ac:dyDescent="0.25">
      <c r="B17" s="1205"/>
      <c r="C17" s="1234" t="s">
        <v>78</v>
      </c>
      <c r="D17" s="1220"/>
      <c r="E17" s="1209"/>
      <c r="F17" s="1209"/>
      <c r="G17" s="1230"/>
      <c r="H17" s="1235"/>
      <c r="I17" s="1232"/>
    </row>
    <row r="18" spans="2:13" x14ac:dyDescent="0.25">
      <c r="B18" s="1205"/>
      <c r="C18" s="1236" t="s">
        <v>193</v>
      </c>
      <c r="D18" s="1237" t="s">
        <v>14</v>
      </c>
      <c r="E18" s="1209">
        <f>'JUNI 2025'!E20</f>
        <v>55661000</v>
      </c>
      <c r="F18" s="1209">
        <f>'JUNI 2025'!$AL$20</f>
        <v>16233349</v>
      </c>
      <c r="G18" s="1230">
        <f>(F18/E18)</f>
        <v>0.29164673649413414</v>
      </c>
      <c r="H18" s="1238" t="s">
        <v>745</v>
      </c>
      <c r="I18" s="1204"/>
    </row>
    <row r="19" spans="2:13" x14ac:dyDescent="0.25">
      <c r="B19" s="1205"/>
      <c r="C19" s="1239" t="s">
        <v>64</v>
      </c>
      <c r="D19" s="1240" t="s">
        <v>14</v>
      </c>
      <c r="E19" s="1241">
        <f>'JUNI 2025'!E21</f>
        <v>2827000</v>
      </c>
      <c r="F19" s="1209">
        <f>'JUNI 2025'!$AL$21</f>
        <v>866309</v>
      </c>
      <c r="G19" s="1230">
        <f>(F19/E19)</f>
        <v>0.3064411036434383</v>
      </c>
      <c r="H19" s="1242" t="s">
        <v>745</v>
      </c>
      <c r="I19" s="1204"/>
    </row>
    <row r="20" spans="2:13" ht="8.25" customHeight="1" x14ac:dyDescent="0.25">
      <c r="B20" s="1205"/>
      <c r="C20" s="1243"/>
      <c r="D20" s="1244"/>
      <c r="E20" s="1208"/>
      <c r="F20" s="1245"/>
      <c r="G20" s="1246"/>
      <c r="H20" s="1238"/>
      <c r="I20" s="1204"/>
    </row>
    <row r="21" spans="2:13" s="1247" customFormat="1" ht="14.25" customHeight="1" x14ac:dyDescent="0.25">
      <c r="B21" s="1205"/>
      <c r="C21" s="1206" t="s">
        <v>749</v>
      </c>
      <c r="D21" s="1244"/>
      <c r="E21" s="1208"/>
      <c r="F21" s="1209"/>
      <c r="G21" s="1221"/>
      <c r="H21" s="1238"/>
      <c r="I21" s="1204"/>
    </row>
    <row r="22" spans="2:13" s="1247" customFormat="1" ht="14.25" customHeight="1" x14ac:dyDescent="0.25">
      <c r="B22" s="1205"/>
      <c r="C22" s="1248" t="s">
        <v>353</v>
      </c>
      <c r="D22" s="1244" t="s">
        <v>14</v>
      </c>
      <c r="E22" s="1208">
        <f>E25</f>
        <v>25639000</v>
      </c>
      <c r="F22" s="1209">
        <f>'JUNI 2025'!$AL$29</f>
        <v>17792607</v>
      </c>
      <c r="G22" s="1230">
        <f>(F22/E22)</f>
        <v>0.69396649635321195</v>
      </c>
      <c r="H22" s="1238" t="s">
        <v>742</v>
      </c>
      <c r="I22" s="1204"/>
    </row>
    <row r="23" spans="2:13" s="1247" customFormat="1" ht="20.25" customHeight="1" x14ac:dyDescent="0.25">
      <c r="B23" s="1205"/>
      <c r="C23" s="1248" t="s">
        <v>750</v>
      </c>
      <c r="D23" s="1244" t="s">
        <v>14</v>
      </c>
      <c r="E23" s="1208">
        <f>E25</f>
        <v>25639000</v>
      </c>
      <c r="F23" s="1249">
        <f>'JUNI 2025'!$AL$25</f>
        <v>17223447</v>
      </c>
      <c r="G23" s="1230">
        <f>(F23/E23)</f>
        <v>0.67176750263270801</v>
      </c>
      <c r="H23" s="1238" t="s">
        <v>742</v>
      </c>
      <c r="I23" s="1204"/>
    </row>
    <row r="24" spans="2:13" x14ac:dyDescent="0.25">
      <c r="B24" s="1205"/>
      <c r="C24" s="1250" t="s">
        <v>751</v>
      </c>
      <c r="D24" s="1251"/>
      <c r="E24" s="1252"/>
      <c r="F24" s="1245"/>
      <c r="G24" s="1246"/>
      <c r="H24" s="1253"/>
      <c r="I24" s="1204"/>
    </row>
    <row r="25" spans="2:13" x14ac:dyDescent="0.25">
      <c r="B25" s="1205"/>
      <c r="C25" s="1236" t="s">
        <v>75</v>
      </c>
      <c r="D25" s="1237" t="s">
        <v>14</v>
      </c>
      <c r="E25" s="1209">
        <f>E26+E27</f>
        <v>25639000</v>
      </c>
      <c r="F25" s="1209">
        <f>F26+F27</f>
        <v>17792607</v>
      </c>
      <c r="G25" s="1230">
        <f>(F25/E25)</f>
        <v>0.69396649635321195</v>
      </c>
      <c r="H25" s="1238" t="s">
        <v>742</v>
      </c>
      <c r="I25" s="1204"/>
      <c r="J25" s="1233"/>
    </row>
    <row r="26" spans="2:13" x14ac:dyDescent="0.25">
      <c r="B26" s="1205"/>
      <c r="C26" s="1254" t="s">
        <v>63</v>
      </c>
      <c r="D26" s="1255" t="s">
        <v>14</v>
      </c>
      <c r="E26" s="1215">
        <f>'JUNI 2025'!E33</f>
        <v>25000000</v>
      </c>
      <c r="F26" s="1215">
        <f>'JUNI 2025'!$AL$33</f>
        <v>14325558</v>
      </c>
      <c r="G26" s="1216">
        <f>(F26/E26)</f>
        <v>0.57302231999999997</v>
      </c>
      <c r="H26" s="1224" t="s">
        <v>742</v>
      </c>
      <c r="I26" s="1204"/>
      <c r="J26" s="1233"/>
      <c r="M26" s="1256"/>
    </row>
    <row r="27" spans="2:13" x14ac:dyDescent="0.25">
      <c r="B27" s="1205"/>
      <c r="C27" s="1239" t="s">
        <v>62</v>
      </c>
      <c r="D27" s="1240" t="s">
        <v>14</v>
      </c>
      <c r="E27" s="1241">
        <f>'JUNI 2025'!E34</f>
        <v>639000</v>
      </c>
      <c r="F27" s="1249">
        <f>'JUNI 2025'!$AL$34</f>
        <v>3467049</v>
      </c>
      <c r="G27" s="1230">
        <f>(F27/E27)</f>
        <v>5.4257417840375588</v>
      </c>
      <c r="H27" s="2132" t="s">
        <v>742</v>
      </c>
      <c r="I27" s="1204"/>
      <c r="J27" s="1233"/>
      <c r="M27" s="1256"/>
    </row>
    <row r="28" spans="2:13" x14ac:dyDescent="0.25">
      <c r="B28" s="1205"/>
      <c r="C28" s="1250" t="s">
        <v>752</v>
      </c>
      <c r="D28" s="1258"/>
      <c r="E28" s="1252"/>
      <c r="F28" s="1245"/>
      <c r="G28" s="1246"/>
      <c r="H28" s="1238"/>
      <c r="I28" s="1204"/>
      <c r="M28" s="1256"/>
    </row>
    <row r="29" spans="2:13" x14ac:dyDescent="0.25">
      <c r="B29" s="1205"/>
      <c r="C29" s="1219" t="s">
        <v>75</v>
      </c>
      <c r="D29" s="1220" t="s">
        <v>14</v>
      </c>
      <c r="E29" s="1208">
        <v>0</v>
      </c>
      <c r="F29" s="1209"/>
      <c r="G29" s="1221"/>
      <c r="H29" s="1238"/>
      <c r="I29" s="1204"/>
      <c r="J29" s="1233"/>
    </row>
    <row r="30" spans="2:13" x14ac:dyDescent="0.25">
      <c r="B30" s="1205"/>
      <c r="C30" s="1213" t="s">
        <v>753</v>
      </c>
      <c r="D30" s="1214" t="s">
        <v>14</v>
      </c>
      <c r="E30" s="1215">
        <v>0</v>
      </c>
      <c r="F30" s="1215">
        <v>0</v>
      </c>
      <c r="G30" s="1215">
        <v>0</v>
      </c>
      <c r="H30" s="1224"/>
      <c r="I30" s="1204"/>
      <c r="J30" s="1233"/>
    </row>
    <row r="31" spans="2:13" x14ac:dyDescent="0.25">
      <c r="B31" s="1205"/>
      <c r="C31" s="1243" t="s">
        <v>62</v>
      </c>
      <c r="D31" s="1259" t="s">
        <v>14</v>
      </c>
      <c r="E31" s="1208">
        <v>0</v>
      </c>
      <c r="F31" s="1209"/>
      <c r="G31" s="1260"/>
      <c r="H31" s="1238"/>
      <c r="I31" s="1204"/>
      <c r="J31" s="1233"/>
    </row>
    <row r="32" spans="2:13" x14ac:dyDescent="0.25">
      <c r="B32" s="1261"/>
      <c r="C32" s="1250" t="s">
        <v>1063</v>
      </c>
      <c r="D32" s="1251"/>
      <c r="E32" s="1252"/>
      <c r="F32" s="1245"/>
      <c r="G32" s="1246"/>
      <c r="H32" s="1262"/>
      <c r="I32" s="1204"/>
    </row>
    <row r="33" spans="2:13" hidden="1" x14ac:dyDescent="0.25">
      <c r="B33" s="1261"/>
      <c r="C33" s="1263" t="s">
        <v>192</v>
      </c>
      <c r="D33" s="1207" t="s">
        <v>14</v>
      </c>
      <c r="E33" s="1208">
        <v>1812101.9108280253</v>
      </c>
      <c r="F33" s="1209"/>
      <c r="G33" s="1264">
        <f t="shared" ref="G33:G68" si="0">(F33/E33)*100</f>
        <v>0</v>
      </c>
      <c r="H33" s="1238"/>
      <c r="I33" s="1204"/>
      <c r="M33" s="1211"/>
    </row>
    <row r="34" spans="2:13" x14ac:dyDescent="0.25">
      <c r="B34" s="1261"/>
      <c r="C34" s="1219" t="s">
        <v>75</v>
      </c>
      <c r="D34" s="1220" t="s">
        <v>14</v>
      </c>
      <c r="E34" s="1209">
        <f>E35+E36</f>
        <v>22714</v>
      </c>
      <c r="F34" s="1209">
        <f>F35+F36</f>
        <v>0</v>
      </c>
      <c r="G34" s="1221">
        <f t="shared" si="0"/>
        <v>0</v>
      </c>
      <c r="H34" s="1238"/>
      <c r="I34" s="1204"/>
      <c r="J34" s="1233"/>
    </row>
    <row r="35" spans="2:13" x14ac:dyDescent="0.25">
      <c r="B35" s="1261"/>
      <c r="C35" s="1213" t="s">
        <v>330</v>
      </c>
      <c r="D35" s="1214" t="s">
        <v>14</v>
      </c>
      <c r="E35" s="1215">
        <v>15900</v>
      </c>
      <c r="F35" s="1215"/>
      <c r="G35" s="1264">
        <f t="shared" si="0"/>
        <v>0</v>
      </c>
      <c r="H35" s="1224"/>
      <c r="I35" s="1204"/>
      <c r="J35" s="1233"/>
    </row>
    <row r="36" spans="2:13" x14ac:dyDescent="0.25">
      <c r="B36" s="1261"/>
      <c r="C36" s="1243" t="s">
        <v>62</v>
      </c>
      <c r="D36" s="1207" t="s">
        <v>14</v>
      </c>
      <c r="E36" s="1208">
        <v>6814</v>
      </c>
      <c r="F36" s="1209"/>
      <c r="G36" s="1260">
        <f t="shared" si="0"/>
        <v>0</v>
      </c>
      <c r="H36" s="1238"/>
      <c r="I36" s="1204"/>
      <c r="J36" s="1233"/>
    </row>
    <row r="37" spans="2:13" hidden="1" x14ac:dyDescent="0.25">
      <c r="B37" s="1205"/>
      <c r="C37" s="1250" t="s">
        <v>754</v>
      </c>
      <c r="D37" s="1251"/>
      <c r="E37" s="1252"/>
      <c r="F37" s="1245"/>
      <c r="G37" s="1246"/>
      <c r="H37" s="1262"/>
      <c r="I37" s="1204"/>
    </row>
    <row r="38" spans="2:13" hidden="1" x14ac:dyDescent="0.25">
      <c r="B38" s="1205"/>
      <c r="C38" s="1236" t="s">
        <v>75</v>
      </c>
      <c r="D38" s="1237" t="s">
        <v>14</v>
      </c>
      <c r="E38" s="1209">
        <v>21429000</v>
      </c>
      <c r="F38" s="1209">
        <f>F39+F40</f>
        <v>0</v>
      </c>
      <c r="G38" s="1221">
        <f t="shared" si="0"/>
        <v>0</v>
      </c>
      <c r="H38" s="1238" t="s">
        <v>745</v>
      </c>
      <c r="I38" s="1204"/>
      <c r="J38" s="1233"/>
    </row>
    <row r="39" spans="2:13" hidden="1" x14ac:dyDescent="0.25">
      <c r="B39" s="1205"/>
      <c r="C39" s="1254" t="s">
        <v>330</v>
      </c>
      <c r="D39" s="1255" t="s">
        <v>14</v>
      </c>
      <c r="E39" s="1215">
        <v>15000000</v>
      </c>
      <c r="F39" s="1215">
        <f>'JUNI 2025'!$AL$46</f>
        <v>0</v>
      </c>
      <c r="G39" s="1264">
        <f t="shared" si="0"/>
        <v>0</v>
      </c>
      <c r="H39" s="1224" t="s">
        <v>745</v>
      </c>
      <c r="I39" s="1204"/>
      <c r="J39" s="1233"/>
    </row>
    <row r="40" spans="2:13" hidden="1" x14ac:dyDescent="0.25">
      <c r="B40" s="1205"/>
      <c r="C40" s="1243" t="s">
        <v>62</v>
      </c>
      <c r="D40" s="1244" t="s">
        <v>14</v>
      </c>
      <c r="E40" s="1208">
        <v>6429000</v>
      </c>
      <c r="F40" s="1209">
        <f>'JUNI 2025'!$AL$47</f>
        <v>0</v>
      </c>
      <c r="G40" s="1260">
        <f t="shared" si="0"/>
        <v>0</v>
      </c>
      <c r="H40" s="1238" t="s">
        <v>745</v>
      </c>
      <c r="I40" s="1204"/>
      <c r="J40" s="1233"/>
    </row>
    <row r="41" spans="2:13" x14ac:dyDescent="0.25">
      <c r="B41" s="1261"/>
      <c r="C41" s="1250" t="s">
        <v>755</v>
      </c>
      <c r="D41" s="1251"/>
      <c r="E41" s="1252"/>
      <c r="F41" s="1245"/>
      <c r="G41" s="1246"/>
      <c r="H41" s="1262"/>
      <c r="I41" s="1204"/>
    </row>
    <row r="42" spans="2:13" hidden="1" x14ac:dyDescent="0.25">
      <c r="B42" s="1261"/>
      <c r="C42" s="1263" t="s">
        <v>192</v>
      </c>
      <c r="D42" s="1265"/>
      <c r="E42" s="1208">
        <v>2234607.2186836516</v>
      </c>
      <c r="F42" s="1209">
        <v>0</v>
      </c>
      <c r="G42" s="1221">
        <f t="shared" si="0"/>
        <v>0</v>
      </c>
      <c r="H42" s="1238"/>
      <c r="I42" s="1204"/>
    </row>
    <row r="43" spans="2:13" x14ac:dyDescent="0.25">
      <c r="B43" s="1261"/>
      <c r="C43" s="1219" t="s">
        <v>75</v>
      </c>
      <c r="D43" s="1220" t="s">
        <v>14</v>
      </c>
      <c r="E43" s="1209">
        <f>E44+E45</f>
        <v>533</v>
      </c>
      <c r="F43" s="1209">
        <v>0</v>
      </c>
      <c r="G43" s="1221">
        <f t="shared" si="0"/>
        <v>0</v>
      </c>
      <c r="H43" s="1238"/>
      <c r="I43" s="1204"/>
      <c r="J43" s="1233"/>
    </row>
    <row r="44" spans="2:13" x14ac:dyDescent="0.25">
      <c r="B44" s="1261"/>
      <c r="C44" s="1213" t="s">
        <v>756</v>
      </c>
      <c r="D44" s="1214" t="s">
        <v>14</v>
      </c>
      <c r="E44" s="1215">
        <v>320</v>
      </c>
      <c r="F44" s="1215">
        <f>'JUNI 2025'!AL56</f>
        <v>0</v>
      </c>
      <c r="G44" s="1264">
        <f t="shared" si="0"/>
        <v>0</v>
      </c>
      <c r="H44" s="1224"/>
      <c r="I44" s="1204"/>
      <c r="J44" s="1233"/>
    </row>
    <row r="45" spans="2:13" x14ac:dyDescent="0.25">
      <c r="B45" s="1261"/>
      <c r="C45" s="1266" t="s">
        <v>60</v>
      </c>
      <c r="D45" s="1259" t="s">
        <v>14</v>
      </c>
      <c r="E45" s="1241">
        <v>213</v>
      </c>
      <c r="F45" s="1209">
        <f>'JUNI 2025'!AL57</f>
        <v>0</v>
      </c>
      <c r="G45" s="1260">
        <f t="shared" si="0"/>
        <v>0</v>
      </c>
      <c r="H45" s="1238"/>
      <c r="I45" s="1204"/>
      <c r="J45" s="1233"/>
    </row>
    <row r="46" spans="2:13" x14ac:dyDescent="0.25">
      <c r="B46" s="1267" t="s">
        <v>757</v>
      </c>
      <c r="C46" s="1268" t="s">
        <v>758</v>
      </c>
      <c r="D46" s="1201"/>
      <c r="E46" s="1202"/>
      <c r="F46" s="1202"/>
      <c r="G46" s="1269"/>
      <c r="H46" s="1270"/>
      <c r="I46" s="1204"/>
    </row>
    <row r="47" spans="2:13" x14ac:dyDescent="0.25">
      <c r="B47" s="1271"/>
      <c r="C47" s="1236" t="s">
        <v>65</v>
      </c>
      <c r="D47" s="1237" t="s">
        <v>25</v>
      </c>
      <c r="E47" s="1229">
        <v>94.77</v>
      </c>
      <c r="F47" s="274">
        <f>'JUNI 2025'!AL60</f>
        <v>94.78756384244997</v>
      </c>
      <c r="G47" s="1221">
        <f t="shared" si="0"/>
        <v>100.01853312488127</v>
      </c>
      <c r="H47" s="1238" t="s">
        <v>742</v>
      </c>
      <c r="I47" s="1232"/>
    </row>
    <row r="48" spans="2:13" x14ac:dyDescent="0.25">
      <c r="B48" s="1271"/>
      <c r="C48" s="1236" t="s">
        <v>64</v>
      </c>
      <c r="D48" s="1237" t="s">
        <v>25</v>
      </c>
      <c r="E48" s="1229">
        <v>4.5</v>
      </c>
      <c r="F48" s="274">
        <f>(F19/(F11))*100</f>
        <v>4.8633015529450176</v>
      </c>
      <c r="G48" s="1260">
        <f t="shared" si="0"/>
        <v>108.07336784322261</v>
      </c>
      <c r="H48" s="1238" t="s">
        <v>742</v>
      </c>
      <c r="I48" s="1232"/>
    </row>
    <row r="49" spans="2:9" x14ac:dyDescent="0.25">
      <c r="B49" s="1271"/>
      <c r="C49" s="1272" t="s">
        <v>63</v>
      </c>
      <c r="D49" s="1273" t="s">
        <v>25</v>
      </c>
      <c r="E49" s="1274">
        <v>82</v>
      </c>
      <c r="F49" s="1275">
        <f>F26/(F26+F27)*100</f>
        <v>80.514103413850478</v>
      </c>
      <c r="G49" s="1246">
        <f t="shared" si="0"/>
        <v>98.187930992500583</v>
      </c>
      <c r="H49" s="1276" t="s">
        <v>745</v>
      </c>
      <c r="I49" s="1232"/>
    </row>
    <row r="50" spans="2:9" x14ac:dyDescent="0.25">
      <c r="B50" s="1271"/>
      <c r="C50" s="1236" t="s">
        <v>62</v>
      </c>
      <c r="D50" s="1237" t="s">
        <v>25</v>
      </c>
      <c r="E50" s="1229">
        <v>18</v>
      </c>
      <c r="F50" s="1277">
        <f>(F27/F25)*100</f>
        <v>19.485896586149519</v>
      </c>
      <c r="G50" s="1260">
        <f t="shared" si="0"/>
        <v>108.254981034164</v>
      </c>
      <c r="H50" s="1257" t="s">
        <v>742</v>
      </c>
      <c r="I50" s="1232"/>
    </row>
    <row r="51" spans="2:9" x14ac:dyDescent="0.25">
      <c r="B51" s="1271"/>
      <c r="C51" s="1278" t="s">
        <v>106</v>
      </c>
      <c r="D51" s="1273" t="s">
        <v>25</v>
      </c>
      <c r="E51" s="1274">
        <v>75</v>
      </c>
      <c r="F51" s="1279">
        <v>0</v>
      </c>
      <c r="G51" s="1246">
        <f t="shared" si="0"/>
        <v>0</v>
      </c>
      <c r="H51" s="1280"/>
      <c r="I51" s="1232"/>
    </row>
    <row r="52" spans="2:9" x14ac:dyDescent="0.25">
      <c r="B52" s="1271"/>
      <c r="C52" s="1236" t="s">
        <v>62</v>
      </c>
      <c r="D52" s="1237" t="s">
        <v>25</v>
      </c>
      <c r="E52" s="1229">
        <v>25</v>
      </c>
      <c r="F52" s="1281">
        <v>0</v>
      </c>
      <c r="G52" s="1260">
        <f t="shared" si="0"/>
        <v>0</v>
      </c>
      <c r="H52" s="1282"/>
      <c r="I52" s="1232"/>
    </row>
    <row r="53" spans="2:9" x14ac:dyDescent="0.25">
      <c r="B53" s="1271"/>
      <c r="C53" s="1278" t="s">
        <v>108</v>
      </c>
      <c r="D53" s="1273" t="s">
        <v>25</v>
      </c>
      <c r="E53" s="1274">
        <v>75</v>
      </c>
      <c r="F53" s="1275" t="e">
        <f>F35/(F35+F36)*100</f>
        <v>#DIV/0!</v>
      </c>
      <c r="G53" s="1246" t="e">
        <f t="shared" si="0"/>
        <v>#DIV/0!</v>
      </c>
      <c r="H53" s="1283"/>
      <c r="I53" s="1232"/>
    </row>
    <row r="54" spans="2:9" x14ac:dyDescent="0.25">
      <c r="B54" s="1271"/>
      <c r="C54" s="1236" t="s">
        <v>62</v>
      </c>
      <c r="D54" s="1237" t="s">
        <v>25</v>
      </c>
      <c r="E54" s="1229">
        <v>25</v>
      </c>
      <c r="F54" s="1277" t="e">
        <f>(F36/F34)*100</f>
        <v>#DIV/0!</v>
      </c>
      <c r="G54" s="1260" t="e">
        <f t="shared" si="0"/>
        <v>#DIV/0!</v>
      </c>
      <c r="H54" s="1283"/>
      <c r="I54" s="1232"/>
    </row>
    <row r="55" spans="2:9" x14ac:dyDescent="0.25">
      <c r="B55" s="1271"/>
      <c r="C55" s="1278" t="s">
        <v>330</v>
      </c>
      <c r="D55" s="1273" t="s">
        <v>25</v>
      </c>
      <c r="E55" s="1274">
        <v>70</v>
      </c>
      <c r="F55" s="1275" t="e">
        <f>F39/(F39+F40)*100</f>
        <v>#DIV/0!</v>
      </c>
      <c r="G55" s="1246" t="e">
        <f t="shared" si="0"/>
        <v>#DIV/0!</v>
      </c>
      <c r="H55" s="1276"/>
      <c r="I55" s="1232"/>
    </row>
    <row r="56" spans="2:9" x14ac:dyDescent="0.25">
      <c r="B56" s="1271"/>
      <c r="C56" s="1236" t="s">
        <v>62</v>
      </c>
      <c r="D56" s="1237" t="s">
        <v>25</v>
      </c>
      <c r="E56" s="1229">
        <v>30</v>
      </c>
      <c r="F56" s="1277" t="e">
        <f>(F40/F38)*100</f>
        <v>#DIV/0!</v>
      </c>
      <c r="G56" s="1260" t="e">
        <f t="shared" si="0"/>
        <v>#DIV/0!</v>
      </c>
      <c r="H56" s="1257"/>
      <c r="I56" s="1232"/>
    </row>
    <row r="57" spans="2:9" x14ac:dyDescent="0.25">
      <c r="B57" s="1271"/>
      <c r="C57" s="1272" t="s">
        <v>61</v>
      </c>
      <c r="D57" s="1273" t="s">
        <v>25</v>
      </c>
      <c r="E57" s="1274">
        <v>60</v>
      </c>
      <c r="F57" s="274">
        <v>0</v>
      </c>
      <c r="G57" s="1246">
        <f t="shared" si="0"/>
        <v>0</v>
      </c>
      <c r="H57" s="1284"/>
      <c r="I57" s="1232"/>
    </row>
    <row r="58" spans="2:9" x14ac:dyDescent="0.25">
      <c r="B58" s="1271"/>
      <c r="C58" s="1285" t="s">
        <v>60</v>
      </c>
      <c r="D58" s="1286" t="s">
        <v>25</v>
      </c>
      <c r="E58" s="1281">
        <v>40</v>
      </c>
      <c r="F58" s="274">
        <v>0</v>
      </c>
      <c r="G58" s="1260">
        <f t="shared" si="0"/>
        <v>0</v>
      </c>
      <c r="H58" s="1287"/>
      <c r="I58" s="1232"/>
    </row>
    <row r="59" spans="2:9" x14ac:dyDescent="0.25">
      <c r="B59" s="1199" t="s">
        <v>759</v>
      </c>
      <c r="C59" s="1200" t="s">
        <v>59</v>
      </c>
      <c r="D59" s="1201"/>
      <c r="E59" s="1202"/>
      <c r="F59" s="1202"/>
      <c r="G59" s="1269"/>
      <c r="H59" s="1270"/>
      <c r="I59" s="1204"/>
    </row>
    <row r="60" spans="2:9" x14ac:dyDescent="0.25">
      <c r="B60" s="1288"/>
      <c r="C60" s="1289" t="s">
        <v>760</v>
      </c>
      <c r="D60" s="1207" t="s">
        <v>14</v>
      </c>
      <c r="E60" s="1994">
        <v>675000</v>
      </c>
      <c r="F60" s="1209">
        <f>'JUNI 2025'!$AL$75</f>
        <v>153073</v>
      </c>
      <c r="G60" s="1221">
        <f>(F60/E60)*100</f>
        <v>22.677481481481482</v>
      </c>
      <c r="H60" s="1238"/>
      <c r="I60" s="1204">
        <f>E61*2500</f>
        <v>22500</v>
      </c>
    </row>
    <row r="61" spans="2:9" x14ac:dyDescent="0.25">
      <c r="B61" s="1288"/>
      <c r="C61" s="1219"/>
      <c r="D61" s="1237" t="s">
        <v>324</v>
      </c>
      <c r="E61" s="1290">
        <f>'JUNI 2025'!E75</f>
        <v>9</v>
      </c>
      <c r="F61" s="1290">
        <f>(F60/F12)*1000</f>
        <v>8.5932405021066689</v>
      </c>
      <c r="G61" s="1264">
        <f>(F61/E61)*100</f>
        <v>95.480450023407442</v>
      </c>
      <c r="H61" s="1217" t="s">
        <v>742</v>
      </c>
      <c r="I61" s="1232">
        <f>I60*30</f>
        <v>675000</v>
      </c>
    </row>
    <row r="62" spans="2:9" x14ac:dyDescent="0.25">
      <c r="B62" s="1288"/>
      <c r="C62" s="1289" t="s">
        <v>761</v>
      </c>
      <c r="D62" s="1207" t="s">
        <v>14</v>
      </c>
      <c r="E62" s="1208">
        <v>1200</v>
      </c>
      <c r="F62" s="1209">
        <f>'JUNI 2025'!AL12</f>
        <v>0</v>
      </c>
      <c r="G62" s="1221">
        <f t="shared" si="0"/>
        <v>0</v>
      </c>
      <c r="H62" s="1283"/>
      <c r="I62" s="1204">
        <f>2500*30*1.6%</f>
        <v>1200</v>
      </c>
    </row>
    <row r="63" spans="2:9" x14ac:dyDescent="0.25">
      <c r="B63" s="1288"/>
      <c r="C63" s="1219"/>
      <c r="D63" s="1237" t="s">
        <v>324</v>
      </c>
      <c r="E63" s="1290">
        <v>16</v>
      </c>
      <c r="F63" s="1290"/>
      <c r="G63" s="1264">
        <f t="shared" si="0"/>
        <v>0</v>
      </c>
      <c r="H63" s="1291"/>
      <c r="I63" s="1232"/>
    </row>
    <row r="64" spans="2:9" x14ac:dyDescent="0.25">
      <c r="B64" s="1288"/>
      <c r="C64" s="1236" t="s">
        <v>762</v>
      </c>
      <c r="D64" s="1237" t="s">
        <v>14</v>
      </c>
      <c r="E64" s="1209">
        <f>450*1000</f>
        <v>450000</v>
      </c>
      <c r="F64" s="1209">
        <f>'JUNI 2025'!$AL$83</f>
        <v>8793.24</v>
      </c>
      <c r="G64" s="1221">
        <f t="shared" si="0"/>
        <v>1.9540533333333332</v>
      </c>
      <c r="H64" s="1283"/>
      <c r="I64" s="1204">
        <f>2500*30*0.6%</f>
        <v>450</v>
      </c>
    </row>
    <row r="65" spans="1:9" x14ac:dyDescent="0.25">
      <c r="B65" s="1288"/>
      <c r="C65" s="1289"/>
      <c r="D65" s="1244" t="s">
        <v>324</v>
      </c>
      <c r="E65" s="1292">
        <v>0.6</v>
      </c>
      <c r="F65" s="1292">
        <f>(F64/F11)*1000</f>
        <v>0.49363654016544034</v>
      </c>
      <c r="G65" s="1293">
        <f t="shared" si="0"/>
        <v>82.272756694240059</v>
      </c>
      <c r="H65" s="1217" t="s">
        <v>742</v>
      </c>
      <c r="I65" s="1232"/>
    </row>
    <row r="66" spans="1:9" x14ac:dyDescent="0.25">
      <c r="B66" s="1199" t="s">
        <v>763</v>
      </c>
      <c r="C66" s="1268" t="s">
        <v>168</v>
      </c>
      <c r="D66" s="1201"/>
      <c r="E66" s="1202"/>
      <c r="F66" s="1202"/>
      <c r="G66" s="1269"/>
      <c r="H66" s="1270"/>
      <c r="I66" s="1204"/>
    </row>
    <row r="67" spans="1:9" x14ac:dyDescent="0.25">
      <c r="B67" s="1294"/>
      <c r="C67" s="1236" t="s">
        <v>764</v>
      </c>
      <c r="D67" s="1237" t="s">
        <v>25</v>
      </c>
      <c r="E67" s="1295">
        <v>-0.73</v>
      </c>
      <c r="F67" s="1292">
        <f>'JUNI 2025'!$AL$85</f>
        <v>-0.34913460460500417</v>
      </c>
      <c r="G67" s="1264">
        <f t="shared" si="0"/>
        <v>47.826658165069063</v>
      </c>
      <c r="H67" s="1224" t="s">
        <v>745</v>
      </c>
      <c r="I67" s="1232"/>
    </row>
    <row r="68" spans="1:9" x14ac:dyDescent="0.25">
      <c r="B68" s="1294"/>
      <c r="C68" s="1236" t="s">
        <v>54</v>
      </c>
      <c r="D68" s="1237" t="s">
        <v>25</v>
      </c>
      <c r="E68" s="1229">
        <v>22</v>
      </c>
      <c r="F68" s="1229">
        <f>'JUNI 2025'!$AL$87</f>
        <v>21.014000000000003</v>
      </c>
      <c r="G68" s="1221">
        <f t="shared" si="0"/>
        <v>95.51818181818183</v>
      </c>
      <c r="H68" s="1231"/>
      <c r="I68" s="1232"/>
    </row>
    <row r="69" spans="1:9" ht="15.75" thickBot="1" x14ac:dyDescent="0.3">
      <c r="B69" s="1296"/>
      <c r="C69" s="1297" t="s">
        <v>53</v>
      </c>
      <c r="D69" s="1298" t="s">
        <v>14</v>
      </c>
      <c r="E69" s="1299">
        <v>413199.35999999999</v>
      </c>
      <c r="F69" s="1299">
        <f>'JUNI 2025'!$AL$88</f>
        <v>156289.676022</v>
      </c>
      <c r="G69" s="1300">
        <f>(F69/E69)*100</f>
        <v>37.824278339153281</v>
      </c>
      <c r="H69" s="1301"/>
      <c r="I69" s="1232"/>
    </row>
    <row r="70" spans="1:9" x14ac:dyDescent="0.25">
      <c r="B70" s="1188" t="s">
        <v>765</v>
      </c>
      <c r="C70" s="1302"/>
      <c r="D70" s="1303"/>
      <c r="E70" s="1232"/>
      <c r="F70" s="1232"/>
      <c r="G70" s="1232"/>
      <c r="H70" s="1304"/>
      <c r="I70" s="1232"/>
    </row>
    <row r="71" spans="1:9" x14ac:dyDescent="0.25">
      <c r="B71" s="2295" t="s">
        <v>1121</v>
      </c>
      <c r="C71" s="2295"/>
      <c r="D71" s="2295"/>
      <c r="E71" s="2295"/>
      <c r="F71" s="2295"/>
      <c r="G71" s="2295"/>
      <c r="H71" s="2295"/>
      <c r="I71" s="1305"/>
    </row>
    <row r="72" spans="1:9" x14ac:dyDescent="0.25">
      <c r="B72" s="2296" t="s">
        <v>1123</v>
      </c>
      <c r="C72" s="2296"/>
      <c r="D72" s="2296"/>
      <c r="E72" s="2296"/>
      <c r="F72" s="2296"/>
      <c r="G72" s="2296"/>
      <c r="H72" s="2296"/>
      <c r="I72" s="1305"/>
    </row>
    <row r="73" spans="1:9" x14ac:dyDescent="0.25">
      <c r="B73" s="2296"/>
      <c r="C73" s="2296"/>
      <c r="D73" s="2296"/>
      <c r="E73" s="2296"/>
      <c r="F73" s="2296"/>
      <c r="G73" s="2296"/>
      <c r="H73" s="2296"/>
      <c r="I73" s="1305"/>
    </row>
    <row r="74" spans="1:9" x14ac:dyDescent="0.25">
      <c r="B74" s="2295" t="s">
        <v>1122</v>
      </c>
      <c r="C74" s="2295"/>
      <c r="D74" s="2295"/>
      <c r="E74" s="2295"/>
      <c r="F74" s="2295"/>
      <c r="G74" s="2295"/>
      <c r="H74" s="2295"/>
      <c r="I74" s="1305"/>
    </row>
    <row r="75" spans="1:9" x14ac:dyDescent="0.25">
      <c r="B75" s="2297"/>
      <c r="C75" s="2297"/>
      <c r="D75" s="2297"/>
      <c r="E75" s="2297"/>
      <c r="F75" s="2297"/>
      <c r="G75" s="2297"/>
      <c r="H75" s="2297"/>
      <c r="I75" s="1305"/>
    </row>
    <row r="76" spans="1:9" x14ac:dyDescent="0.25">
      <c r="B76" s="1305"/>
      <c r="C76" s="1305"/>
      <c r="D76" s="1305"/>
      <c r="E76" s="1305"/>
      <c r="F76" s="1305"/>
      <c r="G76" s="1305"/>
      <c r="H76" s="1306"/>
      <c r="I76" s="1305"/>
    </row>
    <row r="77" spans="1:9" s="1308" customFormat="1" x14ac:dyDescent="0.25">
      <c r="A77" s="2270" t="s">
        <v>766</v>
      </c>
      <c r="B77" s="2270"/>
      <c r="C77" s="2270"/>
      <c r="D77" s="2270" t="s">
        <v>767</v>
      </c>
      <c r="E77" s="2270"/>
      <c r="F77" s="2270"/>
      <c r="G77" s="1307"/>
      <c r="H77" s="1191" t="s">
        <v>768</v>
      </c>
      <c r="I77" s="1192"/>
    </row>
    <row r="78" spans="1:9" x14ac:dyDescent="0.25">
      <c r="B78" s="1309"/>
      <c r="C78" s="1309"/>
      <c r="D78" s="1309"/>
      <c r="E78" s="1309"/>
      <c r="G78" s="1309"/>
      <c r="H78" s="1309"/>
      <c r="I78" s="1310"/>
    </row>
    <row r="79" spans="1:9" x14ac:dyDescent="0.25">
      <c r="B79" s="1309"/>
      <c r="C79" s="1309"/>
      <c r="D79" s="1309"/>
      <c r="E79" s="1309"/>
      <c r="G79" s="1309"/>
      <c r="H79" s="1309"/>
      <c r="I79" s="1310"/>
    </row>
    <row r="80" spans="1:9" x14ac:dyDescent="0.25">
      <c r="B80" s="1309"/>
      <c r="C80" s="1309"/>
      <c r="D80" s="1309"/>
      <c r="E80" s="1309"/>
      <c r="G80" s="1309"/>
      <c r="H80" s="1309"/>
      <c r="I80" s="1310"/>
    </row>
    <row r="81" spans="1:9" x14ac:dyDescent="0.25">
      <c r="A81" s="2271" t="s">
        <v>1118</v>
      </c>
      <c r="B81" s="2271"/>
      <c r="C81" s="2271"/>
      <c r="D81" s="2271" t="s">
        <v>769</v>
      </c>
      <c r="E81" s="2271"/>
      <c r="F81" s="1311" t="s">
        <v>770</v>
      </c>
      <c r="G81" s="1312"/>
      <c r="H81" s="1311" t="s">
        <v>771</v>
      </c>
      <c r="I81" s="1313"/>
    </row>
    <row r="82" spans="1:9" ht="20.85" customHeight="1" x14ac:dyDescent="0.25">
      <c r="A82" s="2272" t="s">
        <v>772</v>
      </c>
      <c r="B82" s="2272"/>
      <c r="C82" s="2272"/>
      <c r="D82" s="2272" t="s">
        <v>773</v>
      </c>
      <c r="E82" s="2272"/>
      <c r="F82" s="1309" t="s">
        <v>774</v>
      </c>
      <c r="G82" s="1314"/>
      <c r="H82" s="1309" t="s">
        <v>775</v>
      </c>
      <c r="I82" s="1310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 verticalCentered="1"/>
  <pageMargins left="0" right="0" top="0" bottom="0" header="0" footer="0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topLeftCell="A8" zoomScale="80" zoomScaleNormal="80" workbookViewId="0">
      <selection activeCell="G28" sqref="G28"/>
    </sheetView>
  </sheetViews>
  <sheetFormatPr defaultColWidth="9.42578125" defaultRowHeight="15" x14ac:dyDescent="0.25"/>
  <cols>
    <col min="1" max="1" width="9.42578125" style="1574"/>
    <col min="2" max="2" width="23.5703125" style="1574" customWidth="1"/>
    <col min="3" max="3" width="13.5703125" style="1574" customWidth="1"/>
    <col min="4" max="4" width="13.42578125" style="1574" customWidth="1"/>
    <col min="5" max="5" width="13" style="1574" customWidth="1"/>
    <col min="6" max="6" width="12.42578125" style="1574" customWidth="1"/>
    <col min="7" max="7" width="14.42578125" style="1574" bestFit="1" customWidth="1"/>
    <col min="8" max="8" width="12.5703125" style="1574" customWidth="1"/>
    <col min="9" max="9" width="18.5703125" style="1574" bestFit="1" customWidth="1"/>
    <col min="10" max="10" width="9.5703125" style="1574" customWidth="1"/>
    <col min="11" max="11" width="9.5703125" style="1574" bestFit="1" customWidth="1"/>
    <col min="12" max="12" width="9.42578125" style="1574" customWidth="1"/>
    <col min="13" max="13" width="8.5703125" style="1574" hidden="1" customWidth="1"/>
    <col min="14" max="14" width="9" style="1574" hidden="1" customWidth="1"/>
    <col min="15" max="15" width="10.42578125" style="1574" hidden="1" customWidth="1"/>
    <col min="16" max="16" width="9" style="1574" hidden="1" customWidth="1"/>
    <col min="17" max="17" width="8.5703125" style="1574" hidden="1" customWidth="1"/>
    <col min="18" max="18" width="9.5703125" style="1574" hidden="1" customWidth="1"/>
    <col min="19" max="19" width="0" style="1574" hidden="1" customWidth="1"/>
    <col min="20" max="20" width="18.5703125" style="1574" hidden="1" customWidth="1"/>
    <col min="21" max="16384" width="9.42578125" style="1574"/>
  </cols>
  <sheetData>
    <row r="4" spans="2:20" ht="15.75" x14ac:dyDescent="0.25">
      <c r="B4" s="1637" t="s">
        <v>1058</v>
      </c>
      <c r="I4" s="1597" t="s">
        <v>1061</v>
      </c>
      <c r="J4" s="2307" t="s">
        <v>937</v>
      </c>
      <c r="K4" s="2308"/>
      <c r="L4" s="2309"/>
      <c r="M4" s="2310" t="s">
        <v>940</v>
      </c>
      <c r="N4" s="2311"/>
      <c r="O4" s="2312"/>
      <c r="P4" s="2310" t="s">
        <v>941</v>
      </c>
      <c r="Q4" s="2311"/>
      <c r="R4" s="2312"/>
      <c r="S4" s="2313" t="s">
        <v>943</v>
      </c>
      <c r="T4" s="2314"/>
    </row>
    <row r="5" spans="2:20" ht="30" x14ac:dyDescent="0.25">
      <c r="B5" s="1575" t="s">
        <v>840</v>
      </c>
      <c r="C5" s="1575" t="s">
        <v>841</v>
      </c>
      <c r="D5" s="1575" t="s">
        <v>842</v>
      </c>
      <c r="E5" s="1575" t="s">
        <v>843</v>
      </c>
      <c r="F5" s="1576" t="s">
        <v>844</v>
      </c>
      <c r="G5" s="1575" t="s">
        <v>845</v>
      </c>
      <c r="I5" s="308" t="s">
        <v>169</v>
      </c>
      <c r="J5" s="316" t="s">
        <v>170</v>
      </c>
      <c r="K5" s="316" t="s">
        <v>938</v>
      </c>
      <c r="L5" s="316" t="s">
        <v>939</v>
      </c>
      <c r="M5" s="316" t="s">
        <v>170</v>
      </c>
      <c r="N5" s="316" t="s">
        <v>938</v>
      </c>
      <c r="O5" s="316" t="s">
        <v>942</v>
      </c>
      <c r="P5" s="316" t="s">
        <v>170</v>
      </c>
      <c r="Q5" s="316" t="s">
        <v>938</v>
      </c>
      <c r="R5" s="316" t="s">
        <v>942</v>
      </c>
      <c r="S5" s="2315"/>
      <c r="T5" s="2316"/>
    </row>
    <row r="6" spans="2:20" x14ac:dyDescent="0.25">
      <c r="B6" s="1578" t="s">
        <v>846</v>
      </c>
      <c r="C6" s="1580">
        <v>5.67</v>
      </c>
      <c r="D6" s="1579">
        <v>850</v>
      </c>
      <c r="E6" s="1580">
        <f>C6*D6/1000</f>
        <v>4.8194999999999997</v>
      </c>
      <c r="F6" s="1951">
        <v>0</v>
      </c>
      <c r="G6" s="1582">
        <f>(F6*E6/100)*1000</f>
        <v>0</v>
      </c>
      <c r="H6" s="1583"/>
      <c r="I6" s="822">
        <v>45809</v>
      </c>
      <c r="J6" s="1708"/>
      <c r="K6" s="1708"/>
      <c r="L6" s="1723"/>
      <c r="M6" s="1708"/>
      <c r="N6" s="1708"/>
      <c r="O6" s="1726"/>
      <c r="P6" s="1708"/>
      <c r="Q6" s="1708"/>
      <c r="R6" s="1578"/>
      <c r="S6" s="2317"/>
      <c r="T6" s="2318"/>
    </row>
    <row r="7" spans="2:20" x14ac:dyDescent="0.25">
      <c r="B7" s="1578" t="s">
        <v>847</v>
      </c>
      <c r="C7" s="1636">
        <v>47.22</v>
      </c>
      <c r="D7" s="1579">
        <v>850</v>
      </c>
      <c r="E7" s="1580">
        <f>C7*D7/1000</f>
        <v>40.137</v>
      </c>
      <c r="F7" s="1951">
        <v>0</v>
      </c>
      <c r="G7" s="1582">
        <f>(F7*E7/100)*1000</f>
        <v>0</v>
      </c>
      <c r="H7" s="1637"/>
      <c r="I7" s="822">
        <v>45810</v>
      </c>
      <c r="J7" s="1708"/>
      <c r="K7" s="1708"/>
      <c r="L7" s="1723"/>
      <c r="M7" s="1708"/>
      <c r="N7" s="1708"/>
      <c r="O7" s="1726"/>
      <c r="P7" s="1708"/>
      <c r="Q7" s="1708"/>
      <c r="R7" s="1578"/>
      <c r="S7" s="2317"/>
      <c r="T7" s="2318"/>
    </row>
    <row r="8" spans="2:20" x14ac:dyDescent="0.25">
      <c r="B8" s="1578" t="s">
        <v>848</v>
      </c>
      <c r="C8" s="1636">
        <v>47.22</v>
      </c>
      <c r="D8" s="1579">
        <v>850</v>
      </c>
      <c r="E8" s="1580">
        <f t="shared" ref="E8:E21" si="0">C8*D8/1000</f>
        <v>40.137</v>
      </c>
      <c r="F8" s="1951">
        <v>0</v>
      </c>
      <c r="G8" s="1582">
        <f>(F8*E8/100)*1000</f>
        <v>0</v>
      </c>
      <c r="H8" s="1637"/>
      <c r="I8" s="822">
        <v>45811</v>
      </c>
      <c r="J8" s="1708"/>
      <c r="K8" s="1708"/>
      <c r="L8" s="1723"/>
      <c r="M8" s="1708"/>
      <c r="N8" s="1708"/>
      <c r="O8" s="1726"/>
      <c r="P8" s="1708"/>
      <c r="Q8" s="1708"/>
      <c r="R8" s="1578"/>
      <c r="S8" s="2317"/>
      <c r="T8" s="2318"/>
    </row>
    <row r="9" spans="2:20" x14ac:dyDescent="0.25">
      <c r="B9" s="1578" t="s">
        <v>849</v>
      </c>
      <c r="C9" s="1636">
        <v>35.68</v>
      </c>
      <c r="D9" s="1579">
        <v>850</v>
      </c>
      <c r="E9" s="1580">
        <f t="shared" si="0"/>
        <v>30.327999999999999</v>
      </c>
      <c r="F9" s="1951">
        <v>0</v>
      </c>
      <c r="G9" s="1582">
        <f>(F9*E9/100)*1000</f>
        <v>0</v>
      </c>
      <c r="H9" s="1637"/>
      <c r="I9" s="822">
        <v>45812</v>
      </c>
      <c r="J9" s="1708"/>
      <c r="K9" s="1709"/>
      <c r="L9" s="1724"/>
      <c r="M9" s="1709"/>
      <c r="N9" s="1709"/>
      <c r="O9" s="1727"/>
      <c r="P9" s="1709"/>
      <c r="Q9" s="1708"/>
      <c r="R9" s="1578"/>
      <c r="S9" s="2317"/>
      <c r="T9" s="2318"/>
    </row>
    <row r="10" spans="2:20" x14ac:dyDescent="0.25">
      <c r="B10" s="1578" t="s">
        <v>850</v>
      </c>
      <c r="C10" s="1584">
        <v>10.8</v>
      </c>
      <c r="D10" s="1584">
        <v>850</v>
      </c>
      <c r="E10" s="1585">
        <f t="shared" si="0"/>
        <v>9.18</v>
      </c>
      <c r="F10" s="1951">
        <v>0</v>
      </c>
      <c r="G10" s="1582">
        <f t="shared" ref="G10:G15" si="1">(F10*E10/100)*1000</f>
        <v>0</v>
      </c>
      <c r="H10" s="1637"/>
      <c r="I10" s="822">
        <v>45813</v>
      </c>
      <c r="J10" s="1710"/>
      <c r="K10" s="1708"/>
      <c r="L10" s="1723"/>
      <c r="M10" s="1708"/>
      <c r="N10" s="1708"/>
      <c r="O10" s="1726"/>
      <c r="P10" s="1708"/>
      <c r="Q10" s="1708"/>
      <c r="R10" s="1578"/>
      <c r="S10" s="2317"/>
      <c r="T10" s="2318"/>
    </row>
    <row r="11" spans="2:20" x14ac:dyDescent="0.25">
      <c r="B11" s="1578" t="s">
        <v>851</v>
      </c>
      <c r="C11" s="1584">
        <v>10.1</v>
      </c>
      <c r="D11" s="1584">
        <v>850</v>
      </c>
      <c r="E11" s="1585">
        <f t="shared" si="0"/>
        <v>8.5850000000000009</v>
      </c>
      <c r="F11" s="1951">
        <v>0</v>
      </c>
      <c r="G11" s="1582">
        <f t="shared" si="1"/>
        <v>0</v>
      </c>
      <c r="H11" s="1637"/>
      <c r="I11" s="822">
        <v>45814</v>
      </c>
      <c r="J11" s="1710"/>
      <c r="K11" s="1710"/>
      <c r="L11" s="1725">
        <f>J11-K11</f>
        <v>0</v>
      </c>
      <c r="M11" s="1710"/>
      <c r="N11" s="1710"/>
      <c r="O11" s="1728"/>
      <c r="P11" s="1710"/>
      <c r="Q11" s="1708"/>
      <c r="R11" s="1578"/>
      <c r="S11" s="2317"/>
      <c r="T11" s="2318"/>
    </row>
    <row r="12" spans="2:20" x14ac:dyDescent="0.25">
      <c r="B12" s="1578" t="s">
        <v>852</v>
      </c>
      <c r="C12" s="1584">
        <v>10.1</v>
      </c>
      <c r="D12" s="1584">
        <v>850</v>
      </c>
      <c r="E12" s="1585">
        <f t="shared" si="0"/>
        <v>8.5850000000000009</v>
      </c>
      <c r="F12" s="1951">
        <v>0</v>
      </c>
      <c r="G12" s="1582">
        <f t="shared" si="1"/>
        <v>0</v>
      </c>
      <c r="H12" s="1637"/>
      <c r="I12" s="822">
        <v>45815</v>
      </c>
      <c r="J12" s="1711"/>
      <c r="K12" s="1711"/>
      <c r="L12" s="1725">
        <f>J12-K12</f>
        <v>0</v>
      </c>
      <c r="M12" s="1711"/>
      <c r="N12" s="1711"/>
      <c r="O12" s="1729"/>
      <c r="P12" s="1711"/>
      <c r="Q12" s="1708"/>
      <c r="R12" s="1578"/>
      <c r="S12" s="2317"/>
      <c r="T12" s="2318"/>
    </row>
    <row r="13" spans="2:20" x14ac:dyDescent="0.25">
      <c r="B13" s="1578" t="s">
        <v>853</v>
      </c>
      <c r="C13" s="1584">
        <v>10.1</v>
      </c>
      <c r="D13" s="1584">
        <v>850</v>
      </c>
      <c r="E13" s="1585">
        <f t="shared" si="0"/>
        <v>8.5850000000000009</v>
      </c>
      <c r="F13" s="1951">
        <v>0</v>
      </c>
      <c r="G13" s="1582">
        <f t="shared" si="1"/>
        <v>0</v>
      </c>
      <c r="H13" s="1637"/>
      <c r="I13" s="822">
        <v>45816</v>
      </c>
      <c r="J13" s="1711">
        <v>0</v>
      </c>
      <c r="K13" s="1711">
        <v>311880</v>
      </c>
      <c r="L13" s="1725">
        <f>K13</f>
        <v>311880</v>
      </c>
      <c r="M13" s="1711"/>
      <c r="N13" s="1711">
        <v>0</v>
      </c>
      <c r="O13" s="1729"/>
      <c r="P13" s="1711"/>
      <c r="Q13" s="1711">
        <v>174609</v>
      </c>
      <c r="R13" s="1578"/>
      <c r="S13" s="2317"/>
      <c r="T13" s="2318"/>
    </row>
    <row r="14" spans="2:20" x14ac:dyDescent="0.25">
      <c r="B14" s="1578" t="s">
        <v>854</v>
      </c>
      <c r="C14" s="1584">
        <v>10.1</v>
      </c>
      <c r="D14" s="1584">
        <v>850</v>
      </c>
      <c r="E14" s="1585">
        <f t="shared" si="0"/>
        <v>8.5850000000000009</v>
      </c>
      <c r="F14" s="1951">
        <v>0</v>
      </c>
      <c r="G14" s="1582">
        <f t="shared" si="1"/>
        <v>0</v>
      </c>
      <c r="H14" s="1637"/>
      <c r="I14" s="822">
        <v>45817</v>
      </c>
      <c r="J14" s="1711">
        <v>311880</v>
      </c>
      <c r="K14" s="1711">
        <v>316289</v>
      </c>
      <c r="L14" s="1725">
        <f>J14-K14</f>
        <v>-4409</v>
      </c>
      <c r="M14" s="1711"/>
      <c r="N14" s="1712">
        <v>44191</v>
      </c>
      <c r="O14" s="1730"/>
      <c r="P14" s="1711">
        <v>174609</v>
      </c>
      <c r="Q14" s="1712">
        <v>38852</v>
      </c>
      <c r="R14" s="1720">
        <f>P14-Q14</f>
        <v>135757</v>
      </c>
      <c r="S14" s="2319">
        <f>R14+O14+L14</f>
        <v>131348</v>
      </c>
      <c r="T14" s="2318"/>
    </row>
    <row r="15" spans="2:20" x14ac:dyDescent="0.25">
      <c r="B15" s="1578" t="s">
        <v>855</v>
      </c>
      <c r="C15" s="1584">
        <v>10.1</v>
      </c>
      <c r="D15" s="1584">
        <v>850</v>
      </c>
      <c r="E15" s="1585">
        <f t="shared" si="0"/>
        <v>8.5850000000000009</v>
      </c>
      <c r="F15" s="1951">
        <v>0</v>
      </c>
      <c r="G15" s="1582">
        <f t="shared" si="1"/>
        <v>0</v>
      </c>
      <c r="H15" s="1637"/>
      <c r="I15" s="822">
        <v>45818</v>
      </c>
      <c r="J15" s="1711">
        <v>316289</v>
      </c>
      <c r="K15" s="1711">
        <v>310412</v>
      </c>
      <c r="L15" s="1725">
        <f>J15-K15</f>
        <v>5877</v>
      </c>
      <c r="M15" s="1712">
        <v>44191</v>
      </c>
      <c r="N15" s="1711">
        <v>405272</v>
      </c>
      <c r="O15" s="1728">
        <f>M15-N15</f>
        <v>-361081</v>
      </c>
      <c r="P15" s="1712">
        <v>38852</v>
      </c>
      <c r="Q15" s="1712">
        <v>38852</v>
      </c>
      <c r="R15" s="1720">
        <f>P15-Q15</f>
        <v>0</v>
      </c>
      <c r="S15" s="2319">
        <f>R15+O15+L15</f>
        <v>-355204</v>
      </c>
      <c r="T15" s="2318"/>
    </row>
    <row r="16" spans="2:20" x14ac:dyDescent="0.25">
      <c r="B16" s="1578" t="s">
        <v>856</v>
      </c>
      <c r="C16" s="1579">
        <v>72.13</v>
      </c>
      <c r="D16" s="1579">
        <v>850</v>
      </c>
      <c r="E16" s="1580">
        <f t="shared" si="0"/>
        <v>61.31049999999999</v>
      </c>
      <c r="F16" s="1951">
        <v>55</v>
      </c>
      <c r="G16" s="1582">
        <f>(F16*E16/100)*1000</f>
        <v>33720.774999999994</v>
      </c>
      <c r="H16" s="1637"/>
      <c r="I16" s="822">
        <v>45819</v>
      </c>
      <c r="J16" s="1711">
        <v>310412</v>
      </c>
      <c r="K16" s="1711">
        <v>316896</v>
      </c>
      <c r="L16" s="1725">
        <f>J16-K16</f>
        <v>-6484</v>
      </c>
      <c r="M16" s="1708"/>
      <c r="N16" s="1708"/>
      <c r="O16" s="1726"/>
      <c r="P16" s="1708"/>
      <c r="Q16" s="1708"/>
      <c r="R16" s="1578"/>
      <c r="S16" s="2317"/>
      <c r="T16" s="2318"/>
    </row>
    <row r="17" spans="2:22" x14ac:dyDescent="0.25">
      <c r="B17" s="1578" t="s">
        <v>857</v>
      </c>
      <c r="C17" s="1579">
        <v>4.28</v>
      </c>
      <c r="D17" s="1579">
        <v>860</v>
      </c>
      <c r="E17" s="1580">
        <f t="shared" si="0"/>
        <v>3.6808000000000001</v>
      </c>
      <c r="F17" s="1951">
        <v>50</v>
      </c>
      <c r="G17" s="1582">
        <f t="shared" ref="G17:G23" si="2">(F17*E17/100)*1000</f>
        <v>1840.3999999999999</v>
      </c>
      <c r="H17" s="1637"/>
      <c r="I17" s="822">
        <v>45820</v>
      </c>
      <c r="J17" s="1711">
        <v>316896</v>
      </c>
      <c r="K17" s="1711">
        <v>303575</v>
      </c>
      <c r="L17" s="1725">
        <f t="shared" ref="L17:L29" si="3">J17-K17</f>
        <v>13321</v>
      </c>
      <c r="M17" s="1708"/>
      <c r="N17" s="1708"/>
      <c r="O17" s="1726"/>
      <c r="P17" s="1708"/>
      <c r="Q17" s="1708"/>
      <c r="R17" s="1578"/>
      <c r="S17" s="2317"/>
      <c r="T17" s="2318"/>
    </row>
    <row r="18" spans="2:22" x14ac:dyDescent="0.25">
      <c r="B18" s="1578" t="s">
        <v>858</v>
      </c>
      <c r="C18" s="1579">
        <v>10</v>
      </c>
      <c r="D18" s="1579">
        <v>810</v>
      </c>
      <c r="E18" s="1580">
        <f t="shared" si="0"/>
        <v>8.1</v>
      </c>
      <c r="F18" s="1951">
        <v>100</v>
      </c>
      <c r="G18" s="1582">
        <f t="shared" si="2"/>
        <v>8100</v>
      </c>
      <c r="H18" s="1637"/>
      <c r="I18" s="822">
        <v>45821</v>
      </c>
      <c r="J18" s="1711">
        <v>326546</v>
      </c>
      <c r="K18" s="1711">
        <v>307265</v>
      </c>
      <c r="L18" s="1725">
        <f t="shared" si="3"/>
        <v>19281</v>
      </c>
      <c r="M18" s="1708"/>
      <c r="N18" s="1708"/>
      <c r="O18" s="1726"/>
      <c r="P18" s="1708"/>
      <c r="Q18" s="1708"/>
      <c r="R18" s="1578"/>
      <c r="S18" s="2317"/>
      <c r="T18" s="2318"/>
      <c r="U18" s="1637"/>
    </row>
    <row r="19" spans="2:22" x14ac:dyDescent="0.25">
      <c r="B19" s="1578" t="s">
        <v>859</v>
      </c>
      <c r="C19" s="1636">
        <v>21.8</v>
      </c>
      <c r="D19" s="1579">
        <v>800</v>
      </c>
      <c r="E19" s="1580">
        <f t="shared" si="0"/>
        <v>17.440000000000001</v>
      </c>
      <c r="F19" s="1951">
        <v>45</v>
      </c>
      <c r="G19" s="1582">
        <f t="shared" si="2"/>
        <v>7848.0000000000009</v>
      </c>
      <c r="H19" s="1637"/>
      <c r="I19" s="822">
        <v>45822</v>
      </c>
      <c r="J19" s="1711">
        <v>307265</v>
      </c>
      <c r="K19" s="1711">
        <v>317800</v>
      </c>
      <c r="L19" s="1950">
        <f>J19-K19</f>
        <v>-10535</v>
      </c>
      <c r="M19" s="1708"/>
      <c r="N19" s="1708"/>
      <c r="O19" s="1726"/>
      <c r="P19" s="1708"/>
      <c r="Q19" s="1708"/>
      <c r="R19" s="1578"/>
      <c r="S19" s="2317"/>
      <c r="T19" s="2318"/>
    </row>
    <row r="20" spans="2:22" x14ac:dyDescent="0.25">
      <c r="B20" s="1578" t="s">
        <v>860</v>
      </c>
      <c r="C20" s="1579">
        <v>10</v>
      </c>
      <c r="D20" s="1579">
        <v>810</v>
      </c>
      <c r="E20" s="1580">
        <f t="shared" si="0"/>
        <v>8.1</v>
      </c>
      <c r="F20" s="1951">
        <v>100</v>
      </c>
      <c r="G20" s="1582">
        <f t="shared" si="2"/>
        <v>8100</v>
      </c>
      <c r="H20" s="1637"/>
      <c r="I20" s="822">
        <v>45823</v>
      </c>
      <c r="J20" s="1711">
        <v>317800</v>
      </c>
      <c r="K20" s="1711">
        <v>303575</v>
      </c>
      <c r="L20" s="1950">
        <f>J20-K20</f>
        <v>14225</v>
      </c>
      <c r="M20" s="1708"/>
      <c r="N20" s="1708"/>
      <c r="O20" s="1726"/>
      <c r="P20" s="1708"/>
      <c r="Q20" s="1708"/>
      <c r="R20" s="1578"/>
      <c r="S20" s="2317"/>
      <c r="T20" s="2318"/>
    </row>
    <row r="21" spans="2:22" x14ac:dyDescent="0.25">
      <c r="B21" s="1578" t="s">
        <v>861</v>
      </c>
      <c r="C21" s="1636">
        <v>11.4</v>
      </c>
      <c r="D21" s="1579">
        <v>790</v>
      </c>
      <c r="E21" s="1580">
        <f t="shared" si="0"/>
        <v>9.0060000000000002</v>
      </c>
      <c r="F21" s="1951">
        <v>100</v>
      </c>
      <c r="G21" s="1582">
        <f t="shared" si="2"/>
        <v>9006</v>
      </c>
      <c r="H21" s="1637"/>
      <c r="I21" s="822">
        <v>45824</v>
      </c>
      <c r="J21" s="1711">
        <v>303575</v>
      </c>
      <c r="K21" s="1711">
        <v>319541</v>
      </c>
      <c r="L21" s="1950">
        <f>J21-K21</f>
        <v>-15966</v>
      </c>
      <c r="M21" s="1708"/>
      <c r="N21" s="1708"/>
      <c r="O21" s="1726"/>
      <c r="P21" s="1708"/>
      <c r="Q21" s="1708"/>
      <c r="R21" s="1578"/>
      <c r="S21" s="2317"/>
      <c r="T21" s="2318"/>
    </row>
    <row r="22" spans="2:22" x14ac:dyDescent="0.25">
      <c r="B22" s="1578" t="s">
        <v>862</v>
      </c>
      <c r="C22" s="1579">
        <v>14</v>
      </c>
      <c r="D22" s="1579">
        <v>790</v>
      </c>
      <c r="E22" s="1580">
        <f>C22*D22/1000</f>
        <v>11.06</v>
      </c>
      <c r="F22" s="1951">
        <v>35</v>
      </c>
      <c r="G22" s="1582">
        <f t="shared" si="2"/>
        <v>3871.0000000000005</v>
      </c>
      <c r="H22" s="1586"/>
      <c r="I22" s="822">
        <v>45825</v>
      </c>
      <c r="J22" s="1711">
        <v>319541</v>
      </c>
      <c r="K22" s="1711">
        <v>190797</v>
      </c>
      <c r="L22" s="1725">
        <f>J22-K22</f>
        <v>128744</v>
      </c>
      <c r="M22" s="1708"/>
      <c r="N22" s="1708"/>
      <c r="O22" s="1726"/>
      <c r="P22" s="1708"/>
      <c r="Q22" s="1708"/>
      <c r="R22" s="1578"/>
      <c r="S22" s="2317"/>
      <c r="T22" s="2318"/>
    </row>
    <row r="23" spans="2:22" x14ac:dyDescent="0.25">
      <c r="B23" s="1578" t="s">
        <v>863</v>
      </c>
      <c r="C23" s="1636">
        <v>149.76</v>
      </c>
      <c r="D23" s="1579">
        <v>790</v>
      </c>
      <c r="E23" s="1580">
        <f>C23*D23/1000</f>
        <v>118.31039999999999</v>
      </c>
      <c r="F23" s="1951">
        <v>100</v>
      </c>
      <c r="G23" s="1582">
        <f t="shared" si="2"/>
        <v>118310.39999999999</v>
      </c>
      <c r="H23" s="1587"/>
      <c r="I23" s="822">
        <v>45826</v>
      </c>
      <c r="J23" s="1711"/>
      <c r="K23" s="1711"/>
      <c r="L23" s="1725">
        <f t="shared" si="3"/>
        <v>0</v>
      </c>
      <c r="M23" s="1708"/>
      <c r="N23" s="1708"/>
      <c r="O23" s="1726"/>
      <c r="P23" s="1708"/>
      <c r="Q23" s="1708"/>
      <c r="R23" s="1578"/>
      <c r="S23" s="2317"/>
      <c r="T23" s="2318"/>
    </row>
    <row r="24" spans="2:22" x14ac:dyDescent="0.25">
      <c r="B24" s="1579"/>
      <c r="C24" s="1580">
        <f>SUM(C6:C23)</f>
        <v>490.45999999999992</v>
      </c>
      <c r="D24" s="1579"/>
      <c r="E24" s="1580">
        <f>SUM(E6:E23)</f>
        <v>404.53420000000006</v>
      </c>
      <c r="F24" s="1951"/>
      <c r="G24" s="1588"/>
      <c r="H24" s="1594"/>
      <c r="I24" s="822">
        <v>45827</v>
      </c>
      <c r="J24" s="1711"/>
      <c r="K24" s="1711"/>
      <c r="L24" s="1725">
        <f t="shared" si="3"/>
        <v>0</v>
      </c>
      <c r="M24" s="1708"/>
      <c r="N24" s="1708"/>
      <c r="O24" s="1726"/>
      <c r="P24" s="1708"/>
      <c r="Q24" s="1708"/>
      <c r="R24" s="1578"/>
      <c r="S24" s="2317"/>
      <c r="T24" s="2318"/>
    </row>
    <row r="25" spans="2:22" ht="15.75" x14ac:dyDescent="0.25">
      <c r="E25" s="1587"/>
      <c r="F25" s="1589" t="s">
        <v>864</v>
      </c>
      <c r="G25" s="1596">
        <f>SUM(G6:G24)</f>
        <v>190796.57499999998</v>
      </c>
      <c r="H25" s="1594"/>
      <c r="I25" s="822">
        <v>45828</v>
      </c>
      <c r="J25" s="1711"/>
      <c r="K25" s="1711"/>
      <c r="L25" s="1725">
        <f>J25-K25</f>
        <v>0</v>
      </c>
      <c r="M25" s="1708"/>
      <c r="N25" s="1708"/>
      <c r="O25" s="1726"/>
      <c r="P25" s="1708"/>
      <c r="Q25" s="1708"/>
      <c r="R25" s="1578"/>
      <c r="S25" s="2317"/>
      <c r="T25" s="2318"/>
    </row>
    <row r="26" spans="2:22" ht="15.75" x14ac:dyDescent="0.25">
      <c r="B26" s="1637"/>
      <c r="C26" s="1942"/>
      <c r="D26" s="1942"/>
      <c r="E26" s="1942"/>
      <c r="F26" s="1943"/>
      <c r="G26" s="1596"/>
      <c r="H26" s="1594"/>
      <c r="I26" s="822">
        <v>45829</v>
      </c>
      <c r="J26" s="1711"/>
      <c r="K26" s="1928"/>
      <c r="L26" s="1929">
        <f>J26-K26</f>
        <v>0</v>
      </c>
      <c r="M26" s="1708"/>
      <c r="N26" s="1708"/>
      <c r="O26" s="1726"/>
      <c r="P26" s="1708"/>
      <c r="Q26" s="1708"/>
      <c r="R26" s="1578"/>
      <c r="S26" s="2317"/>
      <c r="T26" s="2318"/>
      <c r="U26" s="1577">
        <f>L26+L25</f>
        <v>0</v>
      </c>
    </row>
    <row r="27" spans="2:22" x14ac:dyDescent="0.25">
      <c r="B27" s="1637"/>
      <c r="E27" s="1587"/>
      <c r="F27" s="1594"/>
      <c r="G27" s="1944"/>
      <c r="H27" s="1594"/>
      <c r="I27" s="822">
        <v>45830</v>
      </c>
      <c r="J27" s="1928"/>
      <c r="K27" s="1928"/>
      <c r="L27" s="1929">
        <f t="shared" si="3"/>
        <v>0</v>
      </c>
      <c r="M27" s="1708"/>
      <c r="N27" s="1708"/>
      <c r="O27" s="1726"/>
      <c r="P27" s="1708"/>
      <c r="Q27" s="1708"/>
      <c r="R27" s="1578"/>
      <c r="S27" s="2317"/>
      <c r="T27" s="2318"/>
    </row>
    <row r="28" spans="2:22" ht="15.75" x14ac:dyDescent="0.25">
      <c r="B28" s="1637"/>
      <c r="E28" s="1587"/>
      <c r="F28" s="1594"/>
      <c r="G28" s="1596"/>
      <c r="H28" s="1594"/>
      <c r="I28" s="822">
        <v>45831</v>
      </c>
      <c r="J28" s="1928"/>
      <c r="K28" s="1928"/>
      <c r="L28" s="1929">
        <f t="shared" si="3"/>
        <v>0</v>
      </c>
      <c r="M28" s="1708"/>
      <c r="N28" s="1708"/>
      <c r="O28" s="1726"/>
      <c r="P28" s="1708"/>
      <c r="Q28" s="1708"/>
      <c r="R28" s="1578"/>
      <c r="S28" s="2317"/>
      <c r="T28" s="2318"/>
    </row>
    <row r="29" spans="2:22" ht="15.75" x14ac:dyDescent="0.25">
      <c r="B29" s="1637"/>
      <c r="E29" s="1587"/>
      <c r="F29" s="1594"/>
      <c r="G29" s="1596"/>
      <c r="H29" s="1594"/>
      <c r="I29" s="822">
        <v>45832</v>
      </c>
      <c r="J29" s="1928"/>
      <c r="K29" s="1928"/>
      <c r="L29" s="1929">
        <f t="shared" si="3"/>
        <v>0</v>
      </c>
      <c r="M29" s="1708"/>
      <c r="N29" s="1708"/>
      <c r="O29" s="1726"/>
      <c r="P29" s="1708"/>
      <c r="Q29" s="1708"/>
      <c r="R29" s="1578"/>
      <c r="S29" s="2317"/>
      <c r="T29" s="2318"/>
      <c r="V29" s="1577"/>
    </row>
    <row r="30" spans="2:22" x14ac:dyDescent="0.25">
      <c r="B30" s="1574" t="s">
        <v>865</v>
      </c>
      <c r="H30" s="1587"/>
      <c r="I30" s="822">
        <v>45833</v>
      </c>
      <c r="J30" s="1928"/>
      <c r="K30" s="1928"/>
      <c r="L30" s="1929">
        <f>J30-K30</f>
        <v>0</v>
      </c>
      <c r="M30" s="1708"/>
      <c r="N30" s="1708"/>
      <c r="O30" s="1726"/>
      <c r="P30" s="1708"/>
      <c r="Q30" s="1708"/>
      <c r="R30" s="1578"/>
      <c r="S30" s="2317"/>
      <c r="T30" s="2318"/>
    </row>
    <row r="31" spans="2:22" x14ac:dyDescent="0.25">
      <c r="B31" s="1578" t="s">
        <v>866</v>
      </c>
      <c r="C31" s="1579">
        <f>5.3+0.78</f>
        <v>6.08</v>
      </c>
      <c r="D31" s="1579">
        <v>840</v>
      </c>
      <c r="E31" s="1580">
        <f>C31*D31/1000</f>
        <v>5.1071999999999997</v>
      </c>
      <c r="F31" s="1581">
        <v>0</v>
      </c>
      <c r="G31" s="1591">
        <f>F31*E31/100*1000</f>
        <v>0</v>
      </c>
      <c r="H31" s="1590">
        <v>0</v>
      </c>
      <c r="I31" s="822">
        <v>45834</v>
      </c>
      <c r="J31" s="1928"/>
      <c r="K31" s="1928"/>
      <c r="L31" s="1929"/>
      <c r="M31" s="1708"/>
      <c r="N31" s="1708"/>
      <c r="O31" s="1726"/>
      <c r="P31" s="1708"/>
      <c r="Q31" s="1708"/>
      <c r="R31" s="1578"/>
      <c r="S31" s="2317"/>
      <c r="T31" s="2318"/>
    </row>
    <row r="32" spans="2:22" x14ac:dyDescent="0.25">
      <c r="B32" s="1613"/>
      <c r="C32" s="1613"/>
      <c r="D32" s="1613"/>
      <c r="E32" s="1646"/>
      <c r="F32" s="1646"/>
      <c r="G32" s="1645"/>
      <c r="H32" s="1590"/>
      <c r="I32" s="822">
        <v>45835</v>
      </c>
      <c r="J32" s="1938"/>
      <c r="K32" s="1708"/>
      <c r="L32" s="1939"/>
      <c r="M32" s="1708"/>
      <c r="N32" s="1708"/>
      <c r="O32" s="1726"/>
      <c r="P32" s="1708"/>
      <c r="Q32" s="1708"/>
      <c r="R32" s="1578"/>
      <c r="S32" s="2317"/>
      <c r="T32" s="2318"/>
    </row>
    <row r="33" spans="2:20" x14ac:dyDescent="0.25">
      <c r="B33" s="1574" t="s">
        <v>867</v>
      </c>
      <c r="F33" s="1646"/>
      <c r="G33" s="1645"/>
      <c r="H33" s="1590"/>
      <c r="I33" s="822">
        <v>45836</v>
      </c>
      <c r="J33" s="1938"/>
      <c r="K33" s="1708"/>
      <c r="L33" s="1939"/>
      <c r="M33" s="1708"/>
      <c r="N33" s="1708"/>
      <c r="O33" s="1726"/>
      <c r="P33" s="1708"/>
      <c r="Q33" s="1708"/>
      <c r="R33" s="1578"/>
      <c r="S33" s="2317"/>
      <c r="T33" s="2318"/>
    </row>
    <row r="34" spans="2:20" x14ac:dyDescent="0.25">
      <c r="B34" s="1579"/>
      <c r="C34" s="1592" t="s">
        <v>868</v>
      </c>
      <c r="D34" s="1592" t="s">
        <v>869</v>
      </c>
      <c r="E34" s="1579" t="s">
        <v>797</v>
      </c>
      <c r="F34" s="1646"/>
      <c r="G34" s="1645"/>
      <c r="H34" s="1590"/>
      <c r="I34" s="822">
        <v>45837</v>
      </c>
      <c r="J34" s="1938"/>
      <c r="K34" s="1708"/>
      <c r="L34" s="1939"/>
      <c r="M34" s="1708"/>
      <c r="N34" s="1708"/>
      <c r="O34" s="1726"/>
      <c r="P34" s="1708"/>
      <c r="Q34" s="1708"/>
      <c r="R34" s="1578"/>
      <c r="S34" s="2317"/>
      <c r="T34" s="2318"/>
    </row>
    <row r="35" spans="2:20" x14ac:dyDescent="0.25">
      <c r="B35" s="1579" t="s">
        <v>870</v>
      </c>
      <c r="C35" s="1593"/>
      <c r="D35" s="1593"/>
      <c r="E35" s="1593"/>
      <c r="F35" s="1613"/>
      <c r="I35" s="822">
        <v>45838</v>
      </c>
      <c r="J35" s="1938"/>
      <c r="K35" s="1708"/>
      <c r="L35" s="1939"/>
      <c r="M35" s="1708"/>
      <c r="N35" s="1708"/>
      <c r="O35" s="1726"/>
      <c r="P35" s="1708"/>
      <c r="Q35" s="1708"/>
      <c r="R35" s="1578"/>
      <c r="S35" s="2317"/>
      <c r="T35" s="2318"/>
    </row>
    <row r="36" spans="2:20" x14ac:dyDescent="0.25">
      <c r="B36" s="1647" t="s">
        <v>955</v>
      </c>
      <c r="C36" s="1593"/>
      <c r="D36" s="1593"/>
      <c r="E36" s="1593"/>
      <c r="F36" s="1613"/>
      <c r="I36" s="1648"/>
      <c r="J36" s="2008"/>
      <c r="K36" s="1867"/>
      <c r="L36" s="1867"/>
      <c r="M36" s="1753"/>
      <c r="N36" s="1753"/>
      <c r="O36" s="1754"/>
      <c r="P36" s="1753"/>
      <c r="Q36" s="1753"/>
      <c r="R36" s="1755"/>
      <c r="S36" s="1752"/>
      <c r="T36" s="1752"/>
    </row>
    <row r="37" spans="2:20" x14ac:dyDescent="0.25">
      <c r="B37" s="1647" t="s">
        <v>956</v>
      </c>
      <c r="C37" s="1593"/>
      <c r="D37" s="1593"/>
      <c r="E37" s="1593"/>
      <c r="F37" s="1613"/>
      <c r="I37" s="1649"/>
      <c r="J37" s="1753"/>
      <c r="K37" s="1753"/>
      <c r="M37" s="1753"/>
      <c r="N37" s="1753"/>
      <c r="O37" s="1754"/>
      <c r="P37" s="1753"/>
      <c r="Q37" s="1753"/>
      <c r="R37" s="1755"/>
      <c r="S37" s="1752"/>
      <c r="T37" s="1752"/>
    </row>
    <row r="38" spans="2:20" x14ac:dyDescent="0.25">
      <c r="B38" s="1579" t="s">
        <v>871</v>
      </c>
      <c r="C38" s="1593"/>
      <c r="D38" s="1593"/>
      <c r="E38" s="1593"/>
      <c r="I38" s="1649"/>
    </row>
    <row r="39" spans="2:20" x14ac:dyDescent="0.25">
      <c r="B39" s="1579" t="s">
        <v>598</v>
      </c>
      <c r="C39" s="1579"/>
      <c r="D39" s="1579"/>
      <c r="E39" s="1579"/>
      <c r="I39" s="1649"/>
    </row>
    <row r="40" spans="2:20" x14ac:dyDescent="0.25">
      <c r="B40" s="1579" t="s">
        <v>872</v>
      </c>
      <c r="C40" s="1579"/>
      <c r="D40" s="1579"/>
      <c r="E40" s="1579"/>
      <c r="I40" s="1649"/>
    </row>
    <row r="41" spans="2:20" x14ac:dyDescent="0.25">
      <c r="B41" s="1579"/>
      <c r="C41" s="1593"/>
      <c r="D41" s="1593"/>
      <c r="E41" s="1593"/>
      <c r="I41" s="1649"/>
    </row>
    <row r="42" spans="2:20" x14ac:dyDescent="0.25">
      <c r="B42" s="1579"/>
      <c r="C42" s="1579"/>
      <c r="D42" s="1579"/>
      <c r="E42" s="1579"/>
      <c r="I42" s="1649"/>
    </row>
    <row r="43" spans="2:20" x14ac:dyDescent="0.25">
      <c r="B43" s="1579"/>
      <c r="C43" s="1579"/>
      <c r="D43" s="1579"/>
      <c r="E43" s="1579"/>
      <c r="I43" s="1649"/>
    </row>
    <row r="44" spans="2:20" x14ac:dyDescent="0.25">
      <c r="I44" s="1649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Y44"/>
  <sheetViews>
    <sheetView topLeftCell="D10" zoomScale="85" zoomScaleNormal="85" workbookViewId="0">
      <selection activeCell="V24" sqref="V24"/>
    </sheetView>
  </sheetViews>
  <sheetFormatPr defaultColWidth="12.5703125" defaultRowHeight="15" x14ac:dyDescent="0.25"/>
  <cols>
    <col min="1" max="1" width="16.5703125" style="1574" customWidth="1"/>
    <col min="2" max="2" width="16.42578125" style="1574" customWidth="1"/>
    <col min="3" max="4" width="12.5703125" style="1574"/>
    <col min="5" max="5" width="14.42578125" style="1574" customWidth="1"/>
    <col min="6" max="6" width="15.42578125" style="1574" customWidth="1"/>
    <col min="7" max="7" width="15.42578125" style="1574" bestFit="1" customWidth="1"/>
    <col min="8" max="8" width="26" style="1574" customWidth="1"/>
    <col min="9" max="9" width="18.85546875" style="1574" bestFit="1" customWidth="1"/>
    <col min="10" max="10" width="9.42578125" style="1574" customWidth="1"/>
    <col min="11" max="11" width="9.5703125" style="1574" customWidth="1"/>
    <col min="12" max="12" width="11.5703125" style="1574" hidden="1" customWidth="1"/>
    <col min="13" max="13" width="10.5703125" style="1574" customWidth="1"/>
    <col min="14" max="14" width="10.85546875" style="1574" customWidth="1"/>
    <col min="15" max="15" width="11" style="1574" hidden="1" customWidth="1"/>
    <col min="16" max="16" width="9.42578125" style="1574" customWidth="1"/>
    <col min="17" max="17" width="11.140625" style="1574" customWidth="1"/>
    <col min="18" max="18" width="0.140625" style="1574" customWidth="1"/>
    <col min="19" max="20" width="9.42578125" style="1574" customWidth="1"/>
    <col min="21" max="21" width="9.5703125" style="1574" customWidth="1"/>
    <col min="22" max="22" width="9.5703125" style="1574" bestFit="1" customWidth="1"/>
    <col min="23" max="23" width="9.5703125" style="1574" customWidth="1"/>
    <col min="24" max="16384" width="12.5703125" style="1574"/>
  </cols>
  <sheetData>
    <row r="1" spans="1:25" ht="15" customHeight="1" x14ac:dyDescent="0.25">
      <c r="E1" s="2322"/>
      <c r="F1" s="2322"/>
      <c r="G1" s="2322"/>
    </row>
    <row r="2" spans="1:25" ht="15" customHeight="1" x14ac:dyDescent="0.25">
      <c r="E2" s="2322"/>
      <c r="F2" s="2322"/>
      <c r="G2" s="2322"/>
    </row>
    <row r="4" spans="1:25" ht="18.75" x14ac:dyDescent="0.3">
      <c r="A4" s="1574" t="s">
        <v>873</v>
      </c>
      <c r="I4" s="2323" t="s">
        <v>950</v>
      </c>
      <c r="J4" s="2324"/>
      <c r="K4" s="2324"/>
      <c r="L4" s="2324"/>
      <c r="M4" s="2324"/>
      <c r="N4" s="2324"/>
      <c r="O4" s="2324"/>
      <c r="P4" s="2324"/>
      <c r="Q4" s="2324"/>
      <c r="R4" s="2325"/>
      <c r="S4" s="2326" t="s">
        <v>951</v>
      </c>
      <c r="T4" s="2326"/>
      <c r="U4" s="2326"/>
      <c r="V4" s="2326"/>
      <c r="W4" s="2320" t="s">
        <v>1069</v>
      </c>
    </row>
    <row r="5" spans="1:25" ht="15.75" x14ac:dyDescent="0.25">
      <c r="A5" s="1637" t="s">
        <v>1059</v>
      </c>
      <c r="I5" s="2329" t="s">
        <v>949</v>
      </c>
      <c r="J5" s="2330"/>
      <c r="K5" s="2330"/>
      <c r="L5" s="2331"/>
      <c r="M5" s="2332" t="s">
        <v>936</v>
      </c>
      <c r="N5" s="2333"/>
      <c r="O5" s="2334"/>
      <c r="P5" s="2335" t="s">
        <v>73</v>
      </c>
      <c r="Q5" s="2335"/>
      <c r="R5" s="2335"/>
      <c r="S5" s="2327" t="s">
        <v>940</v>
      </c>
      <c r="T5" s="2327"/>
      <c r="U5" s="2327" t="s">
        <v>941</v>
      </c>
      <c r="V5" s="2327"/>
      <c r="W5" s="2321"/>
    </row>
    <row r="6" spans="1:25" ht="165" x14ac:dyDescent="0.25">
      <c r="A6" s="1599" t="s">
        <v>840</v>
      </c>
      <c r="B6" s="1598" t="s">
        <v>841</v>
      </c>
      <c r="C6" s="1598" t="s">
        <v>842</v>
      </c>
      <c r="D6" s="1599" t="s">
        <v>843</v>
      </c>
      <c r="E6" s="1598" t="s">
        <v>874</v>
      </c>
      <c r="F6" s="1600" t="s">
        <v>875</v>
      </c>
      <c r="G6" s="1599" t="s">
        <v>14</v>
      </c>
      <c r="I6" s="1714" t="s">
        <v>169</v>
      </c>
      <c r="J6" s="1715" t="s">
        <v>170</v>
      </c>
      <c r="K6" s="1715" t="s">
        <v>171</v>
      </c>
      <c r="L6" s="1715" t="s">
        <v>939</v>
      </c>
      <c r="M6" s="1716" t="s">
        <v>170</v>
      </c>
      <c r="N6" s="1716" t="s">
        <v>171</v>
      </c>
      <c r="O6" s="1716" t="s">
        <v>939</v>
      </c>
      <c r="P6" s="1717" t="s">
        <v>170</v>
      </c>
      <c r="Q6" s="1717" t="s">
        <v>171</v>
      </c>
      <c r="R6" s="1733" t="s">
        <v>939</v>
      </c>
      <c r="S6" s="1945" t="s">
        <v>170</v>
      </c>
      <c r="T6" s="1945" t="s">
        <v>938</v>
      </c>
      <c r="U6" s="1946" t="s">
        <v>170</v>
      </c>
      <c r="V6" s="1946" t="s">
        <v>938</v>
      </c>
      <c r="W6" s="1946"/>
    </row>
    <row r="7" spans="1:25" x14ac:dyDescent="0.25">
      <c r="A7" s="1578" t="s">
        <v>876</v>
      </c>
      <c r="B7" s="1580">
        <v>70.510000000000005</v>
      </c>
      <c r="C7" s="1601">
        <v>890</v>
      </c>
      <c r="D7" s="1580">
        <v>60</v>
      </c>
      <c r="E7" s="1602">
        <f>D7/100</f>
        <v>0.6</v>
      </c>
      <c r="F7" s="2026"/>
      <c r="G7" s="1603">
        <f>E7*F7*1000</f>
        <v>0</v>
      </c>
      <c r="H7" s="1574" t="s">
        <v>216</v>
      </c>
      <c r="I7" s="822">
        <v>45809</v>
      </c>
      <c r="J7" s="1579"/>
      <c r="K7" s="1579"/>
      <c r="L7" s="1721"/>
      <c r="M7" s="1579"/>
      <c r="N7" s="1579"/>
      <c r="O7" s="1578"/>
      <c r="P7" s="1579"/>
      <c r="Q7" s="1579"/>
      <c r="R7" s="1718"/>
      <c r="S7" s="1708"/>
      <c r="T7" s="1708"/>
      <c r="U7" s="1708"/>
      <c r="V7" s="1708"/>
      <c r="W7" s="1708"/>
    </row>
    <row r="8" spans="1:25" x14ac:dyDescent="0.25">
      <c r="A8" s="1578" t="s">
        <v>877</v>
      </c>
      <c r="B8" s="1580">
        <v>70.510000000000005</v>
      </c>
      <c r="C8" s="1601">
        <v>890</v>
      </c>
      <c r="D8" s="1580">
        <v>60</v>
      </c>
      <c r="E8" s="1602">
        <f t="shared" ref="E8:E21" si="0">D8/100</f>
        <v>0.6</v>
      </c>
      <c r="F8" s="2026"/>
      <c r="G8" s="1603">
        <f t="shared" ref="G8:G21" si="1">E8*F8*1000</f>
        <v>0</v>
      </c>
      <c r="H8" s="1604"/>
      <c r="I8" s="822">
        <v>45810</v>
      </c>
      <c r="J8" s="1579"/>
      <c r="K8" s="1579"/>
      <c r="L8" s="1721"/>
      <c r="M8" s="1579"/>
      <c r="N8" s="1579"/>
      <c r="O8" s="1578"/>
      <c r="P8" s="1579"/>
      <c r="Q8" s="1579"/>
      <c r="R8" s="1718"/>
      <c r="S8" s="1708"/>
      <c r="T8" s="1708"/>
      <c r="U8" s="1708"/>
      <c r="V8" s="1708"/>
      <c r="W8" s="1708"/>
    </row>
    <row r="9" spans="1:25" x14ac:dyDescent="0.25">
      <c r="A9" s="1578" t="s">
        <v>878</v>
      </c>
      <c r="B9" s="1580">
        <v>70.510000000000005</v>
      </c>
      <c r="C9" s="1601">
        <v>890</v>
      </c>
      <c r="D9" s="1580">
        <v>60</v>
      </c>
      <c r="E9" s="1602">
        <f t="shared" si="0"/>
        <v>0.6</v>
      </c>
      <c r="F9" s="2026"/>
      <c r="G9" s="1603">
        <f t="shared" si="1"/>
        <v>0</v>
      </c>
      <c r="I9" s="822">
        <v>45811</v>
      </c>
      <c r="J9" s="1579"/>
      <c r="K9" s="1579"/>
      <c r="L9" s="1721"/>
      <c r="M9" s="1579"/>
      <c r="N9" s="1579"/>
      <c r="O9" s="1578"/>
      <c r="P9" s="1579"/>
      <c r="Q9" s="1579"/>
      <c r="R9" s="1718"/>
      <c r="S9" s="1708"/>
      <c r="T9" s="1708"/>
      <c r="U9" s="1708"/>
      <c r="V9" s="1708"/>
      <c r="W9" s="1708"/>
    </row>
    <row r="10" spans="1:25" x14ac:dyDescent="0.25">
      <c r="A10" s="1578" t="s">
        <v>879</v>
      </c>
      <c r="B10" s="1580">
        <v>70.510000000000005</v>
      </c>
      <c r="C10" s="1601">
        <v>890</v>
      </c>
      <c r="D10" s="1580">
        <v>60</v>
      </c>
      <c r="E10" s="1602">
        <f t="shared" si="0"/>
        <v>0.6</v>
      </c>
      <c r="F10" s="2026"/>
      <c r="G10" s="1603">
        <f t="shared" si="1"/>
        <v>0</v>
      </c>
      <c r="I10" s="822">
        <v>45812</v>
      </c>
      <c r="J10" s="1579"/>
      <c r="K10" s="1579"/>
      <c r="L10" s="1721"/>
      <c r="M10" s="1579"/>
      <c r="N10" s="1579"/>
      <c r="O10" s="1578"/>
      <c r="P10" s="1579"/>
      <c r="Q10" s="1579"/>
      <c r="R10" s="1718"/>
      <c r="S10" s="1709"/>
      <c r="T10" s="1709"/>
      <c r="U10" s="1709"/>
      <c r="V10" s="1708"/>
      <c r="W10" s="1708"/>
    </row>
    <row r="11" spans="1:25" x14ac:dyDescent="0.25">
      <c r="A11" s="1578" t="s">
        <v>880</v>
      </c>
      <c r="B11" s="1580">
        <v>70.510000000000005</v>
      </c>
      <c r="C11" s="1601">
        <v>890</v>
      </c>
      <c r="D11" s="1580">
        <v>60</v>
      </c>
      <c r="E11" s="1602">
        <f t="shared" si="0"/>
        <v>0.6</v>
      </c>
      <c r="F11" s="2026"/>
      <c r="G11" s="1603">
        <f t="shared" si="1"/>
        <v>0</v>
      </c>
      <c r="I11" s="822">
        <v>45813</v>
      </c>
      <c r="J11" s="1579"/>
      <c r="K11" s="1579"/>
      <c r="L11" s="1721"/>
      <c r="M11" s="1579"/>
      <c r="N11" s="1579"/>
      <c r="O11" s="1578"/>
      <c r="P11" s="1579"/>
      <c r="Q11" s="1579"/>
      <c r="R11" s="1718"/>
      <c r="S11" s="1708"/>
      <c r="T11" s="1708"/>
      <c r="U11" s="1708"/>
      <c r="V11" s="1708"/>
      <c r="W11" s="1708"/>
    </row>
    <row r="12" spans="1:25" x14ac:dyDescent="0.25">
      <c r="A12" s="1578" t="s">
        <v>881</v>
      </c>
      <c r="B12" s="1580">
        <v>70.510000000000005</v>
      </c>
      <c r="C12" s="1601">
        <v>890</v>
      </c>
      <c r="D12" s="1580">
        <v>60</v>
      </c>
      <c r="E12" s="1602">
        <f t="shared" si="0"/>
        <v>0.6</v>
      </c>
      <c r="F12" s="2026"/>
      <c r="G12" s="1603">
        <f>E12*F12*1000</f>
        <v>0</v>
      </c>
      <c r="I12" s="822">
        <v>45814</v>
      </c>
      <c r="J12" s="1579"/>
      <c r="K12" s="1579"/>
      <c r="L12" s="1721"/>
      <c r="M12" s="1579"/>
      <c r="N12" s="1579"/>
      <c r="O12" s="1578"/>
      <c r="P12" s="1579"/>
      <c r="Q12" s="1579"/>
      <c r="R12" s="1718"/>
      <c r="S12" s="1710"/>
      <c r="T12" s="1710"/>
      <c r="U12" s="1710"/>
      <c r="V12" s="1708"/>
      <c r="W12" s="1708"/>
    </row>
    <row r="13" spans="1:25" x14ac:dyDescent="0.25">
      <c r="A13" s="1578" t="s">
        <v>882</v>
      </c>
      <c r="B13" s="1580">
        <v>70.510000000000005</v>
      </c>
      <c r="C13" s="1601">
        <v>890</v>
      </c>
      <c r="D13" s="1580">
        <v>60</v>
      </c>
      <c r="E13" s="1602">
        <f t="shared" si="0"/>
        <v>0.6</v>
      </c>
      <c r="F13" s="2026"/>
      <c r="G13" s="1603">
        <f t="shared" si="1"/>
        <v>0</v>
      </c>
      <c r="H13" s="1605"/>
      <c r="I13" s="822">
        <v>45815</v>
      </c>
      <c r="J13" s="1579"/>
      <c r="K13" s="1579"/>
      <c r="L13" s="1721"/>
      <c r="M13" s="1579"/>
      <c r="N13" s="1579"/>
      <c r="O13" s="1578"/>
      <c r="P13" s="1579"/>
      <c r="Q13" s="1579"/>
      <c r="R13" s="1718"/>
      <c r="S13" s="1711"/>
      <c r="T13" s="1711"/>
      <c r="U13" s="1711"/>
      <c r="V13" s="1708"/>
      <c r="W13" s="1708"/>
    </row>
    <row r="14" spans="1:25" x14ac:dyDescent="0.25">
      <c r="A14" s="1578" t="s">
        <v>883</v>
      </c>
      <c r="B14" s="1580">
        <v>70.510000000000005</v>
      </c>
      <c r="C14" s="1601">
        <v>890</v>
      </c>
      <c r="D14" s="1580">
        <v>60</v>
      </c>
      <c r="E14" s="1602">
        <f t="shared" si="0"/>
        <v>0.6</v>
      </c>
      <c r="F14" s="2026"/>
      <c r="G14" s="1603">
        <f t="shared" si="1"/>
        <v>0</v>
      </c>
      <c r="I14" s="822">
        <v>45816</v>
      </c>
      <c r="J14" s="1638">
        <v>360000</v>
      </c>
      <c r="K14" s="1638">
        <v>645180</v>
      </c>
      <c r="L14" s="1722">
        <f t="shared" ref="L14:L22" si="2">J14-K14</f>
        <v>-285180</v>
      </c>
      <c r="M14" s="1638">
        <v>26305</v>
      </c>
      <c r="N14" s="1638">
        <v>56600</v>
      </c>
      <c r="O14" s="1720"/>
      <c r="P14" s="1952">
        <v>0</v>
      </c>
      <c r="Q14" s="1952">
        <v>0</v>
      </c>
      <c r="R14" s="1718"/>
      <c r="S14" s="1927">
        <v>34872</v>
      </c>
      <c r="T14" s="1958">
        <v>34865</v>
      </c>
      <c r="U14" s="1711">
        <v>287331</v>
      </c>
      <c r="V14" s="1711">
        <v>52290</v>
      </c>
      <c r="W14" s="1711">
        <v>30000</v>
      </c>
    </row>
    <row r="15" spans="1:25" ht="14.85" customHeight="1" x14ac:dyDescent="0.25">
      <c r="A15" s="1578" t="s">
        <v>884</v>
      </c>
      <c r="B15" s="1580">
        <v>70.510000000000005</v>
      </c>
      <c r="C15" s="1601">
        <v>890</v>
      </c>
      <c r="D15" s="1580">
        <v>60</v>
      </c>
      <c r="E15" s="1602">
        <f t="shared" si="0"/>
        <v>0.6</v>
      </c>
      <c r="F15" s="2026"/>
      <c r="G15" s="1603">
        <f t="shared" si="1"/>
        <v>0</v>
      </c>
      <c r="I15" s="822">
        <v>45817</v>
      </c>
      <c r="J15" s="1638">
        <v>645180</v>
      </c>
      <c r="K15" s="1638">
        <v>598560</v>
      </c>
      <c r="L15" s="1722">
        <f t="shared" si="2"/>
        <v>46620</v>
      </c>
      <c r="M15" s="1638">
        <v>56600</v>
      </c>
      <c r="N15" s="1638">
        <v>20315</v>
      </c>
      <c r="O15" s="1720"/>
      <c r="P15" s="1579">
        <v>0</v>
      </c>
      <c r="Q15" s="1638">
        <v>0</v>
      </c>
      <c r="R15" s="1718">
        <v>0</v>
      </c>
      <c r="S15" s="1958">
        <v>34865</v>
      </c>
      <c r="T15" s="1712">
        <f>105375+W15</f>
        <v>195375</v>
      </c>
      <c r="U15" s="1711">
        <v>52290</v>
      </c>
      <c r="V15" s="1711">
        <v>53075</v>
      </c>
      <c r="W15" s="1711">
        <v>90000</v>
      </c>
      <c r="Y15" s="1577"/>
    </row>
    <row r="16" spans="1:25" ht="14.85" customHeight="1" x14ac:dyDescent="0.25">
      <c r="A16" s="1578" t="s">
        <v>885</v>
      </c>
      <c r="B16" s="1580">
        <v>70.510000000000005</v>
      </c>
      <c r="C16" s="1601">
        <v>890</v>
      </c>
      <c r="D16" s="1580">
        <v>60</v>
      </c>
      <c r="E16" s="1602">
        <f t="shared" si="0"/>
        <v>0.6</v>
      </c>
      <c r="F16" s="2026"/>
      <c r="G16" s="1603">
        <f t="shared" si="1"/>
        <v>0</v>
      </c>
      <c r="H16" s="1577"/>
      <c r="I16" s="822">
        <v>45818</v>
      </c>
      <c r="J16" s="1638">
        <v>598560</v>
      </c>
      <c r="K16" s="1638">
        <v>720000</v>
      </c>
      <c r="L16" s="1722">
        <f t="shared" si="2"/>
        <v>-121440</v>
      </c>
      <c r="M16" s="1638">
        <v>20315</v>
      </c>
      <c r="N16" s="1638">
        <v>23293</v>
      </c>
      <c r="O16" s="1720">
        <f t="shared" ref="O16:O23" si="3">M16-N16</f>
        <v>-2978</v>
      </c>
      <c r="P16" s="1638">
        <v>0</v>
      </c>
      <c r="Q16" s="1638">
        <v>6568</v>
      </c>
      <c r="R16" s="1719">
        <f t="shared" ref="R16:R25" si="4">P16-Q16</f>
        <v>-6568</v>
      </c>
      <c r="S16" s="1712">
        <v>105375</v>
      </c>
      <c r="T16" s="1711">
        <f>296343+W16</f>
        <v>316343</v>
      </c>
      <c r="U16" s="1712">
        <v>53075</v>
      </c>
      <c r="V16" s="1712">
        <v>53075</v>
      </c>
      <c r="W16" s="1712">
        <v>20000</v>
      </c>
    </row>
    <row r="17" spans="1:24" x14ac:dyDescent="0.25">
      <c r="A17" s="1578" t="s">
        <v>886</v>
      </c>
      <c r="B17" s="1580">
        <v>70.510000000000005</v>
      </c>
      <c r="C17" s="1601">
        <v>890</v>
      </c>
      <c r="D17" s="1580">
        <v>60</v>
      </c>
      <c r="E17" s="1602">
        <f t="shared" si="0"/>
        <v>0.6</v>
      </c>
      <c r="F17" s="2026"/>
      <c r="G17" s="1603">
        <f t="shared" si="1"/>
        <v>0</v>
      </c>
      <c r="I17" s="822">
        <v>45819</v>
      </c>
      <c r="J17" s="1638">
        <v>720000</v>
      </c>
      <c r="K17" s="1638">
        <v>600000</v>
      </c>
      <c r="L17" s="1722">
        <f t="shared" si="2"/>
        <v>120000</v>
      </c>
      <c r="M17" s="1638">
        <v>23293</v>
      </c>
      <c r="N17" s="2078">
        <v>23284.35</v>
      </c>
      <c r="O17" s="1720">
        <f t="shared" si="3"/>
        <v>8.6500000000014552</v>
      </c>
      <c r="P17" s="1638">
        <v>6568</v>
      </c>
      <c r="Q17" s="1577">
        <v>7139</v>
      </c>
      <c r="R17" s="1719">
        <f t="shared" si="4"/>
        <v>-571</v>
      </c>
      <c r="S17" s="1711">
        <v>296343</v>
      </c>
      <c r="T17" s="1711">
        <v>207866</v>
      </c>
      <c r="U17" s="1712">
        <v>53075</v>
      </c>
      <c r="V17" s="1712">
        <v>75063</v>
      </c>
      <c r="W17" s="1712">
        <v>60000</v>
      </c>
      <c r="X17" s="1577"/>
    </row>
    <row r="18" spans="1:24" x14ac:dyDescent="0.25">
      <c r="A18" s="1578" t="s">
        <v>887</v>
      </c>
      <c r="B18" s="1580">
        <v>70.510000000000005</v>
      </c>
      <c r="C18" s="1601">
        <v>890</v>
      </c>
      <c r="D18" s="1580">
        <v>60</v>
      </c>
      <c r="E18" s="1602">
        <f t="shared" si="0"/>
        <v>0.6</v>
      </c>
      <c r="F18" s="2026"/>
      <c r="G18" s="1603">
        <f t="shared" si="1"/>
        <v>0</v>
      </c>
      <c r="H18" s="1577"/>
      <c r="I18" s="822">
        <v>45820</v>
      </c>
      <c r="J18" s="1638">
        <v>600000</v>
      </c>
      <c r="K18" s="1638">
        <v>480000</v>
      </c>
      <c r="L18" s="1722">
        <f t="shared" si="2"/>
        <v>120000</v>
      </c>
      <c r="M18" s="1638">
        <v>23284</v>
      </c>
      <c r="N18" s="1638">
        <v>17184</v>
      </c>
      <c r="O18" s="1720">
        <f t="shared" si="3"/>
        <v>6100</v>
      </c>
      <c r="P18" s="1638">
        <v>7139</v>
      </c>
      <c r="Q18" s="1638">
        <v>5426</v>
      </c>
      <c r="R18" s="1719">
        <f t="shared" si="4"/>
        <v>1713</v>
      </c>
      <c r="S18" s="1711">
        <v>207866</v>
      </c>
      <c r="T18" s="2028">
        <v>175767</v>
      </c>
      <c r="U18" s="1712">
        <v>75063</v>
      </c>
      <c r="V18" s="2028">
        <v>97032</v>
      </c>
      <c r="W18" s="1711"/>
    </row>
    <row r="19" spans="1:24" x14ac:dyDescent="0.25">
      <c r="A19" s="1578" t="s">
        <v>888</v>
      </c>
      <c r="B19" s="1580">
        <v>70.510000000000005</v>
      </c>
      <c r="C19" s="1601">
        <v>890</v>
      </c>
      <c r="D19" s="1580">
        <v>60</v>
      </c>
      <c r="E19" s="1602">
        <f t="shared" si="0"/>
        <v>0.6</v>
      </c>
      <c r="F19" s="2026"/>
      <c r="G19" s="1603">
        <f t="shared" si="1"/>
        <v>0</v>
      </c>
      <c r="I19" s="822">
        <v>45821</v>
      </c>
      <c r="J19" s="1638">
        <v>480000</v>
      </c>
      <c r="K19" s="1952">
        <v>540000</v>
      </c>
      <c r="L19" s="1722">
        <f t="shared" si="2"/>
        <v>-60000</v>
      </c>
      <c r="M19" s="1638">
        <v>17184</v>
      </c>
      <c r="N19" s="1638">
        <v>11414</v>
      </c>
      <c r="O19" s="1720">
        <f t="shared" si="3"/>
        <v>5770</v>
      </c>
      <c r="P19" s="1638">
        <v>0</v>
      </c>
      <c r="Q19" s="1638">
        <v>0</v>
      </c>
      <c r="R19" s="1719">
        <f t="shared" si="4"/>
        <v>0</v>
      </c>
      <c r="S19" s="2028">
        <v>175767</v>
      </c>
      <c r="T19" s="2076">
        <v>200007</v>
      </c>
      <c r="U19" s="2028">
        <v>97032</v>
      </c>
      <c r="V19" s="2076">
        <v>115080</v>
      </c>
      <c r="W19" s="1711">
        <v>70000</v>
      </c>
    </row>
    <row r="20" spans="1:24" x14ac:dyDescent="0.25">
      <c r="A20" s="1578" t="s">
        <v>889</v>
      </c>
      <c r="B20" s="1580">
        <v>70.510000000000005</v>
      </c>
      <c r="C20" s="1601">
        <v>890</v>
      </c>
      <c r="D20" s="1580">
        <v>60</v>
      </c>
      <c r="E20" s="1602">
        <f t="shared" si="0"/>
        <v>0.6</v>
      </c>
      <c r="F20" s="2026"/>
      <c r="G20" s="1603">
        <f t="shared" si="1"/>
        <v>0</v>
      </c>
      <c r="I20" s="822">
        <v>45822</v>
      </c>
      <c r="J20" s="1952">
        <v>540000</v>
      </c>
      <c r="K20" s="1952">
        <v>333960</v>
      </c>
      <c r="L20" s="1953">
        <f t="shared" si="2"/>
        <v>206040</v>
      </c>
      <c r="M20" s="1952">
        <v>11414</v>
      </c>
      <c r="N20" s="1952">
        <v>43930</v>
      </c>
      <c r="O20" s="1954">
        <f t="shared" si="3"/>
        <v>-32516</v>
      </c>
      <c r="P20" s="1952">
        <v>0</v>
      </c>
      <c r="Q20" s="1952">
        <v>0</v>
      </c>
      <c r="R20" s="1955">
        <f t="shared" si="4"/>
        <v>0</v>
      </c>
      <c r="S20" s="2076">
        <v>200007</v>
      </c>
      <c r="T20" s="1711">
        <v>158440</v>
      </c>
      <c r="U20" s="2076">
        <v>115080</v>
      </c>
      <c r="V20" s="1711">
        <v>130221</v>
      </c>
      <c r="W20" s="1711">
        <v>8000</v>
      </c>
    </row>
    <row r="21" spans="1:24" x14ac:dyDescent="0.25">
      <c r="A21" s="1578" t="s">
        <v>890</v>
      </c>
      <c r="B21" s="1580">
        <v>70.510000000000005</v>
      </c>
      <c r="C21" s="1601">
        <v>890</v>
      </c>
      <c r="D21" s="1580">
        <v>60</v>
      </c>
      <c r="E21" s="1602">
        <f t="shared" si="0"/>
        <v>0.6</v>
      </c>
      <c r="F21" s="2026"/>
      <c r="G21" s="1603">
        <f t="shared" si="1"/>
        <v>0</v>
      </c>
      <c r="I21" s="822">
        <v>45823</v>
      </c>
      <c r="J21" s="1952">
        <v>333960</v>
      </c>
      <c r="K21" s="1952">
        <v>619320</v>
      </c>
      <c r="L21" s="1950">
        <f t="shared" si="2"/>
        <v>-285360</v>
      </c>
      <c r="M21" s="1952">
        <v>11324</v>
      </c>
      <c r="N21" s="1952">
        <v>11324</v>
      </c>
      <c r="O21" s="1954">
        <f t="shared" si="3"/>
        <v>0</v>
      </c>
      <c r="P21" s="1952">
        <v>0</v>
      </c>
      <c r="Q21" s="1952">
        <v>0</v>
      </c>
      <c r="R21" s="1955">
        <f t="shared" si="4"/>
        <v>0</v>
      </c>
      <c r="S21" s="1711">
        <v>158440</v>
      </c>
      <c r="T21" s="2077">
        <v>59863</v>
      </c>
      <c r="U21" s="1711">
        <v>130221</v>
      </c>
      <c r="V21" s="1711">
        <v>148827</v>
      </c>
      <c r="W21" s="1711">
        <v>15000</v>
      </c>
    </row>
    <row r="22" spans="1:24" x14ac:dyDescent="0.25">
      <c r="A22" s="1606"/>
      <c r="B22" s="1607"/>
      <c r="C22" s="1608"/>
      <c r="D22" s="1609"/>
      <c r="E22" s="1610"/>
      <c r="F22" s="2027"/>
      <c r="G22" s="1611"/>
      <c r="H22" s="1631"/>
      <c r="I22" s="822">
        <v>45824</v>
      </c>
      <c r="J22" s="1952">
        <v>619320</v>
      </c>
      <c r="K22" s="1952">
        <v>600000</v>
      </c>
      <c r="L22" s="1950">
        <f t="shared" si="2"/>
        <v>19320</v>
      </c>
      <c r="M22" s="1952">
        <v>11324</v>
      </c>
      <c r="N22" s="1952">
        <v>26705</v>
      </c>
      <c r="O22" s="1954">
        <f t="shared" si="3"/>
        <v>-15381</v>
      </c>
      <c r="P22" s="1952">
        <v>0</v>
      </c>
      <c r="Q22" s="1956">
        <v>0</v>
      </c>
      <c r="R22" s="1957">
        <f t="shared" si="4"/>
        <v>0</v>
      </c>
      <c r="S22" s="2077">
        <v>59863</v>
      </c>
      <c r="T22" s="2077">
        <v>34480</v>
      </c>
      <c r="U22" s="1711">
        <v>148827</v>
      </c>
      <c r="V22" s="1711">
        <v>165316</v>
      </c>
      <c r="W22" s="1711"/>
    </row>
    <row r="23" spans="1:24" x14ac:dyDescent="0.25">
      <c r="A23" s="1613"/>
      <c r="B23" s="1613"/>
      <c r="C23" s="1613"/>
      <c r="D23" s="1587"/>
      <c r="E23" s="1586"/>
      <c r="F23" s="1612" t="s">
        <v>891</v>
      </c>
      <c r="G23" s="1632">
        <f>SUM(G7:G21)</f>
        <v>0</v>
      </c>
      <c r="H23" s="1577"/>
      <c r="I23" s="822">
        <v>45825</v>
      </c>
      <c r="J23" s="1952">
        <v>600000</v>
      </c>
      <c r="K23" s="1638"/>
      <c r="L23" s="1721"/>
      <c r="M23" s="1952">
        <v>26705</v>
      </c>
      <c r="N23" s="1638">
        <v>23191</v>
      </c>
      <c r="O23" s="1578">
        <f t="shared" si="3"/>
        <v>3514</v>
      </c>
      <c r="P23" s="1956">
        <v>0</v>
      </c>
      <c r="Q23" s="1638">
        <v>0</v>
      </c>
      <c r="R23" s="1718">
        <f t="shared" si="4"/>
        <v>0</v>
      </c>
      <c r="S23" s="2077">
        <v>34480</v>
      </c>
      <c r="T23" s="1711">
        <v>34859</v>
      </c>
      <c r="U23" s="1711">
        <v>165316</v>
      </c>
      <c r="V23" s="1711">
        <v>78396</v>
      </c>
      <c r="W23" s="1711"/>
    </row>
    <row r="24" spans="1:24" x14ac:dyDescent="0.25">
      <c r="A24" s="1613"/>
      <c r="B24" s="1613"/>
      <c r="C24" s="1613"/>
      <c r="D24" s="1587"/>
      <c r="E24" s="1586"/>
      <c r="G24" s="1614"/>
      <c r="H24" s="1577"/>
      <c r="I24" s="822">
        <v>45826</v>
      </c>
      <c r="J24" s="1638"/>
      <c r="K24" s="1638"/>
      <c r="L24" s="1721"/>
      <c r="M24" s="1638"/>
      <c r="N24" s="1638"/>
      <c r="O24" s="1578"/>
      <c r="P24" s="1638"/>
      <c r="Q24" s="1952"/>
      <c r="R24" s="1718">
        <f t="shared" si="4"/>
        <v>0</v>
      </c>
      <c r="S24" s="1711">
        <v>34859</v>
      </c>
      <c r="T24" s="1711">
        <v>34859</v>
      </c>
      <c r="U24" s="1711">
        <v>78396</v>
      </c>
      <c r="V24" s="1711">
        <v>272307</v>
      </c>
      <c r="W24" s="1711"/>
      <c r="X24" s="1577">
        <f>V24-U24</f>
        <v>193911</v>
      </c>
    </row>
    <row r="25" spans="1:24" x14ac:dyDescent="0.25">
      <c r="A25" s="1574" t="s">
        <v>892</v>
      </c>
      <c r="D25" s="1587"/>
      <c r="E25" s="1586"/>
      <c r="G25" s="1614"/>
      <c r="I25" s="822">
        <v>45827</v>
      </c>
      <c r="J25" s="1638"/>
      <c r="K25" s="1638"/>
      <c r="L25" s="1721"/>
      <c r="M25" s="1638"/>
      <c r="N25" s="1638"/>
      <c r="O25" s="1578"/>
      <c r="P25" s="1952"/>
      <c r="Q25" s="1952"/>
      <c r="R25" s="1718">
        <f t="shared" si="4"/>
        <v>0</v>
      </c>
      <c r="S25" s="1711"/>
      <c r="T25" s="1711"/>
      <c r="U25" s="1711"/>
      <c r="V25" s="1711"/>
      <c r="W25" s="1711"/>
    </row>
    <row r="26" spans="1:24" ht="42.75" x14ac:dyDescent="0.25">
      <c r="A26" s="1599" t="s">
        <v>840</v>
      </c>
      <c r="B26" s="1598" t="s">
        <v>841</v>
      </c>
      <c r="C26" s="1598" t="s">
        <v>842</v>
      </c>
      <c r="D26" s="1599" t="s">
        <v>843</v>
      </c>
      <c r="E26" s="1598" t="s">
        <v>874</v>
      </c>
      <c r="F26" s="1615" t="s">
        <v>875</v>
      </c>
      <c r="G26" s="1599" t="s">
        <v>14</v>
      </c>
      <c r="I26" s="822">
        <v>45828</v>
      </c>
      <c r="J26" s="1638"/>
      <c r="K26" s="1959"/>
      <c r="L26" s="1924"/>
      <c r="M26" s="1638"/>
      <c r="N26" s="1638"/>
      <c r="O26" s="1925"/>
      <c r="P26" s="1952"/>
      <c r="Q26" s="1952"/>
      <c r="R26" s="1926"/>
      <c r="S26" s="1711"/>
      <c r="T26" s="1711"/>
      <c r="U26" s="1711"/>
      <c r="V26" s="1711"/>
      <c r="W26" s="1711"/>
      <c r="X26" s="1577"/>
    </row>
    <row r="27" spans="1:24" x14ac:dyDescent="0.25">
      <c r="A27" s="1639" t="s">
        <v>910</v>
      </c>
      <c r="B27" s="1579">
        <v>15.95</v>
      </c>
      <c r="C27" s="1579">
        <v>885</v>
      </c>
      <c r="D27" s="1580">
        <f>B27*C27/1000</f>
        <v>14.11575</v>
      </c>
      <c r="E27" s="1602">
        <f>D27/100</f>
        <v>0.14115749999999999</v>
      </c>
      <c r="F27" s="2082">
        <v>69.5</v>
      </c>
      <c r="G27" s="1603">
        <f>E27*F27*1000</f>
        <v>9810.4462500000009</v>
      </c>
      <c r="I27" s="822">
        <v>45829</v>
      </c>
      <c r="J27" s="1959"/>
      <c r="K27" s="1930"/>
      <c r="L27" s="1721"/>
      <c r="M27" s="1638"/>
      <c r="N27" s="1638"/>
      <c r="O27" s="1578"/>
      <c r="P27" s="1952"/>
      <c r="Q27" s="1952"/>
      <c r="R27" s="1718"/>
      <c r="S27" s="1958"/>
      <c r="T27" s="1927"/>
      <c r="U27" s="1711"/>
      <c r="V27" s="1711"/>
      <c r="W27" s="1711"/>
      <c r="X27" s="1577"/>
    </row>
    <row r="28" spans="1:24" x14ac:dyDescent="0.25">
      <c r="A28" s="1639" t="s">
        <v>905</v>
      </c>
      <c r="B28" s="1579">
        <v>3.02</v>
      </c>
      <c r="C28" s="1579">
        <v>885</v>
      </c>
      <c r="D28" s="1580">
        <f>B28*C28/1000</f>
        <v>2.6726999999999999</v>
      </c>
      <c r="E28" s="1602">
        <f>D28/100</f>
        <v>2.6726999999999997E-2</v>
      </c>
      <c r="F28" s="2082">
        <v>0</v>
      </c>
      <c r="G28" s="1603">
        <f>E28*F28*1000</f>
        <v>0</v>
      </c>
      <c r="I28" s="822">
        <v>45830</v>
      </c>
      <c r="J28" s="1930"/>
      <c r="K28" s="1930"/>
      <c r="L28" s="1721"/>
      <c r="M28" s="1638"/>
      <c r="N28" s="1638"/>
      <c r="O28" s="1578"/>
      <c r="P28" s="308"/>
      <c r="Q28" s="1638"/>
      <c r="R28" s="1718"/>
      <c r="S28" s="1927"/>
      <c r="T28" s="1927"/>
      <c r="U28" s="1711"/>
      <c r="V28" s="1711"/>
      <c r="W28" s="1711"/>
      <c r="X28" s="1577"/>
    </row>
    <row r="29" spans="1:24" x14ac:dyDescent="0.25">
      <c r="A29" s="1578" t="s">
        <v>893</v>
      </c>
      <c r="B29" s="1579">
        <v>82.48</v>
      </c>
      <c r="C29" s="1579">
        <v>885</v>
      </c>
      <c r="D29" s="1580">
        <f>B29*C29/1000</f>
        <v>72.994799999999998</v>
      </c>
      <c r="E29" s="1602">
        <f>D29/100</f>
        <v>0.72994799999999993</v>
      </c>
      <c r="F29" s="2082">
        <v>0</v>
      </c>
      <c r="G29" s="1603">
        <f>E29*F29*1000</f>
        <v>0</v>
      </c>
      <c r="H29" s="1616"/>
      <c r="I29" s="822">
        <v>45831</v>
      </c>
      <c r="J29" s="1930"/>
      <c r="K29" s="1930"/>
      <c r="L29" s="1721"/>
      <c r="M29" s="1638"/>
      <c r="N29" s="1638"/>
      <c r="O29" s="1578"/>
      <c r="P29" s="308"/>
      <c r="Q29" s="1638"/>
      <c r="R29" s="1718"/>
      <c r="S29" s="1927"/>
      <c r="T29" s="1927"/>
      <c r="U29" s="1711"/>
      <c r="V29" s="1711"/>
      <c r="W29" s="1711"/>
    </row>
    <row r="30" spans="1:24" x14ac:dyDescent="0.25">
      <c r="A30" s="1578" t="s">
        <v>894</v>
      </c>
      <c r="B30" s="1579">
        <v>16.95</v>
      </c>
      <c r="C30" s="1579">
        <v>885</v>
      </c>
      <c r="D30" s="1580">
        <f>B30*C30/1000</f>
        <v>15.00075</v>
      </c>
      <c r="E30" s="1602">
        <f>D30/100</f>
        <v>0.15000749999999999</v>
      </c>
      <c r="F30" s="2082">
        <v>89.2</v>
      </c>
      <c r="G30" s="1603">
        <f>E30*F30*1000</f>
        <v>13380.669</v>
      </c>
      <c r="H30" s="1595"/>
      <c r="I30" s="822">
        <v>45832</v>
      </c>
      <c r="J30" s="1930"/>
      <c r="K30" s="1930"/>
      <c r="L30" s="1721"/>
      <c r="M30" s="1638"/>
      <c r="N30" s="1638"/>
      <c r="O30" s="1578"/>
      <c r="P30" s="1638"/>
      <c r="Q30" s="1638"/>
      <c r="R30" s="1718"/>
      <c r="S30" s="1927"/>
      <c r="T30" s="1927"/>
      <c r="U30" s="1711"/>
      <c r="V30" s="1711"/>
      <c r="W30" s="1711"/>
    </row>
    <row r="31" spans="1:24" x14ac:dyDescent="0.25">
      <c r="F31" s="1612"/>
      <c r="G31" s="1632">
        <f>SUM(G27:G30)</f>
        <v>23191.115250000003</v>
      </c>
      <c r="I31" s="822">
        <v>45833</v>
      </c>
      <c r="J31" s="1930"/>
      <c r="K31" s="1930"/>
      <c r="L31" s="1721"/>
      <c r="M31" s="1638"/>
      <c r="N31" s="1638"/>
      <c r="O31" s="1578"/>
      <c r="P31" s="1638"/>
      <c r="Q31" s="1638"/>
      <c r="R31" s="1718"/>
      <c r="S31" s="1927"/>
      <c r="T31" s="1927"/>
      <c r="U31" s="1711"/>
      <c r="V31" s="1927"/>
      <c r="W31" s="1927"/>
    </row>
    <row r="32" spans="1:24" x14ac:dyDescent="0.25">
      <c r="A32" s="1618" t="s">
        <v>895</v>
      </c>
      <c r="B32" s="1619"/>
      <c r="C32" s="1619"/>
      <c r="D32" s="1620"/>
      <c r="E32" s="1621"/>
      <c r="F32" s="1622"/>
      <c r="G32" s="1623"/>
      <c r="H32" s="1624"/>
      <c r="I32" s="822">
        <v>45834</v>
      </c>
      <c r="J32" s="1930"/>
      <c r="K32" s="1930"/>
      <c r="L32" s="1721"/>
      <c r="M32" s="1638"/>
      <c r="N32" s="1638"/>
      <c r="O32" s="1578"/>
      <c r="P32" s="308"/>
      <c r="Q32" s="1638"/>
      <c r="R32" s="1718"/>
      <c r="S32" s="1927"/>
      <c r="T32" s="1927"/>
      <c r="U32" s="1927"/>
      <c r="V32" s="1927"/>
      <c r="W32" s="1927"/>
    </row>
    <row r="33" spans="1:23" ht="23.1" customHeight="1" x14ac:dyDescent="0.25">
      <c r="A33" s="1625" t="s">
        <v>896</v>
      </c>
      <c r="B33" s="1575" t="s">
        <v>897</v>
      </c>
      <c r="C33" s="1575" t="s">
        <v>898</v>
      </c>
      <c r="D33" s="1625" t="s">
        <v>899</v>
      </c>
      <c r="E33" s="1626" t="s">
        <v>900</v>
      </c>
      <c r="F33" s="1627" t="s">
        <v>901</v>
      </c>
      <c r="G33" s="1625" t="s">
        <v>14</v>
      </c>
      <c r="I33" s="822">
        <v>45835</v>
      </c>
      <c r="J33" s="1931"/>
      <c r="K33" s="1930"/>
      <c r="L33" s="1721"/>
      <c r="M33" s="1930"/>
      <c r="N33" s="1638"/>
      <c r="O33" s="1578"/>
      <c r="P33" s="1941"/>
      <c r="Q33" s="1638"/>
      <c r="R33" s="1718"/>
      <c r="S33" s="1710"/>
      <c r="T33" s="1927"/>
      <c r="U33" s="1710"/>
      <c r="V33" s="1927"/>
      <c r="W33" s="1927"/>
    </row>
    <row r="34" spans="1:23" ht="15" customHeight="1" x14ac:dyDescent="0.25">
      <c r="A34" s="1629" t="s">
        <v>902</v>
      </c>
      <c r="B34" s="1617">
        <v>12.2</v>
      </c>
      <c r="C34" s="1617">
        <v>1.75</v>
      </c>
      <c r="D34" s="1617">
        <v>1.52</v>
      </c>
      <c r="E34" s="1617">
        <v>0.88</v>
      </c>
      <c r="F34" s="1995">
        <v>0</v>
      </c>
      <c r="G34" s="1630">
        <f>B34*C34*D34*E34*F34/100</f>
        <v>0</v>
      </c>
      <c r="H34" s="2328"/>
      <c r="I34" s="822">
        <v>45836</v>
      </c>
      <c r="J34" s="1931"/>
      <c r="K34" s="1579"/>
      <c r="L34" s="1721"/>
      <c r="M34" s="1930"/>
      <c r="N34" s="1579"/>
      <c r="O34" s="1578"/>
      <c r="P34" s="308"/>
      <c r="Q34" s="1579"/>
      <c r="R34" s="1718"/>
      <c r="S34" s="1710"/>
      <c r="T34" s="1708"/>
      <c r="U34" s="1710"/>
      <c r="V34" s="1708"/>
      <c r="W34" s="1708"/>
    </row>
    <row r="35" spans="1:23" ht="15" customHeight="1" x14ac:dyDescent="0.25">
      <c r="A35" s="1629" t="s">
        <v>903</v>
      </c>
      <c r="B35" s="1617">
        <v>12.2</v>
      </c>
      <c r="C35" s="1617">
        <v>1.75</v>
      </c>
      <c r="D35" s="1617">
        <v>1.52</v>
      </c>
      <c r="E35" s="1617">
        <v>0.88</v>
      </c>
      <c r="F35" s="1995">
        <v>0</v>
      </c>
      <c r="G35" s="1630">
        <f>B35*C35*D35*E35*F35/100</f>
        <v>0</v>
      </c>
      <c r="H35" s="2328"/>
      <c r="I35" s="822">
        <v>45837</v>
      </c>
      <c r="J35" s="1931"/>
      <c r="K35" s="1579"/>
      <c r="L35" s="1721"/>
      <c r="M35" s="1930"/>
      <c r="N35" s="1579"/>
      <c r="O35" s="1578"/>
      <c r="P35" s="308"/>
      <c r="Q35" s="1579"/>
      <c r="R35" s="1718"/>
      <c r="S35" s="1710"/>
      <c r="T35" s="1708"/>
      <c r="U35" s="1710"/>
      <c r="V35" s="1708"/>
      <c r="W35" s="1708"/>
    </row>
    <row r="36" spans="1:23" ht="28.5" x14ac:dyDescent="0.25">
      <c r="F36" s="1612" t="s">
        <v>904</v>
      </c>
      <c r="G36" s="1628">
        <f>SUM(G34:G35)</f>
        <v>0</v>
      </c>
      <c r="I36" s="822">
        <v>45838</v>
      </c>
      <c r="J36" s="1931"/>
      <c r="K36" s="1579"/>
      <c r="L36" s="1721"/>
      <c r="M36" s="1930"/>
      <c r="N36" s="1579"/>
      <c r="O36" s="1578"/>
      <c r="P36" s="308"/>
      <c r="Q36" s="1579"/>
      <c r="R36" s="1718"/>
      <c r="S36" s="1710"/>
      <c r="T36" s="1708"/>
      <c r="U36" s="1710"/>
      <c r="V36" s="1708"/>
      <c r="W36" s="1708"/>
    </row>
    <row r="37" spans="1:23" x14ac:dyDescent="0.25">
      <c r="I37" s="1648"/>
      <c r="J37" s="2009"/>
      <c r="K37" s="2010"/>
      <c r="L37" s="2011"/>
      <c r="M37" s="2012"/>
      <c r="N37" s="2010"/>
      <c r="O37" s="2013"/>
      <c r="P37" s="2014"/>
      <c r="Q37" s="2010"/>
      <c r="R37" s="2015"/>
      <c r="S37" s="2017"/>
      <c r="T37" s="1753"/>
      <c r="U37" s="2017"/>
      <c r="V37" s="1753"/>
      <c r="W37" s="1753"/>
    </row>
    <row r="38" spans="1:23" x14ac:dyDescent="0.25">
      <c r="G38" s="1577"/>
      <c r="I38"/>
      <c r="J38"/>
      <c r="K38"/>
      <c r="T38" s="1577">
        <f>S34+U34</f>
        <v>0</v>
      </c>
    </row>
    <row r="39" spans="1:23" x14ac:dyDescent="0.25">
      <c r="I39"/>
      <c r="J39"/>
      <c r="K39"/>
    </row>
    <row r="40" spans="1:23" x14ac:dyDescent="0.25">
      <c r="I40"/>
      <c r="J40"/>
      <c r="K40"/>
    </row>
    <row r="41" spans="1:23" x14ac:dyDescent="0.25">
      <c r="I41"/>
      <c r="J41"/>
      <c r="K41"/>
    </row>
    <row r="42" spans="1:23" x14ac:dyDescent="0.25">
      <c r="I42"/>
      <c r="J42"/>
      <c r="K42"/>
    </row>
    <row r="43" spans="1:23" x14ac:dyDescent="0.25">
      <c r="I43"/>
      <c r="J43"/>
      <c r="K43"/>
    </row>
    <row r="44" spans="1:23" x14ac:dyDescent="0.25">
      <c r="I44"/>
      <c r="J44"/>
      <c r="K44"/>
    </row>
  </sheetData>
  <mergeCells count="11">
    <mergeCell ref="H34:H35"/>
    <mergeCell ref="I5:L5"/>
    <mergeCell ref="M5:O5"/>
    <mergeCell ref="P5:R5"/>
    <mergeCell ref="S5:T5"/>
    <mergeCell ref="W4:W5"/>
    <mergeCell ref="E1:G1"/>
    <mergeCell ref="E2:G2"/>
    <mergeCell ref="I4:R4"/>
    <mergeCell ref="S4:V4"/>
    <mergeCell ref="U5:V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65"/>
  <sheetViews>
    <sheetView topLeftCell="A2" zoomScale="80" zoomScaleNormal="80" workbookViewId="0">
      <pane xSplit="4" ySplit="4" topLeftCell="E6" activePane="bottomRight" state="frozen"/>
      <selection activeCell="O11" sqref="O11"/>
      <selection pane="topRight" activeCell="O11" sqref="O11"/>
      <selection pane="bottomLeft" activeCell="O11" sqref="O11"/>
      <selection pane="bottomRight" activeCell="W16" sqref="W16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customWidth="1"/>
    <col min="7" max="8" width="17.5703125" customWidth="1"/>
    <col min="9" max="10" width="18.42578125" customWidth="1"/>
    <col min="11" max="11" width="17.5703125" customWidth="1"/>
    <col min="12" max="12" width="17.42578125" hidden="1" customWidth="1"/>
    <col min="13" max="13" width="18.42578125" hidden="1" customWidth="1"/>
    <col min="14" max="16" width="17.42578125" hidden="1" customWidth="1"/>
    <col min="17" max="17" width="17" hidden="1" customWidth="1"/>
    <col min="18" max="18" width="15.5703125" hidden="1" customWidth="1"/>
    <col min="19" max="19" width="8.85546875" customWidth="1"/>
    <col min="20" max="20" width="25.42578125" customWidth="1"/>
    <col min="21" max="22" width="25.42578125" hidden="1" customWidth="1"/>
    <col min="23" max="23" width="13.42578125" customWidth="1"/>
    <col min="24" max="24" width="15.42578125" customWidth="1"/>
    <col min="25" max="32" width="9.42578125" customWidth="1"/>
    <col min="33" max="33" width="28.5703125" customWidth="1"/>
    <col min="34" max="37" width="9.42578125" customWidth="1"/>
    <col min="38" max="38" width="13.42578125" customWidth="1"/>
    <col min="39" max="39" width="61.5703125" customWidth="1"/>
    <col min="40" max="40" width="41.5703125" customWidth="1"/>
    <col min="41" max="49" width="9.42578125" customWidth="1"/>
    <col min="50" max="50" width="14" customWidth="1"/>
    <col min="51" max="60" width="9.42578125" customWidth="1"/>
  </cols>
  <sheetData>
    <row r="1" spans="2:933" x14ac:dyDescent="0.25">
      <c r="B1" s="411"/>
    </row>
    <row r="2" spans="2:933" ht="18" x14ac:dyDescent="0.25">
      <c r="C2" s="412" t="s">
        <v>1060</v>
      </c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3"/>
      <c r="O2" s="413"/>
      <c r="P2" s="413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</row>
    <row r="3" spans="2:933" ht="15.75" thickBot="1" x14ac:dyDescent="0.3">
      <c r="B3" s="414"/>
      <c r="F3" s="415"/>
      <c r="G3" s="415"/>
      <c r="H3" s="415"/>
      <c r="I3" s="415"/>
      <c r="J3" s="415"/>
      <c r="K3" s="415"/>
      <c r="L3" s="415" t="s">
        <v>820</v>
      </c>
      <c r="M3" s="415" t="s">
        <v>820</v>
      </c>
      <c r="N3" s="415" t="s">
        <v>820</v>
      </c>
      <c r="O3" s="415"/>
      <c r="P3" s="415"/>
      <c r="Q3" s="415"/>
      <c r="R3" s="415"/>
    </row>
    <row r="4" spans="2:933" ht="30.75" thickBot="1" x14ac:dyDescent="0.3">
      <c r="B4" s="2346" t="s">
        <v>99</v>
      </c>
      <c r="C4" s="2348" t="s">
        <v>100</v>
      </c>
      <c r="D4" s="2350" t="s">
        <v>101</v>
      </c>
      <c r="E4" s="2348" t="s">
        <v>102</v>
      </c>
      <c r="F4" s="2340" t="s">
        <v>1066</v>
      </c>
      <c r="G4" s="2341"/>
      <c r="H4" s="2341"/>
      <c r="I4" s="2341"/>
      <c r="J4" s="2341"/>
      <c r="K4" s="2341"/>
      <c r="L4" s="2341"/>
      <c r="M4" s="2341"/>
      <c r="N4" s="2341"/>
      <c r="O4" s="2341"/>
      <c r="P4" s="2341"/>
      <c r="Q4" s="2341"/>
      <c r="R4" s="2342"/>
      <c r="S4" s="716"/>
      <c r="T4" s="410" t="s">
        <v>297</v>
      </c>
      <c r="U4" s="661" t="s">
        <v>298</v>
      </c>
      <c r="V4" s="764" t="s">
        <v>299</v>
      </c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R4" s="6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347"/>
      <c r="C5" s="2349"/>
      <c r="D5" s="2351"/>
      <c r="E5" s="2349"/>
      <c r="F5" s="417" t="s">
        <v>300</v>
      </c>
      <c r="G5" s="417" t="s">
        <v>301</v>
      </c>
      <c r="H5" s="417" t="s">
        <v>302</v>
      </c>
      <c r="I5" s="418" t="s">
        <v>303</v>
      </c>
      <c r="J5" s="417" t="s">
        <v>304</v>
      </c>
      <c r="K5" s="417" t="s">
        <v>305</v>
      </c>
      <c r="L5" s="417" t="s">
        <v>306</v>
      </c>
      <c r="M5" s="417" t="s">
        <v>307</v>
      </c>
      <c r="N5" s="418" t="s">
        <v>308</v>
      </c>
      <c r="O5" s="418" t="s">
        <v>309</v>
      </c>
      <c r="P5" s="418" t="s">
        <v>310</v>
      </c>
      <c r="Q5" s="418" t="s">
        <v>311</v>
      </c>
      <c r="R5" s="417" t="s">
        <v>311</v>
      </c>
      <c r="T5" s="416" t="s">
        <v>126</v>
      </c>
      <c r="U5" s="661" t="s">
        <v>126</v>
      </c>
      <c r="V5" s="764" t="s">
        <v>312</v>
      </c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R5" s="6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337">
        <v>1</v>
      </c>
      <c r="C6" s="419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20" t="s">
        <v>127</v>
      </c>
      <c r="U6" s="662" t="s">
        <v>127</v>
      </c>
      <c r="V6" s="765" t="s">
        <v>127</v>
      </c>
      <c r="W6" s="62"/>
      <c r="X6" s="1">
        <f>30*5</f>
        <v>150</v>
      </c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R6" s="6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1"/>
      <c r="DF6" s="422"/>
      <c r="DG6" s="423">
        <v>29</v>
      </c>
      <c r="DH6" s="424">
        <v>30</v>
      </c>
      <c r="DI6" s="425">
        <v>31</v>
      </c>
    </row>
    <row r="7" spans="2:933" x14ac:dyDescent="0.25">
      <c r="B7" s="2338"/>
      <c r="C7" s="426" t="s">
        <v>16</v>
      </c>
      <c r="D7" s="427"/>
      <c r="E7" s="428"/>
      <c r="F7" s="429"/>
      <c r="G7" s="430"/>
      <c r="H7" s="1515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3"/>
      <c r="T7" s="711" t="s">
        <v>16</v>
      </c>
      <c r="U7" s="663" t="s">
        <v>16</v>
      </c>
      <c r="V7" s="766" t="s">
        <v>16</v>
      </c>
      <c r="W7" s="62"/>
      <c r="X7" s="1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R7" s="6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1" t="s">
        <v>313</v>
      </c>
      <c r="DF7" s="5" t="s">
        <v>14</v>
      </c>
      <c r="DG7" s="432">
        <v>1971319.99999999</v>
      </c>
      <c r="DH7" s="433">
        <v>2015120.00000001</v>
      </c>
      <c r="DI7" s="434">
        <v>2015230</v>
      </c>
      <c r="AIU7" s="435" t="s">
        <v>314</v>
      </c>
      <c r="AIV7" s="435" t="s">
        <v>127</v>
      </c>
      <c r="AIW7" s="435" t="s">
        <v>315</v>
      </c>
    </row>
    <row r="8" spans="2:933" x14ac:dyDescent="0.25">
      <c r="B8" s="2338"/>
      <c r="C8" s="436" t="s">
        <v>84</v>
      </c>
      <c r="D8" s="1948">
        <v>300</v>
      </c>
      <c r="E8" s="438" t="s">
        <v>83</v>
      </c>
      <c r="F8" s="439">
        <v>0</v>
      </c>
      <c r="G8" s="439">
        <f>'[6]FEBUARI 2025'!$AK$6</f>
        <v>13</v>
      </c>
      <c r="H8" s="530">
        <f>'JUNI 2025'!AL6</f>
        <v>10</v>
      </c>
      <c r="I8" s="439">
        <v>0</v>
      </c>
      <c r="J8" s="439">
        <v>0</v>
      </c>
      <c r="K8" s="439">
        <f>'JUNI 2025'!AL6</f>
        <v>10</v>
      </c>
      <c r="L8" s="439"/>
      <c r="M8" s="439"/>
      <c r="N8" s="439"/>
      <c r="O8" s="54"/>
      <c r="P8" s="54"/>
      <c r="Q8" s="439"/>
      <c r="R8" s="439">
        <f>'[7]Desember 24'!AL9</f>
        <v>0</v>
      </c>
      <c r="S8" s="3"/>
      <c r="T8" s="54">
        <f>SUM(F8:R8)</f>
        <v>33</v>
      </c>
      <c r="U8" s="664">
        <v>231</v>
      </c>
      <c r="V8" s="767">
        <f>T8/U8*100</f>
        <v>14.285714285714285</v>
      </c>
      <c r="W8" s="62"/>
      <c r="X8" s="3">
        <f>T11-K11</f>
        <v>20126670</v>
      </c>
      <c r="Y8" s="365">
        <f>X8/2500</f>
        <v>8050.6679999999997</v>
      </c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R8" s="6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1"/>
      <c r="DG8" s="432"/>
      <c r="DH8" s="433"/>
      <c r="DI8" s="434"/>
      <c r="FN8" s="3"/>
      <c r="OR8" s="141" t="s">
        <v>316</v>
      </c>
      <c r="AEE8" s="5" t="s">
        <v>317</v>
      </c>
      <c r="AEF8" s="5" t="s">
        <v>318</v>
      </c>
      <c r="AIT8" s="2" t="s">
        <v>192</v>
      </c>
      <c r="AIU8" s="141">
        <v>11008948</v>
      </c>
      <c r="AIV8" s="141">
        <f>T11</f>
        <v>37939857</v>
      </c>
      <c r="AIW8" s="4">
        <f>AIU8-AIV8</f>
        <v>-26930909</v>
      </c>
    </row>
    <row r="9" spans="2:933" x14ac:dyDescent="0.25">
      <c r="B9" s="2338"/>
      <c r="C9" s="11" t="s">
        <v>103</v>
      </c>
      <c r="D9" s="437"/>
      <c r="E9" s="438"/>
      <c r="F9" s="1522"/>
      <c r="G9" s="440">
        <v>0</v>
      </c>
      <c r="H9" s="523">
        <v>0</v>
      </c>
      <c r="I9" s="1522"/>
      <c r="J9" s="1522"/>
      <c r="K9" s="440">
        <v>0</v>
      </c>
      <c r="L9" s="440"/>
      <c r="M9" s="440"/>
      <c r="N9" s="440"/>
      <c r="O9" s="440"/>
      <c r="P9" s="519"/>
      <c r="Q9" s="439"/>
      <c r="R9" s="440">
        <f>'[7]Desember 24'!AL10</f>
        <v>0</v>
      </c>
      <c r="S9" s="3"/>
      <c r="T9" s="54"/>
      <c r="U9" s="664"/>
      <c r="V9" s="767"/>
      <c r="W9" s="62"/>
      <c r="X9" s="3">
        <f>X8/2500/150</f>
        <v>53.671119999999995</v>
      </c>
      <c r="Y9" s="365">
        <f>Y8/150</f>
        <v>53.671119999999995</v>
      </c>
      <c r="Z9" s="2106">
        <f>Y9*100</f>
        <v>5367.1119999999992</v>
      </c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R9" s="6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1"/>
      <c r="DG9" s="432"/>
      <c r="DH9" s="433"/>
      <c r="DI9" s="434"/>
      <c r="FN9" s="3"/>
      <c r="OR9" s="141"/>
      <c r="AEE9" s="5"/>
      <c r="AEF9" s="5"/>
      <c r="AIT9" s="2"/>
      <c r="AIU9" s="141"/>
      <c r="AIV9" s="141"/>
      <c r="AIW9" s="4"/>
    </row>
    <row r="10" spans="2:933" x14ac:dyDescent="0.25">
      <c r="B10" s="2338"/>
      <c r="C10" s="11" t="s">
        <v>319</v>
      </c>
      <c r="D10" s="437"/>
      <c r="E10" s="438"/>
      <c r="F10" s="440"/>
      <c r="G10" s="440">
        <v>0</v>
      </c>
      <c r="H10" s="523">
        <v>0</v>
      </c>
      <c r="I10" s="440"/>
      <c r="J10" s="440"/>
      <c r="K10" s="440">
        <v>0</v>
      </c>
      <c r="L10" s="440"/>
      <c r="M10" s="440"/>
      <c r="N10" s="440"/>
      <c r="O10" s="440"/>
      <c r="P10" s="1740"/>
      <c r="Q10" s="440"/>
      <c r="R10" s="440" t="e">
        <f t="shared" ref="R10" si="0">R11/R14*100</f>
        <v>#DIV/0!</v>
      </c>
      <c r="S10" s="3"/>
      <c r="T10" s="54">
        <f>AVERAGE(F10:Q10)</f>
        <v>0</v>
      </c>
      <c r="U10" s="664"/>
      <c r="V10" s="767"/>
      <c r="W10" s="62"/>
      <c r="X10" s="1"/>
      <c r="Y10" s="1"/>
      <c r="Z10" s="1"/>
      <c r="AA10" s="1"/>
      <c r="AB10" s="1"/>
      <c r="AC10" s="1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R10" s="6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1"/>
      <c r="DG10" s="432"/>
      <c r="DH10" s="433"/>
      <c r="DI10" s="434"/>
      <c r="FN10" s="3"/>
      <c r="OR10" s="141"/>
      <c r="AEE10" s="5"/>
      <c r="AEF10" s="5"/>
      <c r="AIT10" s="2"/>
      <c r="AIU10" s="141"/>
      <c r="AIV10" s="141"/>
      <c r="AIW10" s="4"/>
    </row>
    <row r="11" spans="2:933" x14ac:dyDescent="0.25">
      <c r="B11" s="2338"/>
      <c r="C11" s="441" t="s">
        <v>96</v>
      </c>
      <c r="D11" s="442">
        <v>707651000</v>
      </c>
      <c r="E11" s="443" t="s">
        <v>14</v>
      </c>
      <c r="F11" s="444">
        <v>0</v>
      </c>
      <c r="G11" s="444">
        <f>'[6]FEBUARI 2025'!$AK$9</f>
        <v>16619582</v>
      </c>
      <c r="H11" s="1516">
        <f>'[8]MARET 2025'!$AK$9</f>
        <v>3507088</v>
      </c>
      <c r="I11" s="444">
        <v>0</v>
      </c>
      <c r="J11" s="444">
        <v>0</v>
      </c>
      <c r="K11" s="444">
        <f>'JUNI 2025'!AL9</f>
        <v>17813187</v>
      </c>
      <c r="L11" s="444"/>
      <c r="M11" s="444"/>
      <c r="N11" s="444"/>
      <c r="O11" s="444"/>
      <c r="P11" s="57"/>
      <c r="Q11" s="444"/>
      <c r="R11" s="444">
        <f>'[7]Desember 24'!AL11</f>
        <v>0</v>
      </c>
      <c r="S11" s="717"/>
      <c r="T11" s="57">
        <f>SUM(F11:Q11)</f>
        <v>37939857</v>
      </c>
      <c r="U11" s="665">
        <v>421374000</v>
      </c>
      <c r="V11" s="768">
        <f>T11/U11</f>
        <v>9.0038438536786794E-2</v>
      </c>
      <c r="W11" s="1066"/>
      <c r="X11" s="1">
        <f>T11/D11*100</f>
        <v>5.3613796914015523</v>
      </c>
      <c r="Y11" s="1"/>
      <c r="Z11" s="1"/>
      <c r="AA11" s="1"/>
      <c r="AB11" s="1"/>
      <c r="AC11" s="1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R11" s="62"/>
      <c r="AT11" s="452"/>
      <c r="AU11" s="452"/>
      <c r="AV11" s="1"/>
      <c r="AW11" s="1"/>
      <c r="AX11" s="362">
        <f>T11/D11</f>
        <v>5.3613796914015521E-2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2"/>
      <c r="BY11" s="1"/>
      <c r="DA11" s="1"/>
      <c r="DE11" s="445" t="s">
        <v>320</v>
      </c>
      <c r="DF11" s="446" t="s">
        <v>19</v>
      </c>
      <c r="DG11" s="447">
        <v>251.19641540408301</v>
      </c>
      <c r="DH11" s="448">
        <v>257.91391043490898</v>
      </c>
      <c r="DI11" s="449">
        <v>251.51265323328099</v>
      </c>
      <c r="DJ11" s="142"/>
      <c r="FM11" s="141"/>
      <c r="FN11" s="3"/>
      <c r="JH11" s="142"/>
      <c r="JI11" s="142"/>
      <c r="JJ11" s="141"/>
      <c r="JK11" s="142"/>
      <c r="OO11" s="142">
        <v>26946.1077844311</v>
      </c>
      <c r="OP11" s="142">
        <v>17383.2335329341</v>
      </c>
      <c r="OR11" s="142" t="s">
        <v>321</v>
      </c>
      <c r="PF11" s="145"/>
      <c r="PJ11" s="142"/>
      <c r="RM11" s="145"/>
      <c r="AEE11" s="141">
        <f>35.8500000000058*1000</f>
        <v>35850.000000005799</v>
      </c>
      <c r="AGV11" s="141"/>
      <c r="AIK11" s="141"/>
      <c r="AIL11" s="141"/>
      <c r="AIM11" s="141"/>
      <c r="AIT11" s="2" t="s">
        <v>64</v>
      </c>
      <c r="AIU11" s="141">
        <v>566885</v>
      </c>
      <c r="AIV11" s="141">
        <f>T20</f>
        <v>1775916</v>
      </c>
      <c r="AIW11" s="4">
        <f>AIU11-AIV11</f>
        <v>-1209031</v>
      </c>
    </row>
    <row r="12" spans="2:933" x14ac:dyDescent="0.25">
      <c r="B12" s="2338"/>
      <c r="C12" s="441" t="s">
        <v>97</v>
      </c>
      <c r="D12" s="442"/>
      <c r="E12" s="443" t="s">
        <v>14</v>
      </c>
      <c r="F12" s="444">
        <v>0</v>
      </c>
      <c r="G12" s="444">
        <f>G11</f>
        <v>16619582</v>
      </c>
      <c r="H12" s="444">
        <f>H11</f>
        <v>3507088</v>
      </c>
      <c r="I12" s="444">
        <v>0</v>
      </c>
      <c r="J12" s="444">
        <v>0</v>
      </c>
      <c r="K12" s="444">
        <f t="shared" ref="K12" si="1">K11</f>
        <v>17813187</v>
      </c>
      <c r="L12" s="444"/>
      <c r="M12" s="444"/>
      <c r="N12" s="444"/>
      <c r="O12" s="444"/>
      <c r="P12" s="57"/>
      <c r="Q12" s="444"/>
      <c r="R12" s="444" t="e">
        <f>'[7]Desember 24'!AL12</f>
        <v>#DIV/0!</v>
      </c>
      <c r="S12" s="717"/>
      <c r="T12" s="57">
        <f>SUM(F12:Q12)</f>
        <v>37939857</v>
      </c>
      <c r="U12" s="666"/>
      <c r="V12" s="769"/>
      <c r="W12" s="62"/>
      <c r="X12" s="3"/>
      <c r="Y12" s="1"/>
      <c r="Z12" s="1"/>
      <c r="AA12" s="1">
        <f>30*5</f>
        <v>150</v>
      </c>
      <c r="AB12" s="1">
        <v>5.9</v>
      </c>
      <c r="AC12" s="1" t="s">
        <v>25</v>
      </c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R12" s="62"/>
      <c r="AT12" s="452"/>
      <c r="AU12" s="452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2"/>
      <c r="BY12" s="1"/>
      <c r="DA12" s="1"/>
      <c r="DE12" s="431"/>
      <c r="DF12" s="5"/>
      <c r="DG12" s="451"/>
      <c r="DH12" s="452"/>
      <c r="DI12" s="453"/>
      <c r="DJ12" s="142"/>
      <c r="FM12" s="142"/>
      <c r="JH12" s="142"/>
      <c r="JI12" s="142"/>
      <c r="JJ12" s="142"/>
      <c r="JK12" s="142"/>
      <c r="OO12" s="142"/>
      <c r="OP12" s="142"/>
      <c r="OR12" s="142"/>
      <c r="PF12" s="145"/>
      <c r="PJ12" s="142"/>
      <c r="RM12" s="145"/>
      <c r="AGV12" s="141"/>
      <c r="AIK12" s="141"/>
      <c r="AIL12" s="141"/>
      <c r="AIM12" s="141"/>
      <c r="AIT12" s="2"/>
      <c r="AIU12" s="141"/>
      <c r="AIV12" s="141"/>
    </row>
    <row r="13" spans="2:933" x14ac:dyDescent="0.25">
      <c r="B13" s="2338"/>
      <c r="C13" s="441" t="s">
        <v>98</v>
      </c>
      <c r="D13" s="442"/>
      <c r="E13" s="443" t="s">
        <v>14</v>
      </c>
      <c r="F13" s="444">
        <v>0</v>
      </c>
      <c r="G13" s="444">
        <v>0</v>
      </c>
      <c r="H13" s="1516">
        <v>0</v>
      </c>
      <c r="I13" s="444">
        <v>0</v>
      </c>
      <c r="J13" s="444">
        <v>0</v>
      </c>
      <c r="K13" s="444"/>
      <c r="L13" s="444"/>
      <c r="M13" s="444"/>
      <c r="N13" s="444"/>
      <c r="O13" s="444"/>
      <c r="P13" s="444"/>
      <c r="Q13" s="444"/>
      <c r="R13" s="444" t="e">
        <f>'[7]Desember 24'!AL13</f>
        <v>#DIV/0!</v>
      </c>
      <c r="S13" s="717"/>
      <c r="T13" s="450">
        <f>SUM(F13:Q13)</f>
        <v>0</v>
      </c>
      <c r="U13" s="666"/>
      <c r="V13" s="769"/>
      <c r="W13" s="365"/>
      <c r="X13" s="1"/>
      <c r="Y13" s="3"/>
      <c r="Z13" s="1"/>
      <c r="AA13" s="1">
        <v>7.37</v>
      </c>
      <c r="AB13" s="1"/>
      <c r="AC13" s="1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R13" s="62"/>
      <c r="AT13" s="452"/>
      <c r="AU13" s="452"/>
      <c r="AV13" s="1"/>
      <c r="AW13" s="1"/>
      <c r="AX13" s="362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2"/>
      <c r="BY13" s="1"/>
      <c r="DA13" s="1"/>
      <c r="DE13" s="431"/>
      <c r="DF13" s="5"/>
      <c r="DG13" s="451"/>
      <c r="DH13" s="452"/>
      <c r="DI13" s="453"/>
      <c r="DJ13" s="142"/>
      <c r="FM13" s="142"/>
      <c r="JH13" s="142"/>
      <c r="JI13" s="142"/>
      <c r="JJ13" s="142"/>
      <c r="JK13" s="142"/>
      <c r="OO13" s="142"/>
      <c r="OP13" s="142"/>
      <c r="OR13" s="142"/>
      <c r="PF13" s="145"/>
      <c r="PJ13" s="142"/>
      <c r="RM13" s="145"/>
      <c r="AGV13" s="141"/>
      <c r="AIK13" s="141"/>
      <c r="AIL13" s="141"/>
      <c r="AIM13" s="141"/>
      <c r="AIT13" s="2"/>
      <c r="AIU13" s="141"/>
      <c r="AIV13" s="141"/>
    </row>
    <row r="14" spans="2:933" x14ac:dyDescent="0.25">
      <c r="B14" s="2338"/>
      <c r="C14" s="441" t="s">
        <v>322</v>
      </c>
      <c r="D14" s="442"/>
      <c r="E14" s="443" t="s">
        <v>14</v>
      </c>
      <c r="F14" s="444">
        <v>0</v>
      </c>
      <c r="G14" s="444">
        <f>'JUNI 2025'!E9</f>
        <v>58900000</v>
      </c>
      <c r="H14" s="444">
        <v>58900</v>
      </c>
      <c r="I14" s="444">
        <v>58900</v>
      </c>
      <c r="J14" s="444">
        <v>58900</v>
      </c>
      <c r="K14" s="444">
        <v>58900</v>
      </c>
      <c r="L14" s="444"/>
      <c r="M14" s="444"/>
      <c r="N14" s="444"/>
      <c r="O14" s="444"/>
      <c r="P14" s="444"/>
      <c r="Q14" s="444"/>
      <c r="R14" s="444"/>
      <c r="S14" s="717"/>
      <c r="T14" s="57">
        <f>SUM(F14:Q14)</f>
        <v>59135600</v>
      </c>
      <c r="U14" s="666"/>
      <c r="V14" s="769"/>
      <c r="W14" s="365"/>
      <c r="X14" s="1"/>
      <c r="Y14" s="2133">
        <f>T11/2500/T8</f>
        <v>459.87705454545454</v>
      </c>
      <c r="Z14" s="1"/>
      <c r="AA14" s="1"/>
      <c r="AB14" s="1"/>
      <c r="AC14" s="1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R14" s="62"/>
      <c r="AT14" s="452"/>
      <c r="AU14" s="452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2"/>
      <c r="BY14" s="1"/>
      <c r="DA14" s="1"/>
      <c r="DE14" s="431"/>
      <c r="DF14" s="5"/>
      <c r="DG14" s="451"/>
      <c r="DH14" s="452"/>
      <c r="DI14" s="453"/>
      <c r="DJ14" s="142"/>
      <c r="FM14" s="142"/>
      <c r="JH14" s="142"/>
      <c r="JI14" s="142"/>
      <c r="JJ14" s="142"/>
      <c r="JK14" s="142"/>
      <c r="OO14" s="142"/>
      <c r="OP14" s="142"/>
      <c r="OR14" s="142"/>
      <c r="PF14" s="145"/>
      <c r="PJ14" s="142"/>
      <c r="RM14" s="145"/>
      <c r="AGV14" s="141"/>
      <c r="AIK14" s="141"/>
      <c r="AIL14" s="141"/>
      <c r="AIM14" s="141"/>
      <c r="AIT14" s="2"/>
      <c r="AIU14" s="141"/>
      <c r="AIV14" s="141"/>
    </row>
    <row r="15" spans="2:933" x14ac:dyDescent="0.25">
      <c r="B15" s="2338"/>
      <c r="C15" s="454" t="s">
        <v>82</v>
      </c>
      <c r="D15" s="455">
        <v>5</v>
      </c>
      <c r="E15" s="456" t="s">
        <v>25</v>
      </c>
      <c r="F15" s="457">
        <v>0</v>
      </c>
      <c r="G15" s="457">
        <f>'[6]FEBUARI 2025'!$AK$13</f>
        <v>3.5869230769230778</v>
      </c>
      <c r="H15" s="1517">
        <f>'JUNI 2025'!AL13</f>
        <v>4.5701666666666672</v>
      </c>
      <c r="I15" s="457">
        <v>0</v>
      </c>
      <c r="J15" s="457">
        <v>0</v>
      </c>
      <c r="K15" s="457">
        <f>'JUNI 2025'!AL13</f>
        <v>4.5701666666666672</v>
      </c>
      <c r="L15" s="457"/>
      <c r="M15" s="457"/>
      <c r="N15" s="457"/>
      <c r="O15" s="457"/>
      <c r="P15" s="1740"/>
      <c r="Q15" s="457"/>
      <c r="R15" s="457" t="e">
        <f>'[7]Desember 24'!AL14</f>
        <v>#DIV/0!</v>
      </c>
      <c r="T15" s="58">
        <f>AVERAGE(F15:Q15)</f>
        <v>2.1212094017094021</v>
      </c>
      <c r="U15" s="667" t="e">
        <f t="shared" ref="U15:V17" si="2">AVERAGE(G15:S15)</f>
        <v>#DIV/0!</v>
      </c>
      <c r="V15" s="767" t="e">
        <f t="shared" si="2"/>
        <v>#DIV/0!</v>
      </c>
      <c r="W15" s="62"/>
      <c r="X15" s="1"/>
      <c r="Y15" s="2106">
        <v>2</v>
      </c>
      <c r="Z15" s="2134">
        <f>G11/2500000/13</f>
        <v>0.51137175384615385</v>
      </c>
      <c r="AA15" s="1"/>
      <c r="AB15" s="1"/>
      <c r="AC15" s="1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R15" s="62"/>
      <c r="AT15" s="803"/>
      <c r="AU15" s="803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8"/>
      <c r="BY15" s="1"/>
      <c r="DA15" s="1"/>
      <c r="DE15" s="431" t="s">
        <v>323</v>
      </c>
      <c r="DF15" s="5" t="s">
        <v>14</v>
      </c>
      <c r="DG15" s="432">
        <v>182230</v>
      </c>
      <c r="DH15" s="433">
        <v>190070</v>
      </c>
      <c r="DI15" s="434">
        <v>197800.00000000099</v>
      </c>
      <c r="DJ15" s="458"/>
      <c r="FM15" s="458"/>
      <c r="FN15" s="458"/>
      <c r="JH15" s="458"/>
      <c r="JI15" s="458"/>
      <c r="JJ15" s="459"/>
      <c r="JK15" s="458"/>
      <c r="OO15" s="458">
        <f>T11/1000</f>
        <v>37939.857000000004</v>
      </c>
      <c r="OP15" s="458">
        <f>(T26+T49+T35)/1000</f>
        <v>21985.753000000001</v>
      </c>
      <c r="OR15" s="458" t="e">
        <f>SUM(OR16:OR17)</f>
        <v>#REF!</v>
      </c>
      <c r="PF15" s="460"/>
      <c r="PJ15" s="458"/>
      <c r="RM15" s="460"/>
      <c r="AGV15" s="458">
        <v>2000</v>
      </c>
      <c r="AIK15" s="458"/>
      <c r="AIL15" s="458"/>
      <c r="AIM15" s="458"/>
      <c r="AIT15" s="461"/>
      <c r="AIU15" s="458"/>
      <c r="AIV15" s="458"/>
    </row>
    <row r="16" spans="2:933" ht="15.75" thickBot="1" x14ac:dyDescent="0.3">
      <c r="B16" s="2338"/>
      <c r="C16" s="462" t="s">
        <v>81</v>
      </c>
      <c r="D16" s="463">
        <v>0.5</v>
      </c>
      <c r="E16" s="464" t="s">
        <v>25</v>
      </c>
      <c r="F16" s="457">
        <v>0</v>
      </c>
      <c r="G16" s="457">
        <f>'[6]FEBUARI 2025'!$AK$14</f>
        <v>0.36807692307692308</v>
      </c>
      <c r="H16" s="1517">
        <f>'JUNI 2025'!AL14</f>
        <v>0.45666666666666667</v>
      </c>
      <c r="I16" s="457">
        <v>0</v>
      </c>
      <c r="J16" s="457">
        <v>0</v>
      </c>
      <c r="K16" s="457">
        <f>'JUNI 2025'!P14</f>
        <v>0.43</v>
      </c>
      <c r="L16" s="457"/>
      <c r="M16" s="457"/>
      <c r="N16" s="457"/>
      <c r="O16" s="457"/>
      <c r="P16" s="1740"/>
      <c r="Q16" s="457"/>
      <c r="R16" s="457" t="e">
        <f>'[7]Desember 24'!AL15</f>
        <v>#DIV/0!</v>
      </c>
      <c r="S16" s="717"/>
      <c r="T16" s="58">
        <f>AVERAGE(F16:Q16)</f>
        <v>0.20912393162393161</v>
      </c>
      <c r="U16" s="667" t="e">
        <f t="shared" si="2"/>
        <v>#DIV/0!</v>
      </c>
      <c r="V16" s="767" t="e">
        <f t="shared" si="2"/>
        <v>#DIV/0!</v>
      </c>
      <c r="W16" s="62"/>
      <c r="X16" s="1"/>
      <c r="Y16" s="2106">
        <v>3</v>
      </c>
      <c r="Z16" s="2134">
        <f>H12/2500000/13</f>
        <v>0.10791039999999999</v>
      </c>
      <c r="AA16" s="1"/>
      <c r="AB16" s="1"/>
      <c r="AC16" s="1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R16" s="62"/>
      <c r="AT16" s="452"/>
      <c r="AU16" s="452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2"/>
      <c r="BY16" s="1"/>
      <c r="DA16" s="1"/>
      <c r="DE16" s="465"/>
      <c r="DF16" s="466" t="s">
        <v>324</v>
      </c>
      <c r="DG16" s="467">
        <f>DG15/(DG7/1000)</f>
        <v>92.440598177871138</v>
      </c>
      <c r="DH16" s="468">
        <f>DH15/(DH7/1000)</f>
        <v>94.321926237642941</v>
      </c>
      <c r="DI16" s="469">
        <f>DI15/(DI7/1000)</f>
        <v>98.152568193209206</v>
      </c>
      <c r="DJ16" s="142"/>
      <c r="FM16" s="142"/>
      <c r="JH16" s="142"/>
      <c r="JI16" s="458"/>
      <c r="JJ16" s="142"/>
      <c r="JK16" s="142"/>
      <c r="OO16" s="470"/>
      <c r="OP16" s="470"/>
      <c r="OR16" s="470" t="e">
        <f>#REF!/1000</f>
        <v>#REF!</v>
      </c>
      <c r="OS16" s="145" t="e">
        <f>OR16/OR15*100</f>
        <v>#REF!</v>
      </c>
      <c r="PF16" s="145"/>
      <c r="PJ16" s="142"/>
      <c r="RM16" s="145"/>
      <c r="AGU16" s="471">
        <v>0.94199999999999995</v>
      </c>
      <c r="AGV16" s="141">
        <f>AGU16*AGV15</f>
        <v>1884</v>
      </c>
      <c r="AGW16" s="1" t="s">
        <v>16</v>
      </c>
      <c r="AIK16" s="141"/>
      <c r="AIL16" s="141"/>
      <c r="AIM16" s="141"/>
      <c r="AIT16" s="2" t="s">
        <v>63</v>
      </c>
      <c r="AIU16" s="141">
        <v>9594130</v>
      </c>
      <c r="AIV16" s="141">
        <f>T27</f>
        <v>17678258</v>
      </c>
      <c r="AIW16" s="4">
        <f>AIU16-AIV16</f>
        <v>-8084128</v>
      </c>
    </row>
    <row r="17" spans="2:933" x14ac:dyDescent="0.25">
      <c r="B17" s="2338"/>
      <c r="C17" s="462" t="s">
        <v>80</v>
      </c>
      <c r="D17" s="472" t="s">
        <v>79</v>
      </c>
      <c r="E17" s="464" t="s">
        <v>25</v>
      </c>
      <c r="F17" s="457">
        <v>0</v>
      </c>
      <c r="G17" s="457">
        <v>0</v>
      </c>
      <c r="H17" s="1517">
        <v>0</v>
      </c>
      <c r="I17" s="457">
        <v>0</v>
      </c>
      <c r="J17" s="457">
        <v>0</v>
      </c>
      <c r="K17" s="457"/>
      <c r="L17" s="457"/>
      <c r="M17" s="457"/>
      <c r="N17" s="457"/>
      <c r="O17" s="457"/>
      <c r="P17" s="1740"/>
      <c r="Q17" s="457"/>
      <c r="R17" s="473" t="e">
        <f>'[7]Desember 24'!AL16</f>
        <v>#DIV/0!</v>
      </c>
      <c r="S17" s="717"/>
      <c r="T17" s="58">
        <f>AVERAGE(F17:Q17)</f>
        <v>0</v>
      </c>
      <c r="U17" s="667" t="e">
        <f t="shared" si="2"/>
        <v>#DIV/0!</v>
      </c>
      <c r="V17" s="767" t="e">
        <f t="shared" si="2"/>
        <v>#DIV/0!</v>
      </c>
      <c r="W17" s="62"/>
      <c r="X17" s="1"/>
      <c r="Y17" s="1940"/>
      <c r="Z17" s="474"/>
      <c r="AA17" s="1"/>
      <c r="AB17" s="1"/>
      <c r="AC17" s="1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R17" s="62"/>
      <c r="AT17" s="452"/>
      <c r="AU17" s="452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2"/>
      <c r="BY17" s="1"/>
      <c r="DA17" s="1"/>
      <c r="DJ17" s="142"/>
      <c r="FM17" s="142"/>
      <c r="JH17" s="142"/>
      <c r="JI17" s="142"/>
      <c r="JJ17" s="142"/>
      <c r="JK17" s="142"/>
      <c r="OO17" s="142">
        <f>SUM(OO15:OO16)</f>
        <v>37939.857000000004</v>
      </c>
      <c r="OP17" s="142">
        <f>SUM(OP15:OP16)</f>
        <v>21985.753000000001</v>
      </c>
      <c r="OR17" s="470" t="e">
        <f>#REF!/1000</f>
        <v>#REF!</v>
      </c>
      <c r="OS17" s="145" t="e">
        <f>OR17/OR15*100</f>
        <v>#REF!</v>
      </c>
      <c r="PF17" s="145"/>
      <c r="PJ17" s="142"/>
      <c r="RM17" s="145"/>
      <c r="AGU17" s="474">
        <v>0.05</v>
      </c>
      <c r="AGV17" s="141">
        <f>AGU17*AGV15</f>
        <v>100</v>
      </c>
      <c r="AIK17" s="141"/>
      <c r="AIL17" s="141"/>
      <c r="AIM17" s="141"/>
      <c r="AIT17" s="2" t="s">
        <v>62</v>
      </c>
      <c r="AIU17" s="141">
        <v>2161151</v>
      </c>
      <c r="AIV17" s="141">
        <f>T28</f>
        <v>4168962</v>
      </c>
      <c r="AIW17" s="4">
        <f>AIU17-AIV17</f>
        <v>-2007811</v>
      </c>
    </row>
    <row r="18" spans="2:933" x14ac:dyDescent="0.25">
      <c r="B18" s="2338"/>
      <c r="C18" s="475" t="s">
        <v>78</v>
      </c>
      <c r="D18" s="476"/>
      <c r="E18" s="477"/>
      <c r="F18" s="439"/>
      <c r="G18" s="439">
        <v>0</v>
      </c>
      <c r="H18" s="530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718"/>
      <c r="T18" s="709" t="s">
        <v>78</v>
      </c>
      <c r="U18" s="668" t="s">
        <v>78</v>
      </c>
      <c r="V18" s="770" t="s">
        <v>78</v>
      </c>
      <c r="W18" s="62"/>
      <c r="X18" s="1"/>
      <c r="Y18" s="1"/>
      <c r="Z18" s="1"/>
      <c r="AA18" s="1"/>
      <c r="AB18" s="1"/>
      <c r="AC18" s="1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R18" s="62"/>
      <c r="AT18" s="452"/>
      <c r="AU18" s="452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0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2"/>
      <c r="BY18" s="1"/>
      <c r="DA18" s="1"/>
      <c r="DF18" s="5"/>
      <c r="DG18" s="142"/>
      <c r="DH18" s="142"/>
      <c r="DI18" s="142"/>
      <c r="DJ18" s="142"/>
      <c r="FM18" s="142"/>
      <c r="JH18" s="142"/>
      <c r="JI18" s="142"/>
      <c r="JJ18" s="142"/>
      <c r="JK18" s="142"/>
      <c r="OO18" s="145">
        <f>OO17/OO11*100</f>
        <v>140.79902486666685</v>
      </c>
      <c r="OP18" s="145">
        <f>OP17/OP11*100</f>
        <v>126.47677406131612</v>
      </c>
      <c r="OR18" s="142"/>
      <c r="PF18" s="145"/>
      <c r="PJ18" s="142"/>
      <c r="RM18" s="145"/>
      <c r="AEG18" s="411" t="s">
        <v>325</v>
      </c>
      <c r="AEH18" s="411"/>
      <c r="AEI18" s="411"/>
      <c r="AEJ18" s="411"/>
      <c r="AEK18" s="411"/>
      <c r="AEL18" s="411"/>
      <c r="AEM18" s="411"/>
      <c r="AEN18" s="411"/>
      <c r="AEO18" s="411"/>
      <c r="AEP18" s="411"/>
      <c r="AEQ18" s="5" t="s">
        <v>326</v>
      </c>
      <c r="AER18" s="411" t="s">
        <v>327</v>
      </c>
      <c r="AGV18" s="141"/>
      <c r="AIK18" s="141"/>
      <c r="AIL18" s="141"/>
      <c r="AIM18" s="141"/>
      <c r="AIU18" s="141"/>
      <c r="AIV18" s="141"/>
    </row>
    <row r="19" spans="2:933" ht="15.75" thickBot="1" x14ac:dyDescent="0.3">
      <c r="B19" s="2338"/>
      <c r="C19" s="478" t="s">
        <v>77</v>
      </c>
      <c r="D19" s="442">
        <v>668731</v>
      </c>
      <c r="E19" s="479" t="s">
        <v>14</v>
      </c>
      <c r="F19" s="444">
        <v>0</v>
      </c>
      <c r="G19" s="444">
        <f>'[6]FEBUARI 2025'!$AK$19</f>
        <v>15720849</v>
      </c>
      <c r="H19" s="1516">
        <f>'[8]MARET 2025'!$AK$19</f>
        <v>2972524</v>
      </c>
      <c r="I19" s="444">
        <v>0</v>
      </c>
      <c r="J19" s="444">
        <v>0</v>
      </c>
      <c r="K19" s="444">
        <f>'JUNI 2025'!AL20+'JUNI 2025'!AL18+'JUNI 2025'!AL19</f>
        <v>16884686</v>
      </c>
      <c r="L19" s="444"/>
      <c r="M19" s="444"/>
      <c r="N19" s="444"/>
      <c r="O19" s="444"/>
      <c r="P19" s="57"/>
      <c r="Q19" s="444"/>
      <c r="R19" s="444">
        <f>'[7]Desember 24'!AL18</f>
        <v>0</v>
      </c>
      <c r="S19" s="717"/>
      <c r="T19" s="103">
        <f>SUM(F19:Q19)</f>
        <v>35578059</v>
      </c>
      <c r="U19" s="665">
        <v>399336000</v>
      </c>
      <c r="V19" s="769">
        <f>T19/U19*100</f>
        <v>8.9093041949636387</v>
      </c>
      <c r="W19" s="62"/>
      <c r="X19" s="1"/>
      <c r="Y19" s="1"/>
      <c r="Z19" s="1"/>
      <c r="AA19" s="1"/>
      <c r="AB19" s="1"/>
      <c r="AC19" s="1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R19" s="62"/>
      <c r="AT19" s="433"/>
      <c r="AU19" s="433"/>
      <c r="AV19" s="3"/>
      <c r="AW19" s="1"/>
      <c r="AX19" s="362">
        <f>AX20/D19</f>
        <v>53.192582667769251</v>
      </c>
      <c r="AY19" s="1"/>
      <c r="AZ19" s="1"/>
      <c r="BA19" s="1"/>
      <c r="BB19" s="1"/>
      <c r="BC19" s="1"/>
      <c r="BD19" s="1"/>
      <c r="BE19" s="1"/>
      <c r="BF19" s="140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1"/>
      <c r="BY19" s="1"/>
      <c r="DA19" s="1"/>
      <c r="DE19" s="480" t="s">
        <v>328</v>
      </c>
      <c r="DF19" s="5"/>
      <c r="DG19" s="141"/>
      <c r="DH19" s="141"/>
      <c r="DI19" s="141"/>
      <c r="DJ19" s="141"/>
      <c r="FM19" s="141"/>
      <c r="JH19" s="141"/>
      <c r="JI19" s="141"/>
      <c r="JJ19" s="141"/>
      <c r="JK19" s="141"/>
      <c r="OO19" s="141"/>
      <c r="OP19" s="141"/>
      <c r="OR19" s="141"/>
      <c r="PF19" s="481"/>
      <c r="PJ19" s="141"/>
      <c r="RM19" s="481"/>
      <c r="AEE19" s="141">
        <v>136359.999999986</v>
      </c>
      <c r="AEF19" s="141">
        <v>109339.999999997</v>
      </c>
      <c r="AEG19" s="482">
        <f>SUM(AEE19:AEF19)</f>
        <v>245699.999999983</v>
      </c>
      <c r="AEQ19" s="141">
        <v>34157.880000005498</v>
      </c>
      <c r="AER19" s="482">
        <f>AEG19-AEQ19</f>
        <v>211542.1199999775</v>
      </c>
      <c r="AGV19" s="141">
        <f>AGV16</f>
        <v>1884</v>
      </c>
      <c r="AIK19" s="141"/>
      <c r="AIL19" s="141"/>
      <c r="AIM19" s="141"/>
      <c r="AIU19" s="141"/>
      <c r="AIV19" s="141"/>
    </row>
    <row r="20" spans="2:933" x14ac:dyDescent="0.25">
      <c r="B20" s="2338"/>
      <c r="C20" s="478" t="s">
        <v>64</v>
      </c>
      <c r="D20" s="442">
        <v>33967</v>
      </c>
      <c r="E20" s="479" t="s">
        <v>14</v>
      </c>
      <c r="F20" s="444">
        <v>0</v>
      </c>
      <c r="G20" s="444">
        <f>'[6]FEBUARI 2025'!$AK$20</f>
        <v>769266</v>
      </c>
      <c r="H20" s="1516">
        <f>'[8]MARET 2025'!$AK$20</f>
        <v>140341</v>
      </c>
      <c r="I20" s="444">
        <v>0</v>
      </c>
      <c r="J20" s="444">
        <v>0</v>
      </c>
      <c r="K20" s="444">
        <f>'JUNI 2025'!AL21</f>
        <v>866309</v>
      </c>
      <c r="L20" s="444"/>
      <c r="M20" s="444"/>
      <c r="N20" s="444"/>
      <c r="O20" s="444"/>
      <c r="P20" s="57"/>
      <c r="Q20" s="444"/>
      <c r="R20" s="444">
        <f>'[7]Desember 24'!AL19</f>
        <v>0</v>
      </c>
      <c r="S20" s="717"/>
      <c r="T20" s="57">
        <f>SUM(F20:Q20)</f>
        <v>1775916</v>
      </c>
      <c r="U20" s="669">
        <v>19024000</v>
      </c>
      <c r="V20" s="769">
        <f>T20/U20*100</f>
        <v>9.3351345668629104</v>
      </c>
      <c r="W20" s="62"/>
      <c r="X20" s="1"/>
      <c r="Y20" s="3"/>
      <c r="Z20" s="1"/>
      <c r="AA20" s="1"/>
      <c r="AB20" s="1"/>
      <c r="AC20" s="1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R20" s="62"/>
      <c r="AT20" s="433"/>
      <c r="AU20" s="433"/>
      <c r="AV20" s="3"/>
      <c r="AW20" s="1"/>
      <c r="AX20" s="3">
        <f>T26+T30+T35+T49+T39</f>
        <v>35571529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1"/>
      <c r="BY20" s="1"/>
      <c r="DA20" s="1"/>
      <c r="DE20" s="483" t="s">
        <v>284</v>
      </c>
      <c r="DF20" s="484"/>
      <c r="DG20" s="485" t="s">
        <v>215</v>
      </c>
      <c r="DH20" s="486" t="s">
        <v>329</v>
      </c>
      <c r="DI20" s="487"/>
      <c r="DJ20" s="141"/>
      <c r="FM20" s="141"/>
      <c r="JH20" s="141"/>
      <c r="JI20" s="141"/>
      <c r="JJ20" s="141"/>
      <c r="JK20" s="141"/>
      <c r="OO20" s="141">
        <f>OO11-OO17</f>
        <v>-10993.749215568903</v>
      </c>
      <c r="OP20" s="141">
        <f>OP11-OP17</f>
        <v>-4602.5194670659002</v>
      </c>
      <c r="OR20" s="488" t="s">
        <v>330</v>
      </c>
      <c r="OS20" s="489">
        <v>0</v>
      </c>
      <c r="PE20" s="141">
        <v>564.70506750000004</v>
      </c>
      <c r="PF20" s="481">
        <f>OS20/PE20*100</f>
        <v>0</v>
      </c>
      <c r="PI20" s="474"/>
      <c r="PJ20" s="141"/>
      <c r="RM20" s="481"/>
      <c r="AEE20" s="141">
        <v>13799.9999999993</v>
      </c>
      <c r="AEF20" s="141">
        <v>2799.9999999992701</v>
      </c>
      <c r="AEG20" s="482">
        <f>SUM(AEE20:AEF20)</f>
        <v>16599.99999999857</v>
      </c>
      <c r="AEQ20" s="141">
        <v>1469.85000000024</v>
      </c>
      <c r="AER20" s="482">
        <f>AEG20-AEQ20</f>
        <v>15130.14999999833</v>
      </c>
      <c r="AGU20" s="474">
        <v>0.75</v>
      </c>
      <c r="AGV20" s="141">
        <f>AGU20*AGV19</f>
        <v>1413</v>
      </c>
      <c r="AIK20" s="141"/>
      <c r="AIL20" s="141"/>
      <c r="AIM20" s="141"/>
      <c r="AIU20" s="141"/>
      <c r="AIV20" s="141"/>
    </row>
    <row r="21" spans="2:933" x14ac:dyDescent="0.25">
      <c r="B21" s="2338"/>
      <c r="C21" s="715" t="s">
        <v>351</v>
      </c>
      <c r="D21" s="442"/>
      <c r="E21" s="496"/>
      <c r="F21" s="439"/>
      <c r="G21" s="439"/>
      <c r="H21" s="530"/>
      <c r="I21" s="439"/>
      <c r="J21" s="439"/>
      <c r="K21" s="439"/>
      <c r="L21" s="439"/>
      <c r="M21" s="439"/>
      <c r="N21" s="439"/>
      <c r="O21" s="439"/>
      <c r="P21" s="439"/>
      <c r="Q21" s="514"/>
      <c r="R21" s="514"/>
      <c r="S21" s="717"/>
      <c r="T21" s="57"/>
      <c r="U21" s="669"/>
      <c r="V21" s="769"/>
      <c r="W21" s="62"/>
      <c r="X21" s="1"/>
      <c r="Y21" s="3"/>
      <c r="Z21" s="3"/>
      <c r="AA21" s="1"/>
      <c r="AB21" s="1"/>
      <c r="AC21" s="1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R21" s="62"/>
      <c r="AT21" s="433"/>
      <c r="AU21" s="433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1"/>
      <c r="BY21" s="1"/>
      <c r="DA21" s="1"/>
      <c r="DE21" s="756"/>
      <c r="DF21" s="757"/>
      <c r="DG21" s="758"/>
      <c r="DH21" s="759"/>
      <c r="DI21" s="760"/>
      <c r="DJ21" s="141"/>
      <c r="FM21" s="141"/>
      <c r="JH21" s="141"/>
      <c r="JI21" s="141"/>
      <c r="JJ21" s="141"/>
      <c r="JK21" s="141"/>
      <c r="OO21" s="141"/>
      <c r="OP21" s="141"/>
      <c r="OR21" s="488"/>
      <c r="OS21" s="489"/>
      <c r="PE21" s="141"/>
      <c r="PF21" s="481"/>
      <c r="PI21" s="474"/>
      <c r="PJ21" s="141"/>
      <c r="RM21" s="481"/>
      <c r="AEE21" s="141"/>
      <c r="AEF21" s="141"/>
      <c r="AEG21" s="482"/>
      <c r="AEQ21" s="141"/>
      <c r="AER21" s="482"/>
      <c r="AGU21" s="474"/>
      <c r="AGV21" s="141"/>
      <c r="AIK21" s="141"/>
      <c r="AIL21" s="141"/>
      <c r="AIM21" s="141"/>
      <c r="AIU21" s="141"/>
      <c r="AIV21" s="141"/>
    </row>
    <row r="22" spans="2:933" x14ac:dyDescent="0.25">
      <c r="B22" s="2338"/>
      <c r="C22" s="1992" t="s">
        <v>84</v>
      </c>
      <c r="D22" s="1993"/>
      <c r="E22" s="496"/>
      <c r="F22" s="439"/>
      <c r="G22" s="439">
        <f>'[6]FEBUARI 2025'!$AK$22</f>
        <v>14</v>
      </c>
      <c r="H22" s="530">
        <f>'JUNI 2025'!AL23</f>
        <v>10</v>
      </c>
      <c r="I22" s="439"/>
      <c r="J22" s="439"/>
      <c r="K22" s="439"/>
      <c r="L22" s="439"/>
      <c r="M22" s="439"/>
      <c r="N22" s="6"/>
      <c r="O22" s="439"/>
      <c r="P22" s="6"/>
      <c r="Q22" s="514"/>
      <c r="R22" s="514"/>
      <c r="S22" s="717"/>
      <c r="T22" s="57"/>
      <c r="U22" s="669"/>
      <c r="V22" s="769"/>
      <c r="W22" s="62"/>
      <c r="X22" s="1"/>
      <c r="Y22" s="3"/>
      <c r="Z22" s="3"/>
      <c r="AA22" s="1"/>
      <c r="AB22" s="1"/>
      <c r="AC22" s="1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R22" s="62"/>
      <c r="AT22" s="433"/>
      <c r="AU22" s="433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1"/>
      <c r="BY22" s="1"/>
      <c r="DA22" s="1"/>
      <c r="DE22" s="756"/>
      <c r="DF22" s="757"/>
      <c r="DG22" s="758"/>
      <c r="DH22" s="759"/>
      <c r="DI22" s="760"/>
      <c r="DJ22" s="141"/>
      <c r="FM22" s="141"/>
      <c r="JH22" s="141"/>
      <c r="JI22" s="141"/>
      <c r="JJ22" s="141"/>
      <c r="JK22" s="141"/>
      <c r="OO22" s="141"/>
      <c r="OP22" s="141"/>
      <c r="OR22" s="488"/>
      <c r="OS22" s="489"/>
      <c r="PE22" s="141"/>
      <c r="PF22" s="481"/>
      <c r="PI22" s="474"/>
      <c r="PJ22" s="141"/>
      <c r="RM22" s="481"/>
      <c r="AEE22" s="141"/>
      <c r="AEF22" s="141"/>
      <c r="AEG22" s="482"/>
      <c r="AEQ22" s="141"/>
      <c r="AER22" s="482"/>
      <c r="AGU22" s="474"/>
      <c r="AGV22" s="141"/>
      <c r="AIK22" s="141"/>
      <c r="AIL22" s="141"/>
      <c r="AIM22" s="141"/>
      <c r="AIU22" s="141"/>
      <c r="AIV22" s="141"/>
    </row>
    <row r="23" spans="2:933" x14ac:dyDescent="0.25">
      <c r="B23" s="2338"/>
      <c r="C23" s="64" t="s">
        <v>354</v>
      </c>
      <c r="D23" s="1947">
        <v>426016000</v>
      </c>
      <c r="E23" s="479" t="s">
        <v>14</v>
      </c>
      <c r="F23" s="444">
        <f>F231</f>
        <v>0</v>
      </c>
      <c r="G23" s="444">
        <f>'[6]FEBUARI 2025'!$AK$24</f>
        <v>14060204</v>
      </c>
      <c r="H23" s="1516">
        <f>'[8]MARET 2025'!$AK$24</f>
        <v>4329104</v>
      </c>
      <c r="I23" s="444">
        <f t="shared" ref="I23:J23" si="3">I231</f>
        <v>0</v>
      </c>
      <c r="J23" s="444">
        <f t="shared" si="3"/>
        <v>0</v>
      </c>
      <c r="K23" s="444">
        <f>'JUNI 2025'!AL25</f>
        <v>17223447</v>
      </c>
      <c r="L23" s="444"/>
      <c r="M23" s="444"/>
      <c r="N23" s="57"/>
      <c r="O23" s="444"/>
      <c r="P23" s="57"/>
      <c r="Q23" s="444"/>
      <c r="R23" s="444"/>
      <c r="S23" s="717"/>
      <c r="T23" s="762">
        <f>SUM(F23:Q23)</f>
        <v>35612755</v>
      </c>
      <c r="U23" s="669"/>
      <c r="V23" s="769"/>
      <c r="W23" s="1065"/>
      <c r="X23" s="1">
        <f>T23/G23</f>
        <v>2.5328761232767318</v>
      </c>
      <c r="Y23" s="3"/>
      <c r="Z23" s="3"/>
      <c r="AA23" s="1"/>
      <c r="AB23" s="1"/>
      <c r="AC23" s="1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R23" s="62"/>
      <c r="AT23" s="433"/>
      <c r="AU23" s="433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1"/>
      <c r="BY23" s="1"/>
      <c r="DA23" s="1"/>
      <c r="DE23" s="756"/>
      <c r="DF23" s="757"/>
      <c r="DG23" s="758"/>
      <c r="DH23" s="759"/>
      <c r="DI23" s="760"/>
      <c r="DJ23" s="141"/>
      <c r="FM23" s="141"/>
      <c r="JH23" s="141"/>
      <c r="JI23" s="141"/>
      <c r="JJ23" s="141"/>
      <c r="JK23" s="141"/>
      <c r="OO23" s="141"/>
      <c r="OP23" s="141"/>
      <c r="OR23" s="488"/>
      <c r="OS23" s="489"/>
      <c r="PE23" s="141"/>
      <c r="PF23" s="481"/>
      <c r="PI23" s="474"/>
      <c r="PJ23" s="141"/>
      <c r="RM23" s="481"/>
      <c r="AEE23" s="141"/>
      <c r="AEF23" s="141"/>
      <c r="AEG23" s="482"/>
      <c r="AEQ23" s="141"/>
      <c r="AER23" s="482"/>
      <c r="AGU23" s="474"/>
      <c r="AGV23" s="141"/>
      <c r="AIK23" s="141"/>
      <c r="AIL23" s="141"/>
      <c r="AIM23" s="141"/>
      <c r="AIU23" s="141"/>
      <c r="AIV23" s="141"/>
    </row>
    <row r="24" spans="2:933" x14ac:dyDescent="0.25">
      <c r="B24" s="2338"/>
      <c r="C24" s="14" t="s">
        <v>353</v>
      </c>
      <c r="D24" s="761"/>
      <c r="E24" s="496" t="s">
        <v>14</v>
      </c>
      <c r="F24" s="439">
        <v>0</v>
      </c>
      <c r="G24" s="439">
        <f>'[6]FEBUARI 2025'!$AK$28</f>
        <v>13935326</v>
      </c>
      <c r="H24" s="530">
        <f>'[8]MARET 2025'!$AK$31</f>
        <v>3843596</v>
      </c>
      <c r="I24" s="439">
        <v>0</v>
      </c>
      <c r="J24" s="439">
        <v>0</v>
      </c>
      <c r="K24" s="439">
        <f>K26</f>
        <v>17792607</v>
      </c>
      <c r="L24" s="439"/>
      <c r="M24" s="439"/>
      <c r="N24" s="439"/>
      <c r="O24" s="439"/>
      <c r="P24" s="54"/>
      <c r="Q24" s="439"/>
      <c r="R24" s="439"/>
      <c r="S24" s="717"/>
      <c r="T24" s="763">
        <f>SUM(F24:Q24)</f>
        <v>35571529</v>
      </c>
      <c r="U24" s="669"/>
      <c r="V24" s="769"/>
      <c r="W24" s="62"/>
      <c r="X24" s="1"/>
      <c r="Y24" s="3"/>
      <c r="Z24" s="3"/>
      <c r="AA24" s="1"/>
      <c r="AB24" s="1"/>
      <c r="AC24" s="1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R24" s="62"/>
      <c r="AT24" s="433"/>
      <c r="AU24" s="433"/>
      <c r="AV24" s="3"/>
      <c r="AW24" s="1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41"/>
      <c r="BY24" s="1"/>
      <c r="DA24" s="1"/>
      <c r="DE24" s="756"/>
      <c r="DF24" s="757"/>
      <c r="DG24" s="758"/>
      <c r="DH24" s="759"/>
      <c r="DI24" s="760"/>
      <c r="DJ24" s="141"/>
      <c r="FM24" s="141"/>
      <c r="JH24" s="141"/>
      <c r="JI24" s="141"/>
      <c r="JJ24" s="141"/>
      <c r="JK24" s="141"/>
      <c r="OO24" s="141"/>
      <c r="OP24" s="141"/>
      <c r="OR24" s="488"/>
      <c r="OS24" s="489"/>
      <c r="PE24" s="141"/>
      <c r="PF24" s="481"/>
      <c r="PI24" s="474"/>
      <c r="PJ24" s="141"/>
      <c r="RM24" s="481"/>
      <c r="AEE24" s="141"/>
      <c r="AEF24" s="141"/>
      <c r="AEG24" s="482"/>
      <c r="AEQ24" s="141"/>
      <c r="AER24" s="482"/>
      <c r="AGU24" s="474"/>
      <c r="AGV24" s="141"/>
      <c r="AIK24" s="141"/>
      <c r="AIL24" s="141"/>
      <c r="AIM24" s="141"/>
      <c r="AIU24" s="141"/>
      <c r="AIV24" s="141"/>
    </row>
    <row r="25" spans="2:933" ht="15.75" thickBot="1" x14ac:dyDescent="0.3">
      <c r="B25" s="2338"/>
      <c r="C25" s="490" t="s">
        <v>76</v>
      </c>
      <c r="D25" s="491"/>
      <c r="E25" s="492"/>
      <c r="F25" s="429"/>
      <c r="G25" s="429"/>
      <c r="H25" s="1515"/>
      <c r="I25" s="429"/>
      <c r="J25" s="429"/>
      <c r="K25" s="429"/>
      <c r="L25" s="429"/>
      <c r="M25" s="429"/>
      <c r="N25" s="429"/>
      <c r="O25" s="429"/>
      <c r="P25" s="429"/>
      <c r="Q25" s="429"/>
      <c r="R25" s="429"/>
      <c r="S25" s="717"/>
      <c r="T25" s="710" t="s">
        <v>63</v>
      </c>
      <c r="U25" s="670" t="s">
        <v>63</v>
      </c>
      <c r="V25" s="771" t="s">
        <v>63</v>
      </c>
      <c r="W25" s="62"/>
      <c r="X25" s="1"/>
      <c r="Y25" s="1"/>
      <c r="Z25" s="1"/>
      <c r="AA25" s="1"/>
      <c r="AB25" s="1"/>
      <c r="AC25" s="1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R25" s="62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"/>
      <c r="BY25" s="1"/>
      <c r="DA25" s="1"/>
      <c r="DE25" s="421"/>
      <c r="DF25" s="493"/>
      <c r="DG25" s="423">
        <v>24</v>
      </c>
      <c r="DH25" s="424">
        <v>2</v>
      </c>
      <c r="DI25" s="425">
        <v>3</v>
      </c>
      <c r="OR25" s="488" t="s">
        <v>61</v>
      </c>
      <c r="OS25" s="494">
        <f>80.53776+PF35</f>
        <v>120.78492</v>
      </c>
      <c r="PE25" s="141">
        <v>4695.7554</v>
      </c>
      <c r="PF25" s="481">
        <f>OS25/PE25*100</f>
        <v>2.5722148985869238</v>
      </c>
      <c r="AGU25" s="474">
        <v>0.25</v>
      </c>
      <c r="AGV25" s="141">
        <f>AGU25*AGV19</f>
        <v>471</v>
      </c>
    </row>
    <row r="26" spans="2:933" x14ac:dyDescent="0.25">
      <c r="B26" s="2338"/>
      <c r="C26" s="478" t="s">
        <v>75</v>
      </c>
      <c r="D26" s="495"/>
      <c r="E26" s="496" t="s">
        <v>14</v>
      </c>
      <c r="F26" s="439">
        <v>0</v>
      </c>
      <c r="G26" s="444">
        <f>G27+G28</f>
        <v>211017</v>
      </c>
      <c r="H26" s="444">
        <f>H27+H28</f>
        <v>3843596</v>
      </c>
      <c r="I26" s="439">
        <v>0</v>
      </c>
      <c r="J26" s="439">
        <v>0</v>
      </c>
      <c r="K26" s="444">
        <f>K27+K28</f>
        <v>17792607</v>
      </c>
      <c r="L26" s="439"/>
      <c r="M26" s="439"/>
      <c r="N26" s="439"/>
      <c r="O26" s="439"/>
      <c r="P26" s="54"/>
      <c r="Q26" s="439"/>
      <c r="R26" s="439">
        <f>R27+R28</f>
        <v>0</v>
      </c>
      <c r="S26" s="717"/>
      <c r="T26" s="57">
        <f>T27+T28</f>
        <v>21847220</v>
      </c>
      <c r="U26" s="665">
        <f>U27+U28</f>
        <v>87311000</v>
      </c>
      <c r="V26" s="769">
        <f>T26/U26*100</f>
        <v>25.02229959569814</v>
      </c>
      <c r="W26" s="62"/>
      <c r="X26" s="1"/>
      <c r="Y26" s="3"/>
      <c r="Z26" s="1"/>
      <c r="AA26" s="1"/>
      <c r="AB26" s="1"/>
      <c r="AC26" s="1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R26" s="62"/>
      <c r="AT26" s="452"/>
      <c r="AU26" s="452"/>
      <c r="AV26" s="1"/>
      <c r="AW26" s="1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42"/>
      <c r="BY26" s="1"/>
      <c r="DA26" s="1"/>
      <c r="DE26" s="431" t="s">
        <v>313</v>
      </c>
      <c r="DF26" s="5" t="s">
        <v>14</v>
      </c>
      <c r="DG26" s="432">
        <v>2000530</v>
      </c>
      <c r="DH26" s="452">
        <v>2005167</v>
      </c>
      <c r="DI26" s="434">
        <v>2025879</v>
      </c>
      <c r="DJ26" s="142"/>
      <c r="FM26" s="142"/>
      <c r="JH26" s="142"/>
      <c r="JI26" s="142"/>
      <c r="JJ26" s="142"/>
      <c r="JK26" s="142"/>
      <c r="OO26" s="142"/>
      <c r="OP26" s="142"/>
      <c r="OR26" s="142"/>
      <c r="PF26" s="145"/>
      <c r="PJ26" s="142"/>
      <c r="RM26" s="145"/>
      <c r="AEE26" s="4">
        <f>95.28%*AEE11</f>
        <v>34157.880000005527</v>
      </c>
      <c r="AEG26" s="4">
        <f>AEE19-AEQ19</f>
        <v>102202.1199999805</v>
      </c>
      <c r="AGV26" s="141"/>
      <c r="AIK26" s="141"/>
      <c r="AIL26" s="141"/>
      <c r="AIM26" s="141"/>
      <c r="AIQ26" s="1" t="s">
        <v>331</v>
      </c>
    </row>
    <row r="27" spans="2:933" x14ac:dyDescent="0.25">
      <c r="B27" s="2338"/>
      <c r="C27" s="478" t="s">
        <v>74</v>
      </c>
      <c r="D27" s="495">
        <v>349333</v>
      </c>
      <c r="E27" s="479" t="s">
        <v>14</v>
      </c>
      <c r="F27" s="444">
        <v>0</v>
      </c>
      <c r="G27" s="444">
        <f>'[6]FEBUARI 2025'!$AK$32</f>
        <v>170017</v>
      </c>
      <c r="H27" s="1516">
        <f>'[8]MARET 2025'!$AK$32</f>
        <v>3182683</v>
      </c>
      <c r="I27" s="444">
        <v>0</v>
      </c>
      <c r="J27" s="444">
        <v>0</v>
      </c>
      <c r="K27" s="444">
        <f>'JUNI 2025'!AL33</f>
        <v>14325558</v>
      </c>
      <c r="L27" s="444"/>
      <c r="M27" s="444"/>
      <c r="N27" s="444"/>
      <c r="O27" s="444"/>
      <c r="P27" s="57"/>
      <c r="Q27" s="444"/>
      <c r="R27" s="444">
        <f>'[7]Desember 24'!AL22</f>
        <v>0</v>
      </c>
      <c r="S27" s="717"/>
      <c r="T27" s="57">
        <f>SUM(F27:Q27)</f>
        <v>17678258</v>
      </c>
      <c r="U27" s="669">
        <v>71627000</v>
      </c>
      <c r="V27" s="769">
        <f>T27/U27*100</f>
        <v>24.680997389252656</v>
      </c>
      <c r="W27" s="62"/>
      <c r="X27" s="1"/>
      <c r="Y27" s="3"/>
      <c r="Z27" s="1"/>
      <c r="AA27" s="1"/>
      <c r="AB27" s="1"/>
      <c r="AC27" s="1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R27" s="62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45" t="s">
        <v>320</v>
      </c>
      <c r="DF27" s="446" t="s">
        <v>19</v>
      </c>
      <c r="DG27" s="447">
        <v>255.536188590634</v>
      </c>
      <c r="DH27" s="497">
        <v>255.09239449100701</v>
      </c>
      <c r="DI27" s="449">
        <v>260.824545250543</v>
      </c>
      <c r="OO27" s="470" t="e">
        <f>#REF!/1000</f>
        <v>#REF!</v>
      </c>
      <c r="OR27" s="498" t="s">
        <v>332</v>
      </c>
      <c r="OS27" s="141">
        <v>0</v>
      </c>
      <c r="PE27" s="141">
        <v>9.7534799999999997</v>
      </c>
      <c r="PF27" s="481">
        <f>(OS27*PE27)/1000</f>
        <v>0</v>
      </c>
      <c r="AEE27" s="4">
        <f>4.1%*AEE11</f>
        <v>1469.8500000002375</v>
      </c>
      <c r="AEG27" s="4">
        <f>AEE20-AEQ20</f>
        <v>12330.149999999059</v>
      </c>
    </row>
    <row r="28" spans="2:933" x14ac:dyDescent="0.25">
      <c r="B28" s="2338"/>
      <c r="C28" s="478" t="s">
        <v>73</v>
      </c>
      <c r="D28" s="495">
        <v>76683</v>
      </c>
      <c r="E28" s="479" t="s">
        <v>14</v>
      </c>
      <c r="F28" s="444">
        <v>0</v>
      </c>
      <c r="G28" s="444">
        <f>'[6]FEBUARI 2025'!$AK$33</f>
        <v>41000</v>
      </c>
      <c r="H28" s="1516">
        <f>'[8]MARET 2025'!$AK$33</f>
        <v>660913</v>
      </c>
      <c r="I28" s="444">
        <v>0</v>
      </c>
      <c r="J28" s="444">
        <v>0</v>
      </c>
      <c r="K28" s="444">
        <f>'JUNI 2025'!AL34</f>
        <v>3467049</v>
      </c>
      <c r="L28" s="444"/>
      <c r="M28" s="444"/>
      <c r="N28" s="444"/>
      <c r="O28" s="444"/>
      <c r="P28" s="57"/>
      <c r="Q28" s="444"/>
      <c r="R28" s="444">
        <f>'[7]Desember 24'!AL23</f>
        <v>0</v>
      </c>
      <c r="S28" s="717"/>
      <c r="T28" s="57">
        <f>SUM(F28:Q28)</f>
        <v>4168962</v>
      </c>
      <c r="U28" s="669">
        <v>15684000</v>
      </c>
      <c r="V28" s="769">
        <f>T28/U28*100</f>
        <v>26.580986993114003</v>
      </c>
      <c r="W28" s="62"/>
      <c r="X28" s="1"/>
      <c r="Y28" s="1"/>
      <c r="Z28" s="1"/>
      <c r="AA28" s="1"/>
      <c r="AB28" s="1"/>
      <c r="AC28" s="1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R28" s="62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31" t="s">
        <v>323</v>
      </c>
      <c r="DF28" s="5" t="s">
        <v>14</v>
      </c>
      <c r="DG28" s="432">
        <v>146000</v>
      </c>
      <c r="DH28" s="433">
        <v>151100</v>
      </c>
      <c r="DI28" s="434">
        <v>152900</v>
      </c>
      <c r="OO28" s="141">
        <v>1796</v>
      </c>
      <c r="OQ28" s="481"/>
      <c r="OR28" s="498" t="s">
        <v>333</v>
      </c>
      <c r="OS28" s="470">
        <v>1262</v>
      </c>
      <c r="PE28" s="1">
        <v>10.86</v>
      </c>
      <c r="PF28" s="481">
        <f>(OS28*PE28)/1000</f>
        <v>13.70532</v>
      </c>
      <c r="AIQ28" s="2" t="s">
        <v>334</v>
      </c>
    </row>
    <row r="29" spans="2:933" hidden="1" x14ac:dyDescent="0.25">
      <c r="B29" s="2338"/>
      <c r="C29" s="490" t="s">
        <v>104</v>
      </c>
      <c r="D29" s="495"/>
      <c r="E29" s="499"/>
      <c r="F29" s="500"/>
      <c r="G29" s="500"/>
      <c r="H29" s="1518"/>
      <c r="I29" s="500"/>
      <c r="J29" s="500"/>
      <c r="K29" s="500"/>
      <c r="L29" s="500"/>
      <c r="M29" s="500"/>
      <c r="N29" s="500"/>
      <c r="O29" s="500"/>
      <c r="P29" s="500"/>
      <c r="Q29" s="500"/>
      <c r="R29" s="500"/>
      <c r="S29" s="717"/>
      <c r="T29" s="710" t="s">
        <v>106</v>
      </c>
      <c r="U29" s="670" t="s">
        <v>106</v>
      </c>
      <c r="V29" s="771" t="s">
        <v>106</v>
      </c>
      <c r="W29" s="62"/>
      <c r="X29" s="3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R29" s="62"/>
      <c r="AT29" s="1"/>
      <c r="AU29" s="1"/>
      <c r="AV29" s="3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31"/>
      <c r="DF29" s="5"/>
      <c r="DG29" s="432"/>
      <c r="DH29" s="433"/>
      <c r="DI29" s="434"/>
      <c r="OO29" s="141"/>
      <c r="OQ29" s="481"/>
      <c r="OR29" s="498"/>
      <c r="OS29" s="470"/>
      <c r="PE29" s="1"/>
      <c r="PF29" s="481"/>
      <c r="AIQ29" s="2"/>
    </row>
    <row r="30" spans="2:933" hidden="1" x14ac:dyDescent="0.25">
      <c r="B30" s="2338"/>
      <c r="C30" s="478" t="s">
        <v>75</v>
      </c>
      <c r="D30" s="495"/>
      <c r="E30" s="479" t="s">
        <v>14</v>
      </c>
      <c r="F30" s="444">
        <v>0</v>
      </c>
      <c r="G30" s="444">
        <v>0</v>
      </c>
      <c r="H30" s="1516">
        <v>0</v>
      </c>
      <c r="I30" s="444">
        <v>0</v>
      </c>
      <c r="J30" s="444">
        <v>0</v>
      </c>
      <c r="K30" s="444"/>
      <c r="L30" s="444"/>
      <c r="M30" s="444"/>
      <c r="N30" s="444"/>
      <c r="O30" s="444"/>
      <c r="P30" s="444"/>
      <c r="Q30" s="444"/>
      <c r="R30" s="444">
        <f>R31+R32</f>
        <v>0</v>
      </c>
      <c r="S30" s="717"/>
      <c r="T30" s="57">
        <f>T31+T32</f>
        <v>0</v>
      </c>
      <c r="U30" s="665">
        <f>U31+U32</f>
        <v>5121000</v>
      </c>
      <c r="V30" s="769">
        <f>T30/U30*100</f>
        <v>0</v>
      </c>
      <c r="W30" s="365"/>
      <c r="X30" s="1"/>
      <c r="Y30" s="62"/>
      <c r="Z30" s="62"/>
      <c r="AA30" s="62"/>
      <c r="AB30" s="62"/>
      <c r="AC30" s="62"/>
      <c r="AD30" s="62"/>
      <c r="AE30" s="62"/>
      <c r="AF30" s="805"/>
      <c r="AG30" s="805"/>
      <c r="AH30" s="805"/>
      <c r="AI30" s="805"/>
      <c r="AJ30" s="805"/>
      <c r="AK30" s="805"/>
      <c r="AL30" s="805"/>
      <c r="AM30" s="805"/>
      <c r="AN30" s="62"/>
      <c r="AO30" s="62"/>
      <c r="AP30" s="62"/>
      <c r="AR30" s="62"/>
      <c r="AT30" s="1"/>
      <c r="AU30" s="1"/>
      <c r="AV30" s="3"/>
      <c r="AW30" s="1"/>
      <c r="AX30" s="365">
        <f>T30+T35</f>
        <v>0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1"/>
      <c r="DF30" s="5"/>
      <c r="DG30" s="432"/>
      <c r="DH30" s="433"/>
      <c r="DI30" s="434"/>
      <c r="OO30" s="141"/>
      <c r="OQ30" s="481"/>
      <c r="OR30" s="498"/>
      <c r="OS30" s="470"/>
      <c r="PE30" s="1"/>
      <c r="PF30" s="481"/>
      <c r="AIQ30" s="2"/>
    </row>
    <row r="31" spans="2:933" hidden="1" x14ac:dyDescent="0.25">
      <c r="B31" s="2338"/>
      <c r="C31" s="478" t="s">
        <v>105</v>
      </c>
      <c r="D31" s="495"/>
      <c r="E31" s="479" t="s">
        <v>14</v>
      </c>
      <c r="F31" s="444">
        <v>0</v>
      </c>
      <c r="G31" s="444">
        <v>0</v>
      </c>
      <c r="H31" s="1516">
        <v>0</v>
      </c>
      <c r="I31" s="444">
        <v>0</v>
      </c>
      <c r="J31" s="444">
        <v>0</v>
      </c>
      <c r="K31" s="444"/>
      <c r="L31" s="444"/>
      <c r="M31" s="444"/>
      <c r="N31" s="444"/>
      <c r="O31" s="444"/>
      <c r="P31" s="444"/>
      <c r="Q31" s="444"/>
      <c r="R31" s="444">
        <f>'[7]Desember 24'!AL26</f>
        <v>0</v>
      </c>
      <c r="S31" s="717"/>
      <c r="T31" s="57">
        <f>SUM(F31:Q31)</f>
        <v>0</v>
      </c>
      <c r="U31" s="669">
        <v>3934000</v>
      </c>
      <c r="V31" s="769">
        <f>T31/U31*100</f>
        <v>0</v>
      </c>
      <c r="W31" s="365"/>
      <c r="X31" s="1"/>
      <c r="Y31" s="62"/>
      <c r="Z31" s="62"/>
      <c r="AA31" s="62"/>
      <c r="AB31" s="62"/>
      <c r="AC31" s="62"/>
      <c r="AD31" s="62"/>
      <c r="AE31" s="62"/>
      <c r="AF31" s="805"/>
      <c r="AG31" s="805"/>
      <c r="AH31" s="62"/>
      <c r="AI31" s="62"/>
      <c r="AJ31" s="62"/>
      <c r="AK31" s="62"/>
      <c r="AL31" s="62"/>
      <c r="AM31" s="62"/>
      <c r="AN31" s="62"/>
      <c r="AO31" s="62"/>
      <c r="AP31" s="62"/>
      <c r="AR31" s="62"/>
      <c r="AT31" s="1"/>
      <c r="AU31" s="1"/>
      <c r="AV31" s="3"/>
      <c r="AW31" s="1"/>
      <c r="AX31" s="365">
        <f>T31+T36</f>
        <v>0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1"/>
      <c r="DF31" s="5"/>
      <c r="DG31" s="432"/>
      <c r="DH31" s="433"/>
      <c r="DI31" s="434"/>
      <c r="OO31" s="141"/>
      <c r="OQ31" s="481"/>
      <c r="OR31" s="498"/>
      <c r="OS31" s="470"/>
      <c r="PE31" s="1"/>
      <c r="PF31" s="481"/>
      <c r="AIQ31" s="2"/>
    </row>
    <row r="32" spans="2:933" hidden="1" x14ac:dyDescent="0.25">
      <c r="B32" s="2338"/>
      <c r="C32" s="478" t="s">
        <v>73</v>
      </c>
      <c r="D32" s="495"/>
      <c r="E32" s="479" t="s">
        <v>14</v>
      </c>
      <c r="F32" s="444">
        <v>0</v>
      </c>
      <c r="G32" s="444">
        <v>0</v>
      </c>
      <c r="H32" s="1516">
        <v>0</v>
      </c>
      <c r="I32" s="444">
        <v>0</v>
      </c>
      <c r="J32" s="444">
        <v>0</v>
      </c>
      <c r="K32" s="444"/>
      <c r="L32" s="444"/>
      <c r="M32" s="444"/>
      <c r="N32" s="444"/>
      <c r="O32" s="444"/>
      <c r="P32" s="444"/>
      <c r="Q32" s="444"/>
      <c r="R32" s="444">
        <f>'[7]Desember 24'!AL27</f>
        <v>0</v>
      </c>
      <c r="S32" s="717"/>
      <c r="T32" s="57">
        <f>SUM(F32:Q32)</f>
        <v>0</v>
      </c>
      <c r="U32" s="669">
        <v>1187000</v>
      </c>
      <c r="V32" s="769">
        <f>T32/U32*100</f>
        <v>0</v>
      </c>
      <c r="W32" s="365"/>
      <c r="X32" s="1"/>
      <c r="Y32" s="62"/>
      <c r="Z32" s="62"/>
      <c r="AA32" s="62"/>
      <c r="AB32" s="62"/>
      <c r="AC32" s="62"/>
      <c r="AD32" s="62"/>
      <c r="AE32" s="62"/>
      <c r="AF32" s="805"/>
      <c r="AG32" s="805"/>
      <c r="AH32" s="62"/>
      <c r="AI32" s="62"/>
      <c r="AJ32" s="62"/>
      <c r="AK32" s="62"/>
      <c r="AL32" s="62"/>
      <c r="AM32" s="62"/>
      <c r="AN32" s="62"/>
      <c r="AO32" s="62"/>
      <c r="AP32" s="62"/>
      <c r="AR32" s="62"/>
      <c r="AT32" s="1"/>
      <c r="AU32" s="1"/>
      <c r="AV32" s="3"/>
      <c r="AW32" s="1"/>
      <c r="AX32" s="365">
        <f>T32+T37</f>
        <v>0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31"/>
      <c r="DF32" s="5"/>
      <c r="DG32" s="432"/>
      <c r="DH32" s="433"/>
      <c r="DI32" s="434"/>
      <c r="OO32" s="141"/>
      <c r="OQ32" s="481"/>
      <c r="OR32" s="498"/>
      <c r="OS32" s="470"/>
      <c r="PE32" s="1"/>
      <c r="PF32" s="481"/>
      <c r="AIQ32" s="2"/>
    </row>
    <row r="33" spans="1:14939" ht="15.75" hidden="1" thickBot="1" x14ac:dyDescent="0.3">
      <c r="B33" s="2338"/>
      <c r="C33" s="490" t="s">
        <v>107</v>
      </c>
      <c r="D33" s="501"/>
      <c r="E33" s="492"/>
      <c r="F33" s="429"/>
      <c r="G33" s="429"/>
      <c r="H33" s="1515"/>
      <c r="I33" s="429"/>
      <c r="J33" s="429"/>
      <c r="K33" s="429"/>
      <c r="L33" s="429"/>
      <c r="M33" s="429"/>
      <c r="N33" s="429"/>
      <c r="O33" s="429"/>
      <c r="P33" s="429"/>
      <c r="Q33" s="429"/>
      <c r="R33" s="429"/>
      <c r="S33" s="717"/>
      <c r="T33" s="710" t="s">
        <v>108</v>
      </c>
      <c r="U33" s="670" t="s">
        <v>108</v>
      </c>
      <c r="V33" s="771" t="s">
        <v>108</v>
      </c>
      <c r="W33" s="62"/>
      <c r="X33" s="1"/>
      <c r="Y33" s="62"/>
      <c r="Z33" s="62"/>
      <c r="AA33" s="62"/>
      <c r="AB33" s="62"/>
      <c r="AC33" s="62"/>
      <c r="AD33" s="62"/>
      <c r="AE33" s="62"/>
      <c r="AF33" s="2336"/>
      <c r="AG33" s="2336"/>
      <c r="AH33" s="62"/>
      <c r="AI33" s="62"/>
      <c r="AJ33" s="62"/>
      <c r="AK33" s="62"/>
      <c r="AL33" s="62"/>
      <c r="AM33" s="62"/>
      <c r="AN33" s="62"/>
      <c r="AO33" s="62"/>
      <c r="AP33" s="62"/>
      <c r="AR33" s="62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V33" s="1"/>
      <c r="BW33" s="1"/>
      <c r="BX33" s="1"/>
      <c r="BY33" s="1"/>
      <c r="DA33" s="1"/>
      <c r="DE33" s="465"/>
      <c r="DF33" s="466" t="s">
        <v>324</v>
      </c>
      <c r="DG33" s="502">
        <f>DG28/(DG26/1000)</f>
        <v>72.980660125066862</v>
      </c>
      <c r="DH33" s="503">
        <f>DH28/(DH26/1000)</f>
        <v>75.35531953198911</v>
      </c>
      <c r="DI33" s="504">
        <f>DI28/(DI26/1000)</f>
        <v>75.473411788167013</v>
      </c>
      <c r="OO33" s="481" t="e">
        <f>OO27/OO28*100</f>
        <v>#REF!</v>
      </c>
      <c r="OQ33" s="481"/>
      <c r="OR33" s="498" t="s">
        <v>335</v>
      </c>
      <c r="OS33" s="470">
        <v>2444</v>
      </c>
      <c r="PE33" s="1">
        <v>10.86</v>
      </c>
      <c r="PF33" s="481">
        <f>(OS33*PE33)/1000</f>
        <v>26.541840000000001</v>
      </c>
      <c r="AIQ33" s="2" t="s">
        <v>315</v>
      </c>
    </row>
    <row r="34" spans="1:14939" hidden="1" x14ac:dyDescent="0.25">
      <c r="A34" s="16"/>
      <c r="B34" s="2338"/>
      <c r="C34" s="505" t="s">
        <v>71</v>
      </c>
      <c r="D34" s="506"/>
      <c r="E34" s="507" t="s">
        <v>14</v>
      </c>
      <c r="F34" s="444">
        <v>0</v>
      </c>
      <c r="G34" s="444">
        <v>0</v>
      </c>
      <c r="H34" s="1516">
        <v>0</v>
      </c>
      <c r="I34" s="444">
        <v>0</v>
      </c>
      <c r="J34" s="444">
        <v>0</v>
      </c>
      <c r="K34" s="444"/>
      <c r="L34" s="444"/>
      <c r="M34" s="444"/>
      <c r="N34" s="444"/>
      <c r="O34" s="444"/>
      <c r="P34" s="444"/>
      <c r="Q34" s="444"/>
      <c r="R34" s="444">
        <f>'[7]Desember 24'!AL29</f>
        <v>0</v>
      </c>
      <c r="S34" s="719"/>
      <c r="T34" s="508">
        <f>SUM(F34:Q34)</f>
        <v>0</v>
      </c>
      <c r="U34" s="671">
        <f>U35/U57%</f>
        <v>32338304.029689282</v>
      </c>
      <c r="V34" s="769">
        <f>(T34/U34)*100</f>
        <v>0</v>
      </c>
      <c r="W34" s="806"/>
      <c r="X34" s="16"/>
      <c r="Y34" s="806"/>
      <c r="Z34" s="806"/>
      <c r="AA34" s="806"/>
      <c r="AB34" s="806"/>
      <c r="AC34" s="806"/>
      <c r="AD34" s="806"/>
      <c r="AE34" s="806"/>
      <c r="AF34" s="807"/>
      <c r="AG34" s="807"/>
      <c r="AH34" s="806"/>
      <c r="AI34" s="806"/>
      <c r="AJ34" s="806"/>
      <c r="AK34" s="806"/>
      <c r="AL34" s="806"/>
      <c r="AM34" s="806"/>
      <c r="AN34" s="806"/>
      <c r="AO34" s="806"/>
      <c r="AP34" s="806"/>
      <c r="AQ34" s="806"/>
      <c r="AR34" s="806"/>
      <c r="AS34" s="806"/>
      <c r="AT34" s="808"/>
      <c r="AU34" s="808"/>
      <c r="AV34" s="16"/>
      <c r="AW34" s="16"/>
      <c r="AX34" s="1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V34" s="16"/>
      <c r="BW34" s="16"/>
      <c r="BX34" s="144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F34" s="5" t="s">
        <v>324</v>
      </c>
      <c r="DG34" s="145" t="e">
        <f>DG28/(DG20/1000)</f>
        <v>#VALUE!</v>
      </c>
      <c r="DH34" s="145" t="e">
        <f>DI28/(DH20/1000)</f>
        <v>#VALUE!</v>
      </c>
      <c r="DI34" s="145" t="e">
        <f>#REF!/(DI20/1000)</f>
        <v>#REF!</v>
      </c>
      <c r="DJ34" s="144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44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44"/>
      <c r="JI34" s="144"/>
      <c r="JJ34" s="144"/>
      <c r="JK34" s="144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44"/>
      <c r="OP34" s="144"/>
      <c r="OQ34" s="509"/>
      <c r="OR34" s="144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509"/>
      <c r="PG34" s="16"/>
      <c r="PH34" s="16"/>
      <c r="PI34" s="16"/>
      <c r="PJ34" s="144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509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44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44"/>
      <c r="AIL34" s="144"/>
      <c r="AIM34" s="144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  <c r="BMQ34" s="16"/>
      <c r="BMR34" s="16"/>
      <c r="BMS34" s="16"/>
      <c r="BMT34" s="16"/>
      <c r="BMU34" s="16"/>
      <c r="BMV34" s="16"/>
      <c r="BMW34" s="16"/>
      <c r="BMX34" s="16"/>
      <c r="BMY34" s="16"/>
      <c r="BMZ34" s="16"/>
      <c r="BNA34" s="16"/>
      <c r="BNB34" s="16"/>
      <c r="BNC34" s="16"/>
      <c r="BND34" s="16"/>
      <c r="BNE34" s="16"/>
      <c r="BNF34" s="16"/>
      <c r="BNG34" s="16"/>
      <c r="BNH34" s="16"/>
      <c r="BNI34" s="16"/>
      <c r="BNJ34" s="16"/>
      <c r="BNK34" s="16"/>
      <c r="BNL34" s="16"/>
      <c r="BNM34" s="16"/>
      <c r="BNN34" s="16"/>
      <c r="BNO34" s="16"/>
      <c r="BNP34" s="16"/>
      <c r="BNQ34" s="16"/>
      <c r="BNR34" s="16"/>
      <c r="BNS34" s="16"/>
      <c r="BNT34" s="16"/>
      <c r="BNU34" s="16"/>
      <c r="BNV34" s="16"/>
      <c r="BNW34" s="16"/>
      <c r="BNX34" s="16"/>
      <c r="BNY34" s="16"/>
      <c r="BNZ34" s="16"/>
      <c r="BOA34" s="16"/>
      <c r="BOB34" s="16"/>
      <c r="BOC34" s="16"/>
      <c r="BOD34" s="16"/>
      <c r="BOE34" s="16"/>
      <c r="BOF34" s="16"/>
      <c r="BOG34" s="16"/>
      <c r="BOH34" s="16"/>
      <c r="BOI34" s="16"/>
      <c r="BOJ34" s="16"/>
      <c r="BOK34" s="16"/>
      <c r="BOL34" s="16"/>
      <c r="BOM34" s="16"/>
      <c r="BON34" s="16"/>
      <c r="BOO34" s="16"/>
      <c r="BOP34" s="16"/>
      <c r="BOQ34" s="16"/>
      <c r="BOR34" s="16"/>
      <c r="BOS34" s="16"/>
      <c r="BOT34" s="16"/>
      <c r="BOU34" s="16"/>
      <c r="BOV34" s="16"/>
      <c r="BOW34" s="16"/>
      <c r="BOX34" s="16"/>
      <c r="BOY34" s="16"/>
      <c r="BOZ34" s="16"/>
      <c r="BPA34" s="16"/>
      <c r="BPB34" s="16"/>
      <c r="BPC34" s="16"/>
      <c r="BPD34" s="16"/>
      <c r="BPE34" s="16"/>
      <c r="BPF34" s="16"/>
      <c r="BPG34" s="16"/>
      <c r="BPH34" s="16"/>
      <c r="BPI34" s="16"/>
      <c r="BPJ34" s="16"/>
      <c r="BPK34" s="16"/>
      <c r="BPL34" s="16"/>
      <c r="BPM34" s="16"/>
      <c r="BPN34" s="16"/>
      <c r="BPO34" s="16"/>
      <c r="BPP34" s="16"/>
      <c r="BPQ34" s="16"/>
      <c r="BPR34" s="16"/>
      <c r="BPS34" s="16"/>
      <c r="BPT34" s="16"/>
      <c r="BPU34" s="16"/>
      <c r="BPV34" s="16"/>
      <c r="BPW34" s="16"/>
      <c r="BPX34" s="16"/>
      <c r="BPY34" s="16"/>
      <c r="BPZ34" s="16"/>
      <c r="BQA34" s="16"/>
      <c r="BQB34" s="16"/>
      <c r="BQC34" s="16"/>
      <c r="BQD34" s="16"/>
      <c r="BQE34" s="16"/>
      <c r="BQF34" s="16"/>
      <c r="BQG34" s="16"/>
      <c r="BQH34" s="16"/>
      <c r="BQI34" s="16"/>
      <c r="BQJ34" s="16"/>
      <c r="BQK34" s="16"/>
      <c r="BQL34" s="16"/>
      <c r="BQM34" s="16"/>
      <c r="BQN34" s="16"/>
      <c r="BQO34" s="16"/>
      <c r="BQP34" s="16"/>
      <c r="BQQ34" s="16"/>
      <c r="BQR34" s="16"/>
      <c r="BQS34" s="16"/>
      <c r="BQT34" s="16"/>
      <c r="BQU34" s="16"/>
      <c r="BQV34" s="16"/>
      <c r="BQW34" s="16"/>
      <c r="BQX34" s="16"/>
      <c r="BQY34" s="16"/>
      <c r="BQZ34" s="16"/>
      <c r="BRA34" s="16"/>
      <c r="BRB34" s="16"/>
      <c r="BRC34" s="16"/>
      <c r="BRD34" s="16"/>
      <c r="BRE34" s="16"/>
      <c r="BRF34" s="16"/>
      <c r="BRG34" s="16"/>
      <c r="BRH34" s="16"/>
      <c r="BRI34" s="16"/>
      <c r="BRJ34" s="16"/>
      <c r="BRK34" s="16"/>
      <c r="BRL34" s="16"/>
      <c r="BRM34" s="16"/>
      <c r="BRN34" s="16"/>
      <c r="BRO34" s="16"/>
      <c r="BRP34" s="16"/>
      <c r="BRQ34" s="16"/>
      <c r="BRR34" s="16"/>
      <c r="BRS34" s="16"/>
      <c r="BRT34" s="16"/>
      <c r="BRU34" s="16"/>
      <c r="BRV34" s="16"/>
      <c r="BRW34" s="16"/>
      <c r="BRX34" s="16"/>
      <c r="BRY34" s="16"/>
      <c r="BRZ34" s="16"/>
      <c r="BSA34" s="16"/>
      <c r="BSB34" s="16"/>
      <c r="BSC34" s="16"/>
      <c r="BSD34" s="16"/>
      <c r="BSE34" s="16"/>
      <c r="BSF34" s="16"/>
      <c r="BSG34" s="16"/>
      <c r="BSH34" s="16"/>
      <c r="BSI34" s="16"/>
      <c r="BSJ34" s="16"/>
      <c r="BSK34" s="16"/>
      <c r="BSL34" s="16"/>
      <c r="BSM34" s="16"/>
      <c r="BSN34" s="16"/>
      <c r="BSO34" s="16"/>
      <c r="BSP34" s="16"/>
      <c r="BSQ34" s="16"/>
      <c r="BSR34" s="16"/>
      <c r="BSS34" s="16"/>
      <c r="BST34" s="16"/>
      <c r="BSU34" s="16"/>
      <c r="BSV34" s="16"/>
      <c r="BSW34" s="16"/>
      <c r="BSX34" s="16"/>
      <c r="BSY34" s="16"/>
      <c r="BSZ34" s="16"/>
      <c r="BTA34" s="16"/>
      <c r="BTB34" s="16"/>
      <c r="BTC34" s="16"/>
      <c r="BTD34" s="16"/>
      <c r="BTE34" s="16"/>
      <c r="BTF34" s="16"/>
      <c r="BTG34" s="16"/>
      <c r="BTH34" s="16"/>
      <c r="BTI34" s="16"/>
      <c r="BTJ34" s="16"/>
      <c r="BTK34" s="16"/>
      <c r="BTL34" s="16"/>
      <c r="BTM34" s="16"/>
      <c r="BTN34" s="16"/>
      <c r="BTO34" s="16"/>
      <c r="BTP34" s="16"/>
      <c r="BTQ34" s="16"/>
      <c r="BTR34" s="16"/>
      <c r="BTS34" s="16"/>
      <c r="BTT34" s="16"/>
      <c r="BTU34" s="16"/>
      <c r="BTV34" s="16"/>
      <c r="BTW34" s="16"/>
      <c r="BTX34" s="16"/>
      <c r="BTY34" s="16"/>
      <c r="BTZ34" s="16"/>
      <c r="BUA34" s="16"/>
      <c r="BUB34" s="16"/>
      <c r="BUC34" s="16"/>
      <c r="BUD34" s="16"/>
      <c r="BUE34" s="16"/>
      <c r="BUF34" s="16"/>
      <c r="BUG34" s="16"/>
      <c r="BUH34" s="16"/>
      <c r="BUI34" s="16"/>
      <c r="BUJ34" s="16"/>
      <c r="BUK34" s="16"/>
      <c r="BUL34" s="16"/>
      <c r="BUM34" s="16"/>
      <c r="BUN34" s="16"/>
      <c r="BUO34" s="16"/>
      <c r="BUP34" s="16"/>
      <c r="BUQ34" s="16"/>
      <c r="BUR34" s="16"/>
      <c r="BUS34" s="16"/>
      <c r="BUT34" s="16"/>
      <c r="BUU34" s="16"/>
      <c r="BUV34" s="16"/>
      <c r="BUW34" s="16"/>
      <c r="BUX34" s="16"/>
      <c r="BUY34" s="16"/>
      <c r="BUZ34" s="16"/>
      <c r="BVA34" s="16"/>
      <c r="BVB34" s="16"/>
      <c r="BVC34" s="16"/>
      <c r="BVD34" s="16"/>
      <c r="BVE34" s="16"/>
      <c r="BVF34" s="16"/>
      <c r="BVG34" s="16"/>
      <c r="BVH34" s="16"/>
      <c r="BVI34" s="16"/>
      <c r="BVJ34" s="16"/>
      <c r="BVK34" s="16"/>
      <c r="BVL34" s="16"/>
      <c r="BVM34" s="16"/>
      <c r="BVN34" s="16"/>
      <c r="BVO34" s="16"/>
      <c r="BVP34" s="16"/>
      <c r="BVQ34" s="16"/>
      <c r="BVR34" s="16"/>
      <c r="BVS34" s="16"/>
      <c r="BVT34" s="16"/>
      <c r="BVU34" s="16"/>
      <c r="BVV34" s="16"/>
      <c r="BVW34" s="16"/>
      <c r="BVX34" s="16"/>
      <c r="BVY34" s="16"/>
      <c r="BVZ34" s="16"/>
      <c r="BWA34" s="16"/>
      <c r="BWB34" s="16"/>
      <c r="BWC34" s="16"/>
      <c r="BWD34" s="16"/>
      <c r="BWE34" s="16"/>
      <c r="BWF34" s="16"/>
      <c r="BWG34" s="16"/>
      <c r="BWH34" s="16"/>
      <c r="BWI34" s="16"/>
      <c r="BWJ34" s="16"/>
      <c r="BWK34" s="16"/>
      <c r="BWL34" s="16"/>
      <c r="BWM34" s="16"/>
      <c r="BWN34" s="16"/>
      <c r="BWO34" s="16"/>
      <c r="BWP34" s="16"/>
      <c r="BWQ34" s="16"/>
      <c r="BWR34" s="16"/>
      <c r="BWS34" s="16"/>
      <c r="BWT34" s="16"/>
      <c r="BWU34" s="16"/>
      <c r="BWV34" s="16"/>
      <c r="BWW34" s="16"/>
      <c r="BWX34" s="16"/>
      <c r="BWY34" s="16"/>
      <c r="BWZ34" s="16"/>
      <c r="BXA34" s="16"/>
      <c r="BXB34" s="16"/>
      <c r="BXC34" s="16"/>
      <c r="BXD34" s="16"/>
      <c r="BXE34" s="16"/>
      <c r="BXF34" s="16"/>
      <c r="BXG34" s="16"/>
      <c r="BXH34" s="16"/>
      <c r="BXI34" s="16"/>
      <c r="BXJ34" s="16"/>
      <c r="BXK34" s="16"/>
      <c r="BXL34" s="16"/>
      <c r="BXM34" s="16"/>
      <c r="BXN34" s="16"/>
      <c r="BXO34" s="16"/>
      <c r="BXP34" s="16"/>
      <c r="BXQ34" s="16"/>
      <c r="BXR34" s="16"/>
      <c r="BXS34" s="16"/>
      <c r="BXT34" s="16"/>
      <c r="BXU34" s="16"/>
      <c r="BXV34" s="16"/>
      <c r="BXW34" s="16"/>
      <c r="BXX34" s="16"/>
      <c r="BXY34" s="16"/>
      <c r="BXZ34" s="16"/>
      <c r="BYA34" s="16"/>
      <c r="BYB34" s="16"/>
      <c r="BYC34" s="16"/>
      <c r="BYD34" s="16"/>
      <c r="BYE34" s="16"/>
      <c r="BYF34" s="16"/>
      <c r="BYG34" s="16"/>
      <c r="BYH34" s="16"/>
      <c r="BYI34" s="16"/>
      <c r="BYJ34" s="16"/>
      <c r="BYK34" s="16"/>
      <c r="BYL34" s="16"/>
      <c r="BYM34" s="16"/>
      <c r="BYN34" s="16"/>
      <c r="BYO34" s="16"/>
      <c r="BYP34" s="16"/>
      <c r="BYQ34" s="16"/>
      <c r="BYR34" s="16"/>
      <c r="BYS34" s="16"/>
      <c r="BYT34" s="16"/>
      <c r="BYU34" s="16"/>
      <c r="BYV34" s="16"/>
      <c r="BYW34" s="16"/>
      <c r="BYX34" s="16"/>
      <c r="BYY34" s="16"/>
      <c r="BYZ34" s="16"/>
      <c r="BZA34" s="16"/>
      <c r="BZB34" s="16"/>
      <c r="BZC34" s="16"/>
      <c r="BZD34" s="16"/>
      <c r="BZE34" s="16"/>
      <c r="BZF34" s="16"/>
      <c r="BZG34" s="16"/>
      <c r="BZH34" s="16"/>
      <c r="BZI34" s="16"/>
      <c r="BZJ34" s="16"/>
      <c r="BZK34" s="16"/>
      <c r="BZL34" s="16"/>
      <c r="BZM34" s="16"/>
      <c r="BZN34" s="16"/>
      <c r="BZO34" s="16"/>
      <c r="BZP34" s="16"/>
      <c r="BZQ34" s="16"/>
      <c r="BZR34" s="16"/>
      <c r="BZS34" s="16"/>
      <c r="BZT34" s="16"/>
      <c r="BZU34" s="16"/>
      <c r="BZV34" s="16"/>
      <c r="BZW34" s="16"/>
      <c r="BZX34" s="16"/>
      <c r="BZY34" s="16"/>
      <c r="BZZ34" s="16"/>
      <c r="CAA34" s="16"/>
      <c r="CAB34" s="16"/>
      <c r="CAC34" s="16"/>
      <c r="CAD34" s="16"/>
      <c r="CAE34" s="16"/>
      <c r="CAF34" s="16"/>
      <c r="CAG34" s="16"/>
      <c r="CAH34" s="16"/>
      <c r="CAI34" s="16"/>
      <c r="CAJ34" s="16"/>
      <c r="CAK34" s="16"/>
      <c r="CAL34" s="16"/>
      <c r="CAM34" s="16"/>
      <c r="CAN34" s="16"/>
      <c r="CAO34" s="16"/>
      <c r="CAP34" s="16"/>
      <c r="CAQ34" s="16"/>
      <c r="CAR34" s="16"/>
      <c r="CAS34" s="16"/>
      <c r="CAT34" s="16"/>
      <c r="CAU34" s="16"/>
      <c r="CAV34" s="16"/>
      <c r="CAW34" s="16"/>
      <c r="CAX34" s="16"/>
      <c r="CAY34" s="16"/>
      <c r="CAZ34" s="16"/>
      <c r="CBA34" s="16"/>
      <c r="CBB34" s="16"/>
      <c r="CBC34" s="16"/>
      <c r="CBD34" s="16"/>
      <c r="CBE34" s="16"/>
      <c r="CBF34" s="16"/>
      <c r="CBG34" s="16"/>
      <c r="CBH34" s="16"/>
      <c r="CBI34" s="16"/>
      <c r="CBJ34" s="16"/>
      <c r="CBK34" s="16"/>
      <c r="CBL34" s="16"/>
      <c r="CBM34" s="16"/>
      <c r="CBN34" s="16"/>
      <c r="CBO34" s="16"/>
      <c r="CBP34" s="16"/>
      <c r="CBQ34" s="16"/>
      <c r="CBR34" s="16"/>
      <c r="CBS34" s="16"/>
      <c r="CBT34" s="16"/>
      <c r="CBU34" s="16"/>
      <c r="CBV34" s="16"/>
      <c r="CBW34" s="16"/>
      <c r="CBX34" s="16"/>
      <c r="CBY34" s="16"/>
      <c r="CBZ34" s="16"/>
      <c r="CCA34" s="16"/>
      <c r="CCB34" s="16"/>
      <c r="CCC34" s="16"/>
      <c r="CCD34" s="16"/>
      <c r="CCE34" s="16"/>
      <c r="CCF34" s="16"/>
      <c r="CCG34" s="16"/>
      <c r="CCH34" s="16"/>
      <c r="CCI34" s="16"/>
      <c r="CCJ34" s="16"/>
      <c r="CCK34" s="16"/>
      <c r="CCL34" s="16"/>
      <c r="CCM34" s="16"/>
      <c r="CCN34" s="16"/>
      <c r="CCO34" s="16"/>
      <c r="CCP34" s="16"/>
      <c r="CCQ34" s="16"/>
      <c r="CCR34" s="16"/>
      <c r="CCS34" s="16"/>
      <c r="CCT34" s="16"/>
      <c r="CCU34" s="16"/>
      <c r="CCV34" s="16"/>
      <c r="CCW34" s="16"/>
      <c r="CCX34" s="16"/>
      <c r="CCY34" s="16"/>
      <c r="CCZ34" s="16"/>
      <c r="CDA34" s="16"/>
      <c r="CDB34" s="16"/>
      <c r="CDC34" s="16"/>
      <c r="CDD34" s="16"/>
      <c r="CDE34" s="16"/>
      <c r="CDF34" s="16"/>
      <c r="CDG34" s="16"/>
      <c r="CDH34" s="16"/>
      <c r="CDI34" s="16"/>
      <c r="CDJ34" s="16"/>
      <c r="CDK34" s="16"/>
      <c r="CDL34" s="16"/>
      <c r="CDM34" s="16"/>
      <c r="CDN34" s="16"/>
      <c r="CDO34" s="16"/>
      <c r="CDP34" s="16"/>
      <c r="CDQ34" s="16"/>
      <c r="CDR34" s="16"/>
      <c r="CDS34" s="16"/>
      <c r="CDT34" s="16"/>
      <c r="CDU34" s="16"/>
      <c r="CDV34" s="16"/>
      <c r="CDW34" s="16"/>
      <c r="CDX34" s="16"/>
      <c r="CDY34" s="16"/>
      <c r="CDZ34" s="16"/>
      <c r="CEA34" s="16"/>
      <c r="CEB34" s="16"/>
      <c r="CEC34" s="16"/>
      <c r="CED34" s="16"/>
      <c r="CEE34" s="16"/>
      <c r="CEF34" s="16"/>
      <c r="CEG34" s="16"/>
      <c r="CEH34" s="16"/>
      <c r="CEI34" s="16"/>
      <c r="CEJ34" s="16"/>
      <c r="CEK34" s="16"/>
      <c r="CEL34" s="16"/>
      <c r="CEM34" s="16"/>
      <c r="CEN34" s="16"/>
      <c r="CEO34" s="16"/>
      <c r="CEP34" s="16"/>
      <c r="CEQ34" s="16"/>
      <c r="CER34" s="16"/>
      <c r="CES34" s="16"/>
      <c r="CET34" s="16"/>
      <c r="CEU34" s="16"/>
      <c r="CEV34" s="16"/>
      <c r="CEW34" s="16"/>
      <c r="CEX34" s="16"/>
      <c r="CEY34" s="16"/>
      <c r="CEZ34" s="16"/>
      <c r="CFA34" s="16"/>
      <c r="CFB34" s="16"/>
      <c r="CFC34" s="16"/>
      <c r="CFD34" s="16"/>
      <c r="CFE34" s="16"/>
      <c r="CFF34" s="16"/>
      <c r="CFG34" s="16"/>
      <c r="CFH34" s="16"/>
      <c r="CFI34" s="16"/>
      <c r="CFJ34" s="16"/>
      <c r="CFK34" s="16"/>
      <c r="CFL34" s="16"/>
      <c r="CFM34" s="16"/>
      <c r="CFN34" s="16"/>
      <c r="CFO34" s="16"/>
      <c r="CFP34" s="16"/>
      <c r="CFQ34" s="16"/>
      <c r="CFR34" s="16"/>
      <c r="CFS34" s="16"/>
      <c r="CFT34" s="16"/>
      <c r="CFU34" s="16"/>
      <c r="CFV34" s="16"/>
      <c r="CFW34" s="16"/>
      <c r="CFX34" s="16"/>
      <c r="CFY34" s="16"/>
      <c r="CFZ34" s="16"/>
      <c r="CGA34" s="16"/>
      <c r="CGB34" s="16"/>
      <c r="CGC34" s="16"/>
      <c r="CGD34" s="16"/>
      <c r="CGE34" s="16"/>
      <c r="CGF34" s="16"/>
      <c r="CGG34" s="16"/>
      <c r="CGH34" s="16"/>
      <c r="CGI34" s="16"/>
      <c r="CGJ34" s="16"/>
      <c r="CGK34" s="16"/>
      <c r="CGL34" s="16"/>
      <c r="CGM34" s="16"/>
      <c r="CGN34" s="16"/>
      <c r="CGO34" s="16"/>
      <c r="CGP34" s="16"/>
      <c r="CGQ34" s="16"/>
      <c r="CGR34" s="16"/>
      <c r="CGS34" s="16"/>
      <c r="CGT34" s="16"/>
      <c r="CGU34" s="16"/>
      <c r="CGV34" s="16"/>
      <c r="CGW34" s="16"/>
      <c r="CGX34" s="16"/>
      <c r="CGY34" s="16"/>
      <c r="CGZ34" s="16"/>
      <c r="CHA34" s="16"/>
      <c r="CHB34" s="16"/>
      <c r="CHC34" s="16"/>
      <c r="CHD34" s="16"/>
      <c r="CHE34" s="16"/>
      <c r="CHF34" s="16"/>
      <c r="CHG34" s="16"/>
      <c r="CHH34" s="16"/>
      <c r="CHI34" s="16"/>
      <c r="CHJ34" s="16"/>
      <c r="CHK34" s="16"/>
      <c r="CHL34" s="16"/>
      <c r="CHM34" s="16"/>
      <c r="CHN34" s="16"/>
      <c r="CHO34" s="16"/>
      <c r="CHP34" s="16"/>
      <c r="CHQ34" s="16"/>
      <c r="CHR34" s="16"/>
      <c r="CHS34" s="16"/>
      <c r="CHT34" s="16"/>
      <c r="CHU34" s="16"/>
      <c r="CHV34" s="16"/>
      <c r="CHW34" s="16"/>
      <c r="CHX34" s="16"/>
      <c r="CHY34" s="16"/>
      <c r="CHZ34" s="16"/>
      <c r="CIA34" s="16"/>
      <c r="CIB34" s="16"/>
      <c r="CIC34" s="16"/>
      <c r="CID34" s="16"/>
      <c r="CIE34" s="16"/>
      <c r="CIF34" s="16"/>
      <c r="CIG34" s="16"/>
      <c r="CIH34" s="16"/>
      <c r="CII34" s="16"/>
      <c r="CIJ34" s="16"/>
      <c r="CIK34" s="16"/>
      <c r="CIL34" s="16"/>
      <c r="CIM34" s="16"/>
      <c r="CIN34" s="16"/>
      <c r="CIO34" s="16"/>
      <c r="CIP34" s="16"/>
      <c r="CIQ34" s="16"/>
      <c r="CIR34" s="16"/>
      <c r="CIS34" s="16"/>
      <c r="CIT34" s="16"/>
      <c r="CIU34" s="16"/>
      <c r="CIV34" s="16"/>
      <c r="CIW34" s="16"/>
      <c r="CIX34" s="16"/>
      <c r="CIY34" s="16"/>
      <c r="CIZ34" s="16"/>
      <c r="CJA34" s="16"/>
      <c r="CJB34" s="16"/>
      <c r="CJC34" s="16"/>
      <c r="CJD34" s="16"/>
      <c r="CJE34" s="16"/>
      <c r="CJF34" s="16"/>
      <c r="CJG34" s="16"/>
      <c r="CJH34" s="16"/>
      <c r="CJI34" s="16"/>
      <c r="CJJ34" s="16"/>
      <c r="CJK34" s="16"/>
      <c r="CJL34" s="16"/>
      <c r="CJM34" s="16"/>
      <c r="CJN34" s="16"/>
      <c r="CJO34" s="16"/>
      <c r="CJP34" s="16"/>
      <c r="CJQ34" s="16"/>
      <c r="CJR34" s="16"/>
      <c r="CJS34" s="16"/>
      <c r="CJT34" s="16"/>
      <c r="CJU34" s="16"/>
      <c r="CJV34" s="16"/>
      <c r="CJW34" s="16"/>
      <c r="CJX34" s="16"/>
      <c r="CJY34" s="16"/>
      <c r="CJZ34" s="16"/>
      <c r="CKA34" s="16"/>
      <c r="CKB34" s="16"/>
      <c r="CKC34" s="16"/>
      <c r="CKD34" s="16"/>
      <c r="CKE34" s="16"/>
      <c r="CKF34" s="16"/>
      <c r="CKG34" s="16"/>
      <c r="CKH34" s="16"/>
      <c r="CKI34" s="16"/>
      <c r="CKJ34" s="16"/>
      <c r="CKK34" s="16"/>
      <c r="CKL34" s="16"/>
      <c r="CKM34" s="16"/>
      <c r="CKN34" s="16"/>
      <c r="CKO34" s="16"/>
      <c r="CKP34" s="16"/>
      <c r="CKQ34" s="16"/>
      <c r="CKR34" s="16"/>
      <c r="CKS34" s="16"/>
      <c r="CKT34" s="16"/>
      <c r="CKU34" s="16"/>
      <c r="CKV34" s="16"/>
      <c r="CKW34" s="16"/>
      <c r="CKX34" s="16"/>
      <c r="CKY34" s="16"/>
      <c r="CKZ34" s="16"/>
      <c r="CLA34" s="16"/>
      <c r="CLB34" s="16"/>
      <c r="CLC34" s="16"/>
      <c r="CLD34" s="16"/>
      <c r="CLE34" s="16"/>
      <c r="CLF34" s="16"/>
      <c r="CLG34" s="16"/>
      <c r="CLH34" s="16"/>
      <c r="CLI34" s="16"/>
      <c r="CLJ34" s="16"/>
      <c r="CLK34" s="16"/>
      <c r="CLL34" s="16"/>
      <c r="CLM34" s="16"/>
      <c r="CLN34" s="16"/>
      <c r="CLO34" s="16"/>
      <c r="CLP34" s="16"/>
      <c r="CLQ34" s="16"/>
      <c r="CLR34" s="16"/>
      <c r="CLS34" s="16"/>
      <c r="CLT34" s="16"/>
      <c r="CLU34" s="16"/>
      <c r="CLV34" s="16"/>
      <c r="CLW34" s="16"/>
      <c r="CLX34" s="16"/>
      <c r="CLY34" s="16"/>
      <c r="CLZ34" s="16"/>
      <c r="CMA34" s="16"/>
      <c r="CMB34" s="16"/>
      <c r="CMC34" s="16"/>
      <c r="CMD34" s="16"/>
      <c r="CME34" s="16"/>
      <c r="CMF34" s="16"/>
      <c r="CMG34" s="16"/>
      <c r="CMH34" s="16"/>
      <c r="CMI34" s="16"/>
      <c r="CMJ34" s="16"/>
      <c r="CMK34" s="16"/>
      <c r="CML34" s="16"/>
      <c r="CMM34" s="16"/>
      <c r="CMN34" s="16"/>
      <c r="CMO34" s="16"/>
      <c r="CMP34" s="16"/>
      <c r="CMQ34" s="16"/>
      <c r="CMR34" s="16"/>
      <c r="CMS34" s="16"/>
      <c r="CMT34" s="16"/>
      <c r="CMU34" s="16"/>
      <c r="CMV34" s="16"/>
      <c r="CMW34" s="16"/>
      <c r="CMX34" s="16"/>
      <c r="CMY34" s="16"/>
      <c r="CMZ34" s="16"/>
      <c r="CNA34" s="16"/>
      <c r="CNB34" s="16"/>
      <c r="CNC34" s="16"/>
      <c r="CND34" s="16"/>
      <c r="CNE34" s="16"/>
      <c r="CNF34" s="16"/>
      <c r="CNG34" s="16"/>
      <c r="CNH34" s="16"/>
      <c r="CNI34" s="16"/>
      <c r="CNJ34" s="16"/>
      <c r="CNK34" s="16"/>
      <c r="CNL34" s="16"/>
      <c r="CNM34" s="16"/>
      <c r="CNN34" s="16"/>
      <c r="CNO34" s="16"/>
      <c r="CNP34" s="16"/>
      <c r="CNQ34" s="16"/>
      <c r="CNR34" s="16"/>
      <c r="CNS34" s="16"/>
      <c r="CNT34" s="16"/>
      <c r="CNU34" s="16"/>
      <c r="CNV34" s="16"/>
      <c r="CNW34" s="16"/>
      <c r="CNX34" s="16"/>
      <c r="CNY34" s="16"/>
      <c r="CNZ34" s="16"/>
      <c r="COA34" s="16"/>
      <c r="COB34" s="16"/>
      <c r="COC34" s="16"/>
      <c r="COD34" s="16"/>
      <c r="COE34" s="16"/>
      <c r="COF34" s="16"/>
      <c r="COG34" s="16"/>
      <c r="COH34" s="16"/>
      <c r="COI34" s="16"/>
      <c r="COJ34" s="16"/>
      <c r="COK34" s="16"/>
      <c r="COL34" s="16"/>
      <c r="COM34" s="16"/>
      <c r="CON34" s="16"/>
      <c r="COO34" s="16"/>
      <c r="COP34" s="16"/>
      <c r="COQ34" s="16"/>
      <c r="COR34" s="16"/>
      <c r="COS34" s="16"/>
      <c r="COT34" s="16"/>
      <c r="COU34" s="16"/>
      <c r="COV34" s="16"/>
      <c r="COW34" s="16"/>
      <c r="COX34" s="16"/>
      <c r="COY34" s="16"/>
      <c r="COZ34" s="16"/>
      <c r="CPA34" s="16"/>
      <c r="CPB34" s="16"/>
      <c r="CPC34" s="16"/>
      <c r="CPD34" s="16"/>
      <c r="CPE34" s="16"/>
      <c r="CPF34" s="16"/>
      <c r="CPG34" s="16"/>
      <c r="CPH34" s="16"/>
      <c r="CPI34" s="16"/>
      <c r="CPJ34" s="16"/>
      <c r="CPK34" s="16"/>
      <c r="CPL34" s="16"/>
      <c r="CPM34" s="16"/>
      <c r="CPN34" s="16"/>
      <c r="CPO34" s="16"/>
      <c r="CPP34" s="16"/>
      <c r="CPQ34" s="16"/>
      <c r="CPR34" s="16"/>
      <c r="CPS34" s="16"/>
      <c r="CPT34" s="16"/>
      <c r="CPU34" s="16"/>
      <c r="CPV34" s="16"/>
      <c r="CPW34" s="16"/>
      <c r="CPX34" s="16"/>
      <c r="CPY34" s="16"/>
      <c r="CPZ34" s="16"/>
      <c r="CQA34" s="16"/>
      <c r="CQB34" s="16"/>
      <c r="CQC34" s="16"/>
      <c r="CQD34" s="16"/>
      <c r="CQE34" s="16"/>
      <c r="CQF34" s="16"/>
      <c r="CQG34" s="16"/>
      <c r="CQH34" s="16"/>
      <c r="CQI34" s="16"/>
      <c r="CQJ34" s="16"/>
      <c r="CQK34" s="16"/>
      <c r="CQL34" s="16"/>
      <c r="CQM34" s="16"/>
      <c r="CQN34" s="16"/>
      <c r="CQO34" s="16"/>
      <c r="CQP34" s="16"/>
      <c r="CQQ34" s="16"/>
      <c r="CQR34" s="16"/>
      <c r="CQS34" s="16"/>
      <c r="CQT34" s="16"/>
      <c r="CQU34" s="16"/>
      <c r="CQV34" s="16"/>
      <c r="CQW34" s="16"/>
      <c r="CQX34" s="16"/>
      <c r="CQY34" s="16"/>
      <c r="CQZ34" s="16"/>
      <c r="CRA34" s="16"/>
      <c r="CRB34" s="16"/>
      <c r="CRC34" s="16"/>
      <c r="CRD34" s="16"/>
      <c r="CRE34" s="16"/>
      <c r="CRF34" s="16"/>
      <c r="CRG34" s="16"/>
      <c r="CRH34" s="16"/>
      <c r="CRI34" s="16"/>
      <c r="CRJ34" s="16"/>
      <c r="CRK34" s="16"/>
      <c r="CRL34" s="16"/>
      <c r="CRM34" s="16"/>
      <c r="CRN34" s="16"/>
      <c r="CRO34" s="16"/>
      <c r="CRP34" s="16"/>
      <c r="CRQ34" s="16"/>
      <c r="CRR34" s="16"/>
      <c r="CRS34" s="16"/>
      <c r="CRT34" s="16"/>
      <c r="CRU34" s="16"/>
      <c r="CRV34" s="16"/>
      <c r="CRW34" s="16"/>
      <c r="CRX34" s="16"/>
      <c r="CRY34" s="16"/>
      <c r="CRZ34" s="16"/>
      <c r="CSA34" s="16"/>
      <c r="CSB34" s="16"/>
      <c r="CSC34" s="16"/>
      <c r="CSD34" s="16"/>
      <c r="CSE34" s="16"/>
      <c r="CSF34" s="16"/>
      <c r="CSG34" s="16"/>
      <c r="CSH34" s="16"/>
      <c r="CSI34" s="16"/>
      <c r="CSJ34" s="16"/>
      <c r="CSK34" s="16"/>
      <c r="CSL34" s="16"/>
      <c r="CSM34" s="16"/>
      <c r="CSN34" s="16"/>
      <c r="CSO34" s="16"/>
      <c r="CSP34" s="16"/>
      <c r="CSQ34" s="16"/>
      <c r="CSR34" s="16"/>
      <c r="CSS34" s="16"/>
      <c r="CST34" s="16"/>
      <c r="CSU34" s="16"/>
      <c r="CSV34" s="16"/>
      <c r="CSW34" s="16"/>
      <c r="CSX34" s="16"/>
      <c r="CSY34" s="16"/>
      <c r="CSZ34" s="16"/>
      <c r="CTA34" s="16"/>
      <c r="CTB34" s="16"/>
      <c r="CTC34" s="16"/>
      <c r="CTD34" s="16"/>
      <c r="CTE34" s="16"/>
      <c r="CTF34" s="16"/>
      <c r="CTG34" s="16"/>
      <c r="CTH34" s="16"/>
      <c r="CTI34" s="16"/>
      <c r="CTJ34" s="16"/>
      <c r="CTK34" s="16"/>
      <c r="CTL34" s="16"/>
      <c r="CTM34" s="16"/>
      <c r="CTN34" s="16"/>
      <c r="CTO34" s="16"/>
      <c r="CTP34" s="16"/>
      <c r="CTQ34" s="16"/>
      <c r="CTR34" s="16"/>
      <c r="CTS34" s="16"/>
      <c r="CTT34" s="16"/>
      <c r="CTU34" s="16"/>
      <c r="CTV34" s="16"/>
      <c r="CTW34" s="16"/>
      <c r="CTX34" s="16"/>
      <c r="CTY34" s="16"/>
      <c r="CTZ34" s="16"/>
      <c r="CUA34" s="16"/>
      <c r="CUB34" s="16"/>
      <c r="CUC34" s="16"/>
      <c r="CUD34" s="16"/>
      <c r="CUE34" s="16"/>
      <c r="CUF34" s="16"/>
      <c r="CUG34" s="16"/>
      <c r="CUH34" s="16"/>
      <c r="CUI34" s="16"/>
      <c r="CUJ34" s="16"/>
      <c r="CUK34" s="16"/>
      <c r="CUL34" s="16"/>
      <c r="CUM34" s="16"/>
      <c r="CUN34" s="16"/>
      <c r="CUO34" s="16"/>
      <c r="CUP34" s="16"/>
      <c r="CUQ34" s="16"/>
      <c r="CUR34" s="16"/>
      <c r="CUS34" s="16"/>
      <c r="CUT34" s="16"/>
      <c r="CUU34" s="16"/>
      <c r="CUV34" s="16"/>
      <c r="CUW34" s="16"/>
      <c r="CUX34" s="16"/>
      <c r="CUY34" s="16"/>
      <c r="CUZ34" s="16"/>
      <c r="CVA34" s="16"/>
      <c r="CVB34" s="16"/>
      <c r="CVC34" s="16"/>
      <c r="CVD34" s="16"/>
      <c r="CVE34" s="16"/>
      <c r="CVF34" s="16"/>
      <c r="CVG34" s="16"/>
      <c r="CVH34" s="16"/>
      <c r="CVI34" s="16"/>
      <c r="CVJ34" s="16"/>
      <c r="CVK34" s="16"/>
      <c r="CVL34" s="16"/>
      <c r="CVM34" s="16"/>
      <c r="CVN34" s="16"/>
      <c r="CVO34" s="16"/>
      <c r="CVP34" s="16"/>
      <c r="CVQ34" s="16"/>
      <c r="CVR34" s="16"/>
      <c r="CVS34" s="16"/>
      <c r="CVT34" s="16"/>
      <c r="CVU34" s="16"/>
      <c r="CVV34" s="16"/>
      <c r="CVW34" s="16"/>
      <c r="CVX34" s="16"/>
      <c r="CVY34" s="16"/>
      <c r="CVZ34" s="16"/>
      <c r="CWA34" s="16"/>
      <c r="CWB34" s="16"/>
      <c r="CWC34" s="16"/>
      <c r="CWD34" s="16"/>
      <c r="CWE34" s="16"/>
      <c r="CWF34" s="16"/>
      <c r="CWG34" s="16"/>
      <c r="CWH34" s="16"/>
      <c r="CWI34" s="16"/>
      <c r="CWJ34" s="16"/>
      <c r="CWK34" s="16"/>
      <c r="CWL34" s="16"/>
      <c r="CWM34" s="16"/>
      <c r="CWN34" s="16"/>
      <c r="CWO34" s="16"/>
      <c r="CWP34" s="16"/>
      <c r="CWQ34" s="16"/>
      <c r="CWR34" s="16"/>
      <c r="CWS34" s="16"/>
      <c r="CWT34" s="16"/>
      <c r="CWU34" s="16"/>
      <c r="CWV34" s="16"/>
      <c r="CWW34" s="16"/>
      <c r="CWX34" s="16"/>
      <c r="CWY34" s="16"/>
      <c r="CWZ34" s="16"/>
      <c r="CXA34" s="16"/>
      <c r="CXB34" s="16"/>
      <c r="CXC34" s="16"/>
      <c r="CXD34" s="16"/>
      <c r="CXE34" s="16"/>
      <c r="CXF34" s="16"/>
      <c r="CXG34" s="16"/>
      <c r="CXH34" s="16"/>
      <c r="CXI34" s="16"/>
      <c r="CXJ34" s="16"/>
      <c r="CXK34" s="16"/>
      <c r="CXL34" s="16"/>
      <c r="CXM34" s="16"/>
      <c r="CXN34" s="16"/>
      <c r="CXO34" s="16"/>
      <c r="CXP34" s="16"/>
      <c r="CXQ34" s="16"/>
      <c r="CXR34" s="16"/>
      <c r="CXS34" s="16"/>
      <c r="CXT34" s="16"/>
      <c r="CXU34" s="16"/>
      <c r="CXV34" s="16"/>
      <c r="CXW34" s="16"/>
      <c r="CXX34" s="16"/>
      <c r="CXY34" s="16"/>
      <c r="CXZ34" s="16"/>
      <c r="CYA34" s="16"/>
      <c r="CYB34" s="16"/>
      <c r="CYC34" s="16"/>
      <c r="CYD34" s="16"/>
      <c r="CYE34" s="16"/>
      <c r="CYF34" s="16"/>
      <c r="CYG34" s="16"/>
      <c r="CYH34" s="16"/>
      <c r="CYI34" s="16"/>
      <c r="CYJ34" s="16"/>
      <c r="CYK34" s="16"/>
      <c r="CYL34" s="16"/>
      <c r="CYM34" s="16"/>
      <c r="CYN34" s="16"/>
      <c r="CYO34" s="16"/>
      <c r="CYP34" s="16"/>
      <c r="CYQ34" s="16"/>
      <c r="CYR34" s="16"/>
      <c r="CYS34" s="16"/>
      <c r="CYT34" s="16"/>
      <c r="CYU34" s="16"/>
      <c r="CYV34" s="16"/>
      <c r="CYW34" s="16"/>
      <c r="CYX34" s="16"/>
      <c r="CYY34" s="16"/>
      <c r="CYZ34" s="16"/>
      <c r="CZA34" s="16"/>
      <c r="CZB34" s="16"/>
      <c r="CZC34" s="16"/>
      <c r="CZD34" s="16"/>
      <c r="CZE34" s="16"/>
      <c r="CZF34" s="16"/>
      <c r="CZG34" s="16"/>
      <c r="CZH34" s="16"/>
      <c r="CZI34" s="16"/>
      <c r="CZJ34" s="16"/>
      <c r="CZK34" s="16"/>
      <c r="CZL34" s="16"/>
      <c r="CZM34" s="16"/>
      <c r="CZN34" s="16"/>
      <c r="CZO34" s="16"/>
      <c r="CZP34" s="16"/>
      <c r="CZQ34" s="16"/>
      <c r="CZR34" s="16"/>
      <c r="CZS34" s="16"/>
      <c r="CZT34" s="16"/>
      <c r="CZU34" s="16"/>
      <c r="CZV34" s="16"/>
      <c r="CZW34" s="16"/>
      <c r="CZX34" s="16"/>
      <c r="CZY34" s="16"/>
      <c r="CZZ34" s="16"/>
      <c r="DAA34" s="16"/>
      <c r="DAB34" s="16"/>
      <c r="DAC34" s="16"/>
      <c r="DAD34" s="16"/>
      <c r="DAE34" s="16"/>
      <c r="DAF34" s="16"/>
      <c r="DAG34" s="16"/>
      <c r="DAH34" s="16"/>
      <c r="DAI34" s="16"/>
      <c r="DAJ34" s="16"/>
      <c r="DAK34" s="16"/>
      <c r="DAL34" s="16"/>
      <c r="DAM34" s="16"/>
      <c r="DAN34" s="16"/>
      <c r="DAO34" s="16"/>
      <c r="DAP34" s="16"/>
      <c r="DAQ34" s="16"/>
      <c r="DAR34" s="16"/>
      <c r="DAS34" s="16"/>
      <c r="DAT34" s="16"/>
      <c r="DAU34" s="16"/>
      <c r="DAV34" s="16"/>
      <c r="DAW34" s="16"/>
      <c r="DAX34" s="16"/>
      <c r="DAY34" s="16"/>
      <c r="DAZ34" s="16"/>
      <c r="DBA34" s="16"/>
      <c r="DBB34" s="16"/>
      <c r="DBC34" s="16"/>
      <c r="DBD34" s="16"/>
      <c r="DBE34" s="16"/>
      <c r="DBF34" s="16"/>
      <c r="DBG34" s="16"/>
      <c r="DBH34" s="16"/>
      <c r="DBI34" s="16"/>
      <c r="DBJ34" s="16"/>
      <c r="DBK34" s="16"/>
      <c r="DBL34" s="16"/>
      <c r="DBM34" s="16"/>
      <c r="DBN34" s="16"/>
      <c r="DBO34" s="16"/>
      <c r="DBP34" s="16"/>
      <c r="DBQ34" s="16"/>
      <c r="DBR34" s="16"/>
      <c r="DBS34" s="16"/>
      <c r="DBT34" s="16"/>
      <c r="DBU34" s="16"/>
      <c r="DBV34" s="16"/>
      <c r="DBW34" s="16"/>
      <c r="DBX34" s="16"/>
      <c r="DBY34" s="16"/>
      <c r="DBZ34" s="16"/>
      <c r="DCA34" s="16"/>
      <c r="DCB34" s="16"/>
      <c r="DCC34" s="16"/>
      <c r="DCD34" s="16"/>
      <c r="DCE34" s="16"/>
      <c r="DCF34" s="16"/>
      <c r="DCG34" s="16"/>
      <c r="DCH34" s="16"/>
      <c r="DCI34" s="16"/>
      <c r="DCJ34" s="16"/>
      <c r="DCK34" s="16"/>
      <c r="DCL34" s="16"/>
      <c r="DCM34" s="16"/>
      <c r="DCN34" s="16"/>
      <c r="DCO34" s="16"/>
      <c r="DCP34" s="16"/>
      <c r="DCQ34" s="16"/>
      <c r="DCR34" s="16"/>
      <c r="DCS34" s="16"/>
      <c r="DCT34" s="16"/>
      <c r="DCU34" s="16"/>
      <c r="DCV34" s="16"/>
      <c r="DCW34" s="16"/>
      <c r="DCX34" s="16"/>
      <c r="DCY34" s="16"/>
      <c r="DCZ34" s="16"/>
      <c r="DDA34" s="16"/>
      <c r="DDB34" s="16"/>
      <c r="DDC34" s="16"/>
      <c r="DDD34" s="16"/>
      <c r="DDE34" s="16"/>
      <c r="DDF34" s="16"/>
      <c r="DDG34" s="16"/>
      <c r="DDH34" s="16"/>
      <c r="DDI34" s="16"/>
      <c r="DDJ34" s="16"/>
      <c r="DDK34" s="16"/>
      <c r="DDL34" s="16"/>
      <c r="DDM34" s="16"/>
      <c r="DDN34" s="16"/>
      <c r="DDO34" s="16"/>
      <c r="DDP34" s="16"/>
      <c r="DDQ34" s="16"/>
      <c r="DDR34" s="16"/>
      <c r="DDS34" s="16"/>
      <c r="DDT34" s="16"/>
      <c r="DDU34" s="16"/>
      <c r="DDV34" s="16"/>
      <c r="DDW34" s="16"/>
      <c r="DDX34" s="16"/>
      <c r="DDY34" s="16"/>
      <c r="DDZ34" s="16"/>
      <c r="DEA34" s="16"/>
      <c r="DEB34" s="16"/>
      <c r="DEC34" s="16"/>
      <c r="DED34" s="16"/>
      <c r="DEE34" s="16"/>
      <c r="DEF34" s="16"/>
      <c r="DEG34" s="16"/>
      <c r="DEH34" s="16"/>
      <c r="DEI34" s="16"/>
      <c r="DEJ34" s="16"/>
      <c r="DEK34" s="16"/>
      <c r="DEL34" s="16"/>
      <c r="DEM34" s="16"/>
      <c r="DEN34" s="16"/>
      <c r="DEO34" s="16"/>
      <c r="DEP34" s="16"/>
      <c r="DEQ34" s="16"/>
      <c r="DER34" s="16"/>
      <c r="DES34" s="16"/>
      <c r="DET34" s="16"/>
      <c r="DEU34" s="16"/>
      <c r="DEV34" s="16"/>
      <c r="DEW34" s="16"/>
      <c r="DEX34" s="16"/>
      <c r="DEY34" s="16"/>
      <c r="DEZ34" s="16"/>
      <c r="DFA34" s="16"/>
      <c r="DFB34" s="16"/>
      <c r="DFC34" s="16"/>
      <c r="DFD34" s="16"/>
      <c r="DFE34" s="16"/>
      <c r="DFF34" s="16"/>
      <c r="DFG34" s="16"/>
      <c r="DFH34" s="16"/>
      <c r="DFI34" s="16"/>
      <c r="DFJ34" s="16"/>
      <c r="DFK34" s="16"/>
      <c r="DFL34" s="16"/>
      <c r="DFM34" s="16"/>
      <c r="DFN34" s="16"/>
      <c r="DFO34" s="16"/>
      <c r="DFP34" s="16"/>
      <c r="DFQ34" s="16"/>
      <c r="DFR34" s="16"/>
      <c r="DFS34" s="16"/>
      <c r="DFT34" s="16"/>
      <c r="DFU34" s="16"/>
      <c r="DFV34" s="16"/>
      <c r="DFW34" s="16"/>
      <c r="DFX34" s="16"/>
      <c r="DFY34" s="16"/>
      <c r="DFZ34" s="16"/>
      <c r="DGA34" s="16"/>
      <c r="DGB34" s="16"/>
      <c r="DGC34" s="16"/>
      <c r="DGD34" s="16"/>
      <c r="DGE34" s="16"/>
      <c r="DGF34" s="16"/>
      <c r="DGG34" s="16"/>
      <c r="DGH34" s="16"/>
      <c r="DGI34" s="16"/>
      <c r="DGJ34" s="16"/>
      <c r="DGK34" s="16"/>
      <c r="DGL34" s="16"/>
      <c r="DGM34" s="16"/>
      <c r="DGN34" s="16"/>
      <c r="DGO34" s="16"/>
      <c r="DGP34" s="16"/>
      <c r="DGQ34" s="16"/>
      <c r="DGR34" s="16"/>
      <c r="DGS34" s="16"/>
      <c r="DGT34" s="16"/>
      <c r="DGU34" s="16"/>
      <c r="DGV34" s="16"/>
      <c r="DGW34" s="16"/>
      <c r="DGX34" s="16"/>
      <c r="DGY34" s="16"/>
      <c r="DGZ34" s="16"/>
      <c r="DHA34" s="16"/>
      <c r="DHB34" s="16"/>
      <c r="DHC34" s="16"/>
      <c r="DHD34" s="16"/>
      <c r="DHE34" s="16"/>
      <c r="DHF34" s="16"/>
      <c r="DHG34" s="16"/>
      <c r="DHH34" s="16"/>
      <c r="DHI34" s="16"/>
      <c r="DHJ34" s="16"/>
      <c r="DHK34" s="16"/>
      <c r="DHL34" s="16"/>
      <c r="DHM34" s="16"/>
      <c r="DHN34" s="16"/>
      <c r="DHO34" s="16"/>
      <c r="DHP34" s="16"/>
      <c r="DHQ34" s="16"/>
      <c r="DHR34" s="16"/>
      <c r="DHS34" s="16"/>
      <c r="DHT34" s="16"/>
      <c r="DHU34" s="16"/>
      <c r="DHV34" s="16"/>
      <c r="DHW34" s="16"/>
      <c r="DHX34" s="16"/>
      <c r="DHY34" s="16"/>
      <c r="DHZ34" s="16"/>
      <c r="DIA34" s="16"/>
      <c r="DIB34" s="16"/>
      <c r="DIC34" s="16"/>
      <c r="DID34" s="16"/>
      <c r="DIE34" s="16"/>
      <c r="DIF34" s="16"/>
      <c r="DIG34" s="16"/>
      <c r="DIH34" s="16"/>
      <c r="DII34" s="16"/>
      <c r="DIJ34" s="16"/>
      <c r="DIK34" s="16"/>
      <c r="DIL34" s="16"/>
      <c r="DIM34" s="16"/>
      <c r="DIN34" s="16"/>
      <c r="DIO34" s="16"/>
      <c r="DIP34" s="16"/>
      <c r="DIQ34" s="16"/>
      <c r="DIR34" s="16"/>
      <c r="DIS34" s="16"/>
      <c r="DIT34" s="16"/>
      <c r="DIU34" s="16"/>
      <c r="DIV34" s="16"/>
      <c r="DIW34" s="16"/>
      <c r="DIX34" s="16"/>
      <c r="DIY34" s="16"/>
      <c r="DIZ34" s="16"/>
      <c r="DJA34" s="16"/>
      <c r="DJB34" s="16"/>
      <c r="DJC34" s="16"/>
      <c r="DJD34" s="16"/>
      <c r="DJE34" s="16"/>
      <c r="DJF34" s="16"/>
      <c r="DJG34" s="16"/>
      <c r="DJH34" s="16"/>
      <c r="DJI34" s="16"/>
      <c r="DJJ34" s="16"/>
      <c r="DJK34" s="16"/>
      <c r="DJL34" s="16"/>
      <c r="DJM34" s="16"/>
      <c r="DJN34" s="16"/>
      <c r="DJO34" s="16"/>
      <c r="DJP34" s="16"/>
      <c r="DJQ34" s="16"/>
      <c r="DJR34" s="16"/>
      <c r="DJS34" s="16"/>
      <c r="DJT34" s="16"/>
      <c r="DJU34" s="16"/>
      <c r="DJV34" s="16"/>
      <c r="DJW34" s="16"/>
      <c r="DJX34" s="16"/>
      <c r="DJY34" s="16"/>
      <c r="DJZ34" s="16"/>
      <c r="DKA34" s="16"/>
      <c r="DKB34" s="16"/>
      <c r="DKC34" s="16"/>
      <c r="DKD34" s="16"/>
      <c r="DKE34" s="16"/>
      <c r="DKF34" s="16"/>
      <c r="DKG34" s="16"/>
      <c r="DKH34" s="16"/>
      <c r="DKI34" s="16"/>
      <c r="DKJ34" s="16"/>
      <c r="DKK34" s="16"/>
      <c r="DKL34" s="16"/>
      <c r="DKM34" s="16"/>
      <c r="DKN34" s="16"/>
      <c r="DKO34" s="16"/>
      <c r="DKP34" s="16"/>
      <c r="DKQ34" s="16"/>
      <c r="DKR34" s="16"/>
      <c r="DKS34" s="16"/>
      <c r="DKT34" s="16"/>
      <c r="DKU34" s="16"/>
      <c r="DKV34" s="16"/>
      <c r="DKW34" s="16"/>
      <c r="DKX34" s="16"/>
      <c r="DKY34" s="16"/>
      <c r="DKZ34" s="16"/>
      <c r="DLA34" s="16"/>
      <c r="DLB34" s="16"/>
      <c r="DLC34" s="16"/>
      <c r="DLD34" s="16"/>
      <c r="DLE34" s="16"/>
      <c r="DLF34" s="16"/>
      <c r="DLG34" s="16"/>
      <c r="DLH34" s="16"/>
      <c r="DLI34" s="16"/>
      <c r="DLJ34" s="16"/>
      <c r="DLK34" s="16"/>
      <c r="DLL34" s="16"/>
      <c r="DLM34" s="16"/>
      <c r="DLN34" s="16"/>
      <c r="DLO34" s="16"/>
      <c r="DLP34" s="16"/>
      <c r="DLQ34" s="16"/>
      <c r="DLR34" s="16"/>
      <c r="DLS34" s="16"/>
      <c r="DLT34" s="16"/>
      <c r="DLU34" s="16"/>
      <c r="DLV34" s="16"/>
      <c r="DLW34" s="16"/>
      <c r="DLX34" s="16"/>
      <c r="DLY34" s="16"/>
      <c r="DLZ34" s="16"/>
      <c r="DMA34" s="16"/>
      <c r="DMB34" s="16"/>
      <c r="DMC34" s="16"/>
      <c r="DMD34" s="16"/>
      <c r="DME34" s="16"/>
      <c r="DMF34" s="16"/>
      <c r="DMG34" s="16"/>
      <c r="DMH34" s="16"/>
      <c r="DMI34" s="16"/>
      <c r="DMJ34" s="16"/>
      <c r="DMK34" s="16"/>
      <c r="DML34" s="16"/>
      <c r="DMM34" s="16"/>
      <c r="DMN34" s="16"/>
      <c r="DMO34" s="16"/>
      <c r="DMP34" s="16"/>
      <c r="DMQ34" s="16"/>
      <c r="DMR34" s="16"/>
      <c r="DMS34" s="16"/>
      <c r="DMT34" s="16"/>
      <c r="DMU34" s="16"/>
      <c r="DMV34" s="16"/>
      <c r="DMW34" s="16"/>
      <c r="DMX34" s="16"/>
      <c r="DMY34" s="16"/>
      <c r="DMZ34" s="16"/>
      <c r="DNA34" s="16"/>
      <c r="DNB34" s="16"/>
      <c r="DNC34" s="16"/>
      <c r="DND34" s="16"/>
      <c r="DNE34" s="16"/>
      <c r="DNF34" s="16"/>
      <c r="DNG34" s="16"/>
      <c r="DNH34" s="16"/>
      <c r="DNI34" s="16"/>
      <c r="DNJ34" s="16"/>
      <c r="DNK34" s="16"/>
      <c r="DNL34" s="16"/>
      <c r="DNM34" s="16"/>
      <c r="DNN34" s="16"/>
      <c r="DNO34" s="16"/>
      <c r="DNP34" s="16"/>
      <c r="DNQ34" s="16"/>
      <c r="DNR34" s="16"/>
      <c r="DNS34" s="16"/>
      <c r="DNT34" s="16"/>
      <c r="DNU34" s="16"/>
      <c r="DNV34" s="16"/>
      <c r="DNW34" s="16"/>
      <c r="DNX34" s="16"/>
      <c r="DNY34" s="16"/>
      <c r="DNZ34" s="16"/>
      <c r="DOA34" s="16"/>
      <c r="DOB34" s="16"/>
      <c r="DOC34" s="16"/>
      <c r="DOD34" s="16"/>
      <c r="DOE34" s="16"/>
      <c r="DOF34" s="16"/>
      <c r="DOG34" s="16"/>
      <c r="DOH34" s="16"/>
      <c r="DOI34" s="16"/>
      <c r="DOJ34" s="16"/>
      <c r="DOK34" s="16"/>
      <c r="DOL34" s="16"/>
      <c r="DOM34" s="16"/>
      <c r="DON34" s="16"/>
      <c r="DOO34" s="16"/>
      <c r="DOP34" s="16"/>
      <c r="DOQ34" s="16"/>
      <c r="DOR34" s="16"/>
      <c r="DOS34" s="16"/>
      <c r="DOT34" s="16"/>
      <c r="DOU34" s="16"/>
      <c r="DOV34" s="16"/>
      <c r="DOW34" s="16"/>
      <c r="DOX34" s="16"/>
      <c r="DOY34" s="16"/>
      <c r="DOZ34" s="16"/>
      <c r="DPA34" s="16"/>
      <c r="DPB34" s="16"/>
      <c r="DPC34" s="16"/>
      <c r="DPD34" s="16"/>
      <c r="DPE34" s="16"/>
      <c r="DPF34" s="16"/>
      <c r="DPG34" s="16"/>
      <c r="DPH34" s="16"/>
      <c r="DPI34" s="16"/>
      <c r="DPJ34" s="16"/>
      <c r="DPK34" s="16"/>
      <c r="DPL34" s="16"/>
      <c r="DPM34" s="16"/>
      <c r="DPN34" s="16"/>
      <c r="DPO34" s="16"/>
      <c r="DPP34" s="16"/>
      <c r="DPQ34" s="16"/>
      <c r="DPR34" s="16"/>
      <c r="DPS34" s="16"/>
      <c r="DPT34" s="16"/>
      <c r="DPU34" s="16"/>
      <c r="DPV34" s="16"/>
      <c r="DPW34" s="16"/>
      <c r="DPX34" s="16"/>
      <c r="DPY34" s="16"/>
      <c r="DPZ34" s="16"/>
      <c r="DQA34" s="16"/>
      <c r="DQB34" s="16"/>
      <c r="DQC34" s="16"/>
      <c r="DQD34" s="16"/>
      <c r="DQE34" s="16"/>
      <c r="DQF34" s="16"/>
      <c r="DQG34" s="16"/>
      <c r="DQH34" s="16"/>
      <c r="DQI34" s="16"/>
      <c r="DQJ34" s="16"/>
      <c r="DQK34" s="16"/>
      <c r="DQL34" s="16"/>
      <c r="DQM34" s="16"/>
      <c r="DQN34" s="16"/>
      <c r="DQO34" s="16"/>
      <c r="DQP34" s="16"/>
      <c r="DQQ34" s="16"/>
      <c r="DQR34" s="16"/>
      <c r="DQS34" s="16"/>
      <c r="DQT34" s="16"/>
      <c r="DQU34" s="16"/>
      <c r="DQV34" s="16"/>
      <c r="DQW34" s="16"/>
      <c r="DQX34" s="16"/>
      <c r="DQY34" s="16"/>
      <c r="DQZ34" s="16"/>
      <c r="DRA34" s="16"/>
      <c r="DRB34" s="16"/>
      <c r="DRC34" s="16"/>
      <c r="DRD34" s="16"/>
      <c r="DRE34" s="16"/>
      <c r="DRF34" s="16"/>
      <c r="DRG34" s="16"/>
      <c r="DRH34" s="16"/>
      <c r="DRI34" s="16"/>
      <c r="DRJ34" s="16"/>
      <c r="DRK34" s="16"/>
      <c r="DRL34" s="16"/>
      <c r="DRM34" s="16"/>
      <c r="DRN34" s="16"/>
      <c r="DRO34" s="16"/>
      <c r="DRP34" s="16"/>
      <c r="DRQ34" s="16"/>
      <c r="DRR34" s="16"/>
      <c r="DRS34" s="16"/>
      <c r="DRT34" s="16"/>
      <c r="DRU34" s="16"/>
      <c r="DRV34" s="16"/>
      <c r="DRW34" s="16"/>
      <c r="DRX34" s="16"/>
      <c r="DRY34" s="16"/>
      <c r="DRZ34" s="16"/>
      <c r="DSA34" s="16"/>
      <c r="DSB34" s="16"/>
      <c r="DSC34" s="16"/>
      <c r="DSD34" s="16"/>
      <c r="DSE34" s="16"/>
      <c r="DSF34" s="16"/>
      <c r="DSG34" s="16"/>
      <c r="DSH34" s="16"/>
      <c r="DSI34" s="16"/>
      <c r="DSJ34" s="16"/>
      <c r="DSK34" s="16"/>
      <c r="DSL34" s="16"/>
      <c r="DSM34" s="16"/>
      <c r="DSN34" s="16"/>
      <c r="DSO34" s="16"/>
      <c r="DSP34" s="16"/>
      <c r="DSQ34" s="16"/>
      <c r="DSR34" s="16"/>
      <c r="DSS34" s="16"/>
      <c r="DST34" s="16"/>
      <c r="DSU34" s="16"/>
      <c r="DSV34" s="16"/>
      <c r="DSW34" s="16"/>
      <c r="DSX34" s="16"/>
      <c r="DSY34" s="16"/>
      <c r="DSZ34" s="16"/>
      <c r="DTA34" s="16"/>
      <c r="DTB34" s="16"/>
      <c r="DTC34" s="16"/>
      <c r="DTD34" s="16"/>
      <c r="DTE34" s="16"/>
      <c r="DTF34" s="16"/>
      <c r="DTG34" s="16"/>
      <c r="DTH34" s="16"/>
      <c r="DTI34" s="16"/>
      <c r="DTJ34" s="16"/>
      <c r="DTK34" s="16"/>
      <c r="DTL34" s="16"/>
      <c r="DTM34" s="16"/>
      <c r="DTN34" s="16"/>
      <c r="DTO34" s="16"/>
      <c r="DTP34" s="16"/>
      <c r="DTQ34" s="16"/>
      <c r="DTR34" s="16"/>
      <c r="DTS34" s="16"/>
      <c r="DTT34" s="16"/>
      <c r="DTU34" s="16"/>
      <c r="DTV34" s="16"/>
      <c r="DTW34" s="16"/>
      <c r="DTX34" s="16"/>
      <c r="DTY34" s="16"/>
      <c r="DTZ34" s="16"/>
      <c r="DUA34" s="16"/>
      <c r="DUB34" s="16"/>
      <c r="DUC34" s="16"/>
      <c r="DUD34" s="16"/>
      <c r="DUE34" s="16"/>
      <c r="DUF34" s="16"/>
      <c r="DUG34" s="16"/>
      <c r="DUH34" s="16"/>
      <c r="DUI34" s="16"/>
      <c r="DUJ34" s="16"/>
      <c r="DUK34" s="16"/>
      <c r="DUL34" s="16"/>
      <c r="DUM34" s="16"/>
      <c r="DUN34" s="16"/>
      <c r="DUO34" s="16"/>
      <c r="DUP34" s="16"/>
      <c r="DUQ34" s="16"/>
      <c r="DUR34" s="16"/>
      <c r="DUS34" s="16"/>
      <c r="DUT34" s="16"/>
      <c r="DUU34" s="16"/>
      <c r="DUV34" s="16"/>
      <c r="DUW34" s="16"/>
      <c r="DUX34" s="16"/>
      <c r="DUY34" s="16"/>
      <c r="DUZ34" s="16"/>
      <c r="DVA34" s="16"/>
      <c r="DVB34" s="16"/>
      <c r="DVC34" s="16"/>
      <c r="DVD34" s="16"/>
      <c r="DVE34" s="16"/>
      <c r="DVF34" s="16"/>
      <c r="DVG34" s="16"/>
      <c r="DVH34" s="16"/>
      <c r="DVI34" s="16"/>
      <c r="DVJ34" s="16"/>
      <c r="DVK34" s="16"/>
      <c r="DVL34" s="16"/>
      <c r="DVM34" s="16"/>
      <c r="DVN34" s="16"/>
      <c r="DVO34" s="16"/>
      <c r="DVP34" s="16"/>
      <c r="DVQ34" s="16"/>
      <c r="DVR34" s="16"/>
      <c r="DVS34" s="16"/>
      <c r="DVT34" s="16"/>
      <c r="DVU34" s="16"/>
      <c r="DVV34" s="16"/>
      <c r="DVW34" s="16"/>
      <c r="DVX34" s="16"/>
      <c r="DVY34" s="16"/>
      <c r="DVZ34" s="16"/>
      <c r="DWA34" s="16"/>
      <c r="DWB34" s="16"/>
      <c r="DWC34" s="16"/>
      <c r="DWD34" s="16"/>
      <c r="DWE34" s="16"/>
      <c r="DWF34" s="16"/>
      <c r="DWG34" s="16"/>
      <c r="DWH34" s="16"/>
      <c r="DWI34" s="16"/>
      <c r="DWJ34" s="16"/>
      <c r="DWK34" s="16"/>
      <c r="DWL34" s="16"/>
      <c r="DWM34" s="16"/>
      <c r="DWN34" s="16"/>
      <c r="DWO34" s="16"/>
      <c r="DWP34" s="16"/>
      <c r="DWQ34" s="16"/>
      <c r="DWR34" s="16"/>
      <c r="DWS34" s="16"/>
      <c r="DWT34" s="16"/>
      <c r="DWU34" s="16"/>
      <c r="DWV34" s="16"/>
      <c r="DWW34" s="16"/>
      <c r="DWX34" s="16"/>
      <c r="DWY34" s="16"/>
      <c r="DWZ34" s="16"/>
      <c r="DXA34" s="16"/>
      <c r="DXB34" s="16"/>
      <c r="DXC34" s="16"/>
      <c r="DXD34" s="16"/>
      <c r="DXE34" s="16"/>
      <c r="DXF34" s="16"/>
      <c r="DXG34" s="16"/>
      <c r="DXH34" s="16"/>
      <c r="DXI34" s="16"/>
      <c r="DXJ34" s="16"/>
      <c r="DXK34" s="16"/>
      <c r="DXL34" s="16"/>
      <c r="DXM34" s="16"/>
      <c r="DXN34" s="16"/>
      <c r="DXO34" s="16"/>
      <c r="DXP34" s="16"/>
      <c r="DXQ34" s="16"/>
      <c r="DXR34" s="16"/>
      <c r="DXS34" s="16"/>
      <c r="DXT34" s="16"/>
      <c r="DXU34" s="16"/>
      <c r="DXV34" s="16"/>
      <c r="DXW34" s="16"/>
      <c r="DXX34" s="16"/>
      <c r="DXY34" s="16"/>
      <c r="DXZ34" s="16"/>
      <c r="DYA34" s="16"/>
      <c r="DYB34" s="16"/>
      <c r="DYC34" s="16"/>
      <c r="DYD34" s="16"/>
      <c r="DYE34" s="16"/>
      <c r="DYF34" s="16"/>
      <c r="DYG34" s="16"/>
      <c r="DYH34" s="16"/>
      <c r="DYI34" s="16"/>
      <c r="DYJ34" s="16"/>
      <c r="DYK34" s="16"/>
      <c r="DYL34" s="16"/>
      <c r="DYM34" s="16"/>
      <c r="DYN34" s="16"/>
      <c r="DYO34" s="16"/>
      <c r="DYP34" s="16"/>
      <c r="DYQ34" s="16"/>
      <c r="DYR34" s="16"/>
      <c r="DYS34" s="16"/>
      <c r="DYT34" s="16"/>
      <c r="DYU34" s="16"/>
      <c r="DYV34" s="16"/>
      <c r="DYW34" s="16"/>
      <c r="DYX34" s="16"/>
      <c r="DYY34" s="16"/>
      <c r="DYZ34" s="16"/>
      <c r="DZA34" s="16"/>
      <c r="DZB34" s="16"/>
      <c r="DZC34" s="16"/>
      <c r="DZD34" s="16"/>
      <c r="DZE34" s="16"/>
      <c r="DZF34" s="16"/>
      <c r="DZG34" s="16"/>
      <c r="DZH34" s="16"/>
      <c r="DZI34" s="16"/>
      <c r="DZJ34" s="16"/>
      <c r="DZK34" s="16"/>
      <c r="DZL34" s="16"/>
      <c r="DZM34" s="16"/>
      <c r="DZN34" s="16"/>
      <c r="DZO34" s="16"/>
      <c r="DZP34" s="16"/>
      <c r="DZQ34" s="16"/>
      <c r="DZR34" s="16"/>
      <c r="DZS34" s="16"/>
      <c r="DZT34" s="16"/>
      <c r="DZU34" s="16"/>
      <c r="DZV34" s="16"/>
      <c r="DZW34" s="16"/>
      <c r="DZX34" s="16"/>
      <c r="DZY34" s="16"/>
      <c r="DZZ34" s="16"/>
      <c r="EAA34" s="16"/>
      <c r="EAB34" s="16"/>
      <c r="EAC34" s="16"/>
      <c r="EAD34" s="16"/>
      <c r="EAE34" s="16"/>
      <c r="EAF34" s="16"/>
      <c r="EAG34" s="16"/>
      <c r="EAH34" s="16"/>
      <c r="EAI34" s="16"/>
      <c r="EAJ34" s="16"/>
      <c r="EAK34" s="16"/>
      <c r="EAL34" s="16"/>
      <c r="EAM34" s="16"/>
      <c r="EAN34" s="16"/>
      <c r="EAO34" s="16"/>
      <c r="EAP34" s="16"/>
      <c r="EAQ34" s="16"/>
      <c r="EAR34" s="16"/>
      <c r="EAS34" s="16"/>
      <c r="EAT34" s="16"/>
      <c r="EAU34" s="16"/>
      <c r="EAV34" s="16"/>
      <c r="EAW34" s="16"/>
      <c r="EAX34" s="16"/>
      <c r="EAY34" s="16"/>
      <c r="EAZ34" s="16"/>
      <c r="EBA34" s="16"/>
      <c r="EBB34" s="16"/>
      <c r="EBC34" s="16"/>
      <c r="EBD34" s="16"/>
      <c r="EBE34" s="16"/>
      <c r="EBF34" s="16"/>
      <c r="EBG34" s="16"/>
      <c r="EBH34" s="16"/>
      <c r="EBI34" s="16"/>
      <c r="EBJ34" s="16"/>
      <c r="EBK34" s="16"/>
      <c r="EBL34" s="16"/>
      <c r="EBM34" s="16"/>
      <c r="EBN34" s="16"/>
      <c r="EBO34" s="16"/>
      <c r="EBP34" s="16"/>
      <c r="EBQ34" s="16"/>
      <c r="EBR34" s="16"/>
      <c r="EBS34" s="16"/>
      <c r="EBT34" s="16"/>
      <c r="EBU34" s="16"/>
      <c r="EBV34" s="16"/>
      <c r="EBW34" s="16"/>
      <c r="EBX34" s="16"/>
      <c r="EBY34" s="16"/>
      <c r="EBZ34" s="16"/>
      <c r="ECA34" s="16"/>
      <c r="ECB34" s="16"/>
      <c r="ECC34" s="16"/>
      <c r="ECD34" s="16"/>
      <c r="ECE34" s="16"/>
      <c r="ECF34" s="16"/>
      <c r="ECG34" s="16"/>
      <c r="ECH34" s="16"/>
      <c r="ECI34" s="16"/>
      <c r="ECJ34" s="16"/>
      <c r="ECK34" s="16"/>
      <c r="ECL34" s="16"/>
      <c r="ECM34" s="16"/>
      <c r="ECN34" s="16"/>
      <c r="ECO34" s="16"/>
      <c r="ECP34" s="16"/>
      <c r="ECQ34" s="16"/>
      <c r="ECR34" s="16"/>
      <c r="ECS34" s="16"/>
      <c r="ECT34" s="16"/>
      <c r="ECU34" s="16"/>
      <c r="ECV34" s="16"/>
      <c r="ECW34" s="16"/>
      <c r="ECX34" s="16"/>
      <c r="ECY34" s="16"/>
      <c r="ECZ34" s="16"/>
      <c r="EDA34" s="16"/>
      <c r="EDB34" s="16"/>
      <c r="EDC34" s="16"/>
      <c r="EDD34" s="16"/>
      <c r="EDE34" s="16"/>
      <c r="EDF34" s="16"/>
      <c r="EDG34" s="16"/>
      <c r="EDH34" s="16"/>
      <c r="EDI34" s="16"/>
      <c r="EDJ34" s="16"/>
      <c r="EDK34" s="16"/>
      <c r="EDL34" s="16"/>
      <c r="EDM34" s="16"/>
      <c r="EDN34" s="16"/>
      <c r="EDO34" s="16"/>
      <c r="EDP34" s="16"/>
      <c r="EDQ34" s="16"/>
      <c r="EDR34" s="16"/>
      <c r="EDS34" s="16"/>
      <c r="EDT34" s="16"/>
      <c r="EDU34" s="16"/>
      <c r="EDV34" s="16"/>
      <c r="EDW34" s="16"/>
      <c r="EDX34" s="16"/>
      <c r="EDY34" s="16"/>
      <c r="EDZ34" s="16"/>
      <c r="EEA34" s="16"/>
      <c r="EEB34" s="16"/>
      <c r="EEC34" s="16"/>
      <c r="EED34" s="16"/>
      <c r="EEE34" s="16"/>
      <c r="EEF34" s="16"/>
      <c r="EEG34" s="16"/>
      <c r="EEH34" s="16"/>
      <c r="EEI34" s="16"/>
      <c r="EEJ34" s="16"/>
      <c r="EEK34" s="16"/>
      <c r="EEL34" s="16"/>
      <c r="EEM34" s="16"/>
      <c r="EEN34" s="16"/>
      <c r="EEO34" s="16"/>
      <c r="EEP34" s="16"/>
      <c r="EEQ34" s="16"/>
      <c r="EER34" s="16"/>
      <c r="EES34" s="16"/>
      <c r="EET34" s="16"/>
      <c r="EEU34" s="16"/>
      <c r="EEV34" s="16"/>
      <c r="EEW34" s="16"/>
      <c r="EEX34" s="16"/>
      <c r="EEY34" s="16"/>
      <c r="EEZ34" s="16"/>
      <c r="EFA34" s="16"/>
      <c r="EFB34" s="16"/>
      <c r="EFC34" s="16"/>
      <c r="EFD34" s="16"/>
      <c r="EFE34" s="16"/>
      <c r="EFF34" s="16"/>
      <c r="EFG34" s="16"/>
      <c r="EFH34" s="16"/>
      <c r="EFI34" s="16"/>
      <c r="EFJ34" s="16"/>
      <c r="EFK34" s="16"/>
      <c r="EFL34" s="16"/>
      <c r="EFM34" s="16"/>
      <c r="EFN34" s="16"/>
      <c r="EFO34" s="16"/>
      <c r="EFP34" s="16"/>
      <c r="EFQ34" s="16"/>
      <c r="EFR34" s="16"/>
      <c r="EFS34" s="16"/>
      <c r="EFT34" s="16"/>
      <c r="EFU34" s="16"/>
      <c r="EFV34" s="16"/>
      <c r="EFW34" s="16"/>
      <c r="EFX34" s="16"/>
      <c r="EFY34" s="16"/>
      <c r="EFZ34" s="16"/>
      <c r="EGA34" s="16"/>
      <c r="EGB34" s="16"/>
      <c r="EGC34" s="16"/>
      <c r="EGD34" s="16"/>
      <c r="EGE34" s="16"/>
      <c r="EGF34" s="16"/>
      <c r="EGG34" s="16"/>
      <c r="EGH34" s="16"/>
      <c r="EGI34" s="16"/>
      <c r="EGJ34" s="16"/>
      <c r="EGK34" s="16"/>
      <c r="EGL34" s="16"/>
      <c r="EGM34" s="16"/>
      <c r="EGN34" s="16"/>
      <c r="EGO34" s="16"/>
      <c r="EGP34" s="16"/>
      <c r="EGQ34" s="16"/>
      <c r="EGR34" s="16"/>
      <c r="EGS34" s="16"/>
      <c r="EGT34" s="16"/>
      <c r="EGU34" s="16"/>
      <c r="EGV34" s="16"/>
      <c r="EGW34" s="16"/>
      <c r="EGX34" s="16"/>
      <c r="EGY34" s="16"/>
      <c r="EGZ34" s="16"/>
      <c r="EHA34" s="16"/>
      <c r="EHB34" s="16"/>
      <c r="EHC34" s="16"/>
      <c r="EHD34" s="16"/>
      <c r="EHE34" s="16"/>
      <c r="EHF34" s="16"/>
      <c r="EHG34" s="16"/>
      <c r="EHH34" s="16"/>
      <c r="EHI34" s="16"/>
      <c r="EHJ34" s="16"/>
      <c r="EHK34" s="16"/>
      <c r="EHL34" s="16"/>
      <c r="EHM34" s="16"/>
      <c r="EHN34" s="16"/>
      <c r="EHO34" s="16"/>
      <c r="EHP34" s="16"/>
      <c r="EHQ34" s="16"/>
      <c r="EHR34" s="16"/>
      <c r="EHS34" s="16"/>
      <c r="EHT34" s="16"/>
      <c r="EHU34" s="16"/>
      <c r="EHV34" s="16"/>
      <c r="EHW34" s="16"/>
      <c r="EHX34" s="16"/>
      <c r="EHY34" s="16"/>
      <c r="EHZ34" s="16"/>
      <c r="EIA34" s="16"/>
      <c r="EIB34" s="16"/>
      <c r="EIC34" s="16"/>
      <c r="EID34" s="16"/>
      <c r="EIE34" s="16"/>
      <c r="EIF34" s="16"/>
      <c r="EIG34" s="16"/>
      <c r="EIH34" s="16"/>
      <c r="EII34" s="16"/>
      <c r="EIJ34" s="16"/>
      <c r="EIK34" s="16"/>
      <c r="EIL34" s="16"/>
      <c r="EIM34" s="16"/>
      <c r="EIN34" s="16"/>
      <c r="EIO34" s="16"/>
      <c r="EIP34" s="16"/>
      <c r="EIQ34" s="16"/>
      <c r="EIR34" s="16"/>
      <c r="EIS34" s="16"/>
      <c r="EIT34" s="16"/>
      <c r="EIU34" s="16"/>
      <c r="EIV34" s="16"/>
      <c r="EIW34" s="16"/>
      <c r="EIX34" s="16"/>
      <c r="EIY34" s="16"/>
      <c r="EIZ34" s="16"/>
      <c r="EJA34" s="16"/>
      <c r="EJB34" s="16"/>
      <c r="EJC34" s="16"/>
      <c r="EJD34" s="16"/>
      <c r="EJE34" s="16"/>
      <c r="EJF34" s="16"/>
      <c r="EJG34" s="16"/>
      <c r="EJH34" s="16"/>
      <c r="EJI34" s="16"/>
      <c r="EJJ34" s="16"/>
      <c r="EJK34" s="16"/>
      <c r="EJL34" s="16"/>
      <c r="EJM34" s="16"/>
      <c r="EJN34" s="16"/>
      <c r="EJO34" s="16"/>
      <c r="EJP34" s="16"/>
      <c r="EJQ34" s="16"/>
      <c r="EJR34" s="16"/>
      <c r="EJS34" s="16"/>
      <c r="EJT34" s="16"/>
      <c r="EJU34" s="16"/>
      <c r="EJV34" s="16"/>
      <c r="EJW34" s="16"/>
      <c r="EJX34" s="16"/>
      <c r="EJY34" s="16"/>
      <c r="EJZ34" s="16"/>
      <c r="EKA34" s="16"/>
      <c r="EKB34" s="16"/>
      <c r="EKC34" s="16"/>
      <c r="EKD34" s="16"/>
      <c r="EKE34" s="16"/>
      <c r="EKF34" s="16"/>
      <c r="EKG34" s="16"/>
      <c r="EKH34" s="16"/>
      <c r="EKI34" s="16"/>
      <c r="EKJ34" s="16"/>
      <c r="EKK34" s="16"/>
      <c r="EKL34" s="16"/>
      <c r="EKM34" s="16"/>
      <c r="EKN34" s="16"/>
      <c r="EKO34" s="16"/>
      <c r="EKP34" s="16"/>
      <c r="EKQ34" s="16"/>
      <c r="EKR34" s="16"/>
      <c r="EKS34" s="16"/>
      <c r="EKT34" s="16"/>
      <c r="EKU34" s="16"/>
      <c r="EKV34" s="16"/>
      <c r="EKW34" s="16"/>
      <c r="EKX34" s="16"/>
      <c r="EKY34" s="16"/>
      <c r="EKZ34" s="16"/>
      <c r="ELA34" s="16"/>
      <c r="ELB34" s="16"/>
      <c r="ELC34" s="16"/>
      <c r="ELD34" s="16"/>
      <c r="ELE34" s="16"/>
      <c r="ELF34" s="16"/>
      <c r="ELG34" s="16"/>
      <c r="ELH34" s="16"/>
      <c r="ELI34" s="16"/>
      <c r="ELJ34" s="16"/>
      <c r="ELK34" s="16"/>
      <c r="ELL34" s="16"/>
      <c r="ELM34" s="16"/>
      <c r="ELN34" s="16"/>
      <c r="ELO34" s="16"/>
      <c r="ELP34" s="16"/>
      <c r="ELQ34" s="16"/>
      <c r="ELR34" s="16"/>
      <c r="ELS34" s="16"/>
      <c r="ELT34" s="16"/>
      <c r="ELU34" s="16"/>
      <c r="ELV34" s="16"/>
      <c r="ELW34" s="16"/>
      <c r="ELX34" s="16"/>
      <c r="ELY34" s="16"/>
      <c r="ELZ34" s="16"/>
      <c r="EMA34" s="16"/>
      <c r="EMB34" s="16"/>
      <c r="EMC34" s="16"/>
      <c r="EMD34" s="16"/>
      <c r="EME34" s="16"/>
      <c r="EMF34" s="16"/>
      <c r="EMG34" s="16"/>
      <c r="EMH34" s="16"/>
      <c r="EMI34" s="16"/>
      <c r="EMJ34" s="16"/>
      <c r="EMK34" s="16"/>
      <c r="EML34" s="16"/>
      <c r="EMM34" s="16"/>
      <c r="EMN34" s="16"/>
      <c r="EMO34" s="16"/>
      <c r="EMP34" s="16"/>
      <c r="EMQ34" s="16"/>
      <c r="EMR34" s="16"/>
      <c r="EMS34" s="16"/>
      <c r="EMT34" s="16"/>
      <c r="EMU34" s="16"/>
      <c r="EMV34" s="16"/>
      <c r="EMW34" s="16"/>
      <c r="EMX34" s="16"/>
      <c r="EMY34" s="16"/>
      <c r="EMZ34" s="16"/>
      <c r="ENA34" s="16"/>
      <c r="ENB34" s="16"/>
      <c r="ENC34" s="16"/>
      <c r="END34" s="16"/>
      <c r="ENE34" s="16"/>
      <c r="ENF34" s="16"/>
      <c r="ENG34" s="16"/>
      <c r="ENH34" s="16"/>
      <c r="ENI34" s="16"/>
      <c r="ENJ34" s="16"/>
      <c r="ENK34" s="16"/>
      <c r="ENL34" s="16"/>
      <c r="ENM34" s="16"/>
      <c r="ENN34" s="16"/>
      <c r="ENO34" s="16"/>
      <c r="ENP34" s="16"/>
      <c r="ENQ34" s="16"/>
      <c r="ENR34" s="16"/>
      <c r="ENS34" s="16"/>
      <c r="ENT34" s="16"/>
      <c r="ENU34" s="16"/>
      <c r="ENV34" s="16"/>
      <c r="ENW34" s="16"/>
      <c r="ENX34" s="16"/>
      <c r="ENY34" s="16"/>
      <c r="ENZ34" s="16"/>
      <c r="EOA34" s="16"/>
      <c r="EOB34" s="16"/>
      <c r="EOC34" s="16"/>
      <c r="EOD34" s="16"/>
      <c r="EOE34" s="16"/>
      <c r="EOF34" s="16"/>
      <c r="EOG34" s="16"/>
      <c r="EOH34" s="16"/>
      <c r="EOI34" s="16"/>
      <c r="EOJ34" s="16"/>
      <c r="EOK34" s="16"/>
      <c r="EOL34" s="16"/>
      <c r="EOM34" s="16"/>
      <c r="EON34" s="16"/>
      <c r="EOO34" s="16"/>
      <c r="EOP34" s="16"/>
      <c r="EOQ34" s="16"/>
      <c r="EOR34" s="16"/>
      <c r="EOS34" s="16"/>
      <c r="EOT34" s="16"/>
      <c r="EOU34" s="16"/>
      <c r="EOV34" s="16"/>
      <c r="EOW34" s="16"/>
      <c r="EOX34" s="16"/>
      <c r="EOY34" s="16"/>
      <c r="EOZ34" s="16"/>
      <c r="EPA34" s="16"/>
      <c r="EPB34" s="16"/>
      <c r="EPC34" s="16"/>
      <c r="EPD34" s="16"/>
      <c r="EPE34" s="16"/>
      <c r="EPF34" s="16"/>
      <c r="EPG34" s="16"/>
      <c r="EPH34" s="16"/>
      <c r="EPI34" s="16"/>
      <c r="EPJ34" s="16"/>
      <c r="EPK34" s="16"/>
      <c r="EPL34" s="16"/>
      <c r="EPM34" s="16"/>
      <c r="EPN34" s="16"/>
      <c r="EPO34" s="16"/>
      <c r="EPP34" s="16"/>
      <c r="EPQ34" s="16"/>
      <c r="EPR34" s="16"/>
      <c r="EPS34" s="16"/>
      <c r="EPT34" s="16"/>
      <c r="EPU34" s="16"/>
      <c r="EPV34" s="16"/>
      <c r="EPW34" s="16"/>
      <c r="EPX34" s="16"/>
      <c r="EPY34" s="16"/>
      <c r="EPZ34" s="16"/>
      <c r="EQA34" s="16"/>
      <c r="EQB34" s="16"/>
      <c r="EQC34" s="16"/>
      <c r="EQD34" s="16"/>
      <c r="EQE34" s="16"/>
      <c r="EQF34" s="16"/>
      <c r="EQG34" s="16"/>
      <c r="EQH34" s="16"/>
      <c r="EQI34" s="16"/>
      <c r="EQJ34" s="16"/>
      <c r="EQK34" s="16"/>
      <c r="EQL34" s="16"/>
      <c r="EQM34" s="16"/>
      <c r="EQN34" s="16"/>
      <c r="EQO34" s="16"/>
      <c r="EQP34" s="16"/>
      <c r="EQQ34" s="16"/>
      <c r="EQR34" s="16"/>
      <c r="EQS34" s="16"/>
      <c r="EQT34" s="16"/>
      <c r="EQU34" s="16"/>
      <c r="EQV34" s="16"/>
      <c r="EQW34" s="16"/>
      <c r="EQX34" s="16"/>
      <c r="EQY34" s="16"/>
      <c r="EQZ34" s="16"/>
      <c r="ERA34" s="16"/>
      <c r="ERB34" s="16"/>
      <c r="ERC34" s="16"/>
      <c r="ERD34" s="16"/>
      <c r="ERE34" s="16"/>
      <c r="ERF34" s="16"/>
      <c r="ERG34" s="16"/>
      <c r="ERH34" s="16"/>
      <c r="ERI34" s="16"/>
      <c r="ERJ34" s="16"/>
      <c r="ERK34" s="16"/>
      <c r="ERL34" s="16"/>
      <c r="ERM34" s="16"/>
      <c r="ERN34" s="16"/>
      <c r="ERO34" s="16"/>
      <c r="ERP34" s="16"/>
      <c r="ERQ34" s="16"/>
      <c r="ERR34" s="16"/>
      <c r="ERS34" s="16"/>
      <c r="ERT34" s="16"/>
      <c r="ERU34" s="16"/>
      <c r="ERV34" s="16"/>
      <c r="ERW34" s="16"/>
      <c r="ERX34" s="16"/>
      <c r="ERY34" s="16"/>
      <c r="ERZ34" s="16"/>
      <c r="ESA34" s="16"/>
      <c r="ESB34" s="16"/>
      <c r="ESC34" s="16"/>
      <c r="ESD34" s="16"/>
      <c r="ESE34" s="16"/>
      <c r="ESF34" s="16"/>
      <c r="ESG34" s="16"/>
      <c r="ESH34" s="16"/>
      <c r="ESI34" s="16"/>
      <c r="ESJ34" s="16"/>
      <c r="ESK34" s="16"/>
      <c r="ESL34" s="16"/>
      <c r="ESM34" s="16"/>
      <c r="ESN34" s="16"/>
      <c r="ESO34" s="16"/>
      <c r="ESP34" s="16"/>
      <c r="ESQ34" s="16"/>
      <c r="ESR34" s="16"/>
      <c r="ESS34" s="16"/>
      <c r="EST34" s="16"/>
      <c r="ESU34" s="16"/>
      <c r="ESV34" s="16"/>
      <c r="ESW34" s="16"/>
      <c r="ESX34" s="16"/>
      <c r="ESY34" s="16"/>
      <c r="ESZ34" s="16"/>
      <c r="ETA34" s="16"/>
      <c r="ETB34" s="16"/>
      <c r="ETC34" s="16"/>
      <c r="ETD34" s="16"/>
      <c r="ETE34" s="16"/>
      <c r="ETF34" s="16"/>
      <c r="ETG34" s="16"/>
      <c r="ETH34" s="16"/>
      <c r="ETI34" s="16"/>
      <c r="ETJ34" s="16"/>
      <c r="ETK34" s="16"/>
      <c r="ETL34" s="16"/>
      <c r="ETM34" s="16"/>
      <c r="ETN34" s="16"/>
      <c r="ETO34" s="16"/>
      <c r="ETP34" s="16"/>
      <c r="ETQ34" s="16"/>
      <c r="ETR34" s="16"/>
      <c r="ETS34" s="16"/>
      <c r="ETT34" s="16"/>
      <c r="ETU34" s="16"/>
      <c r="ETV34" s="16"/>
      <c r="ETW34" s="16"/>
      <c r="ETX34" s="16"/>
      <c r="ETY34" s="16"/>
      <c r="ETZ34" s="16"/>
      <c r="EUA34" s="16"/>
      <c r="EUB34" s="16"/>
      <c r="EUC34" s="16"/>
      <c r="EUD34" s="16"/>
      <c r="EUE34" s="16"/>
      <c r="EUF34" s="16"/>
      <c r="EUG34" s="16"/>
      <c r="EUH34" s="16"/>
      <c r="EUI34" s="16"/>
      <c r="EUJ34" s="16"/>
      <c r="EUK34" s="16"/>
      <c r="EUL34" s="16"/>
      <c r="EUM34" s="16"/>
      <c r="EUN34" s="16"/>
      <c r="EUO34" s="16"/>
      <c r="EUP34" s="16"/>
      <c r="EUQ34" s="16"/>
      <c r="EUR34" s="16"/>
      <c r="EUS34" s="16"/>
      <c r="EUT34" s="16"/>
      <c r="EUU34" s="16"/>
      <c r="EUV34" s="16"/>
      <c r="EUW34" s="16"/>
      <c r="EUX34" s="16"/>
      <c r="EUY34" s="16"/>
      <c r="EUZ34" s="16"/>
      <c r="EVA34" s="16"/>
      <c r="EVB34" s="16"/>
      <c r="EVC34" s="16"/>
      <c r="EVD34" s="16"/>
      <c r="EVE34" s="16"/>
      <c r="EVF34" s="16"/>
      <c r="EVG34" s="16"/>
      <c r="EVH34" s="16"/>
      <c r="EVI34" s="16"/>
      <c r="EVJ34" s="16"/>
      <c r="EVK34" s="16"/>
      <c r="EVL34" s="16"/>
      <c r="EVM34" s="16"/>
      <c r="EVN34" s="16"/>
      <c r="EVO34" s="16"/>
      <c r="EVP34" s="16"/>
      <c r="EVQ34" s="16"/>
      <c r="EVR34" s="16"/>
      <c r="EVS34" s="16"/>
      <c r="EVT34" s="16"/>
      <c r="EVU34" s="16"/>
      <c r="EVV34" s="16"/>
      <c r="EVW34" s="16"/>
      <c r="EVX34" s="16"/>
      <c r="EVY34" s="16"/>
      <c r="EVZ34" s="16"/>
      <c r="EWA34" s="16"/>
      <c r="EWB34" s="16"/>
      <c r="EWC34" s="16"/>
      <c r="EWD34" s="16"/>
      <c r="EWE34" s="16"/>
      <c r="EWF34" s="16"/>
      <c r="EWG34" s="16"/>
      <c r="EWH34" s="16"/>
      <c r="EWI34" s="16"/>
      <c r="EWJ34" s="16"/>
      <c r="EWK34" s="16"/>
      <c r="EWL34" s="16"/>
      <c r="EWM34" s="16"/>
      <c r="EWN34" s="16"/>
      <c r="EWO34" s="16"/>
      <c r="EWP34" s="16"/>
      <c r="EWQ34" s="16"/>
      <c r="EWR34" s="16"/>
      <c r="EWS34" s="16"/>
      <c r="EWT34" s="16"/>
      <c r="EWU34" s="16"/>
      <c r="EWV34" s="16"/>
      <c r="EWW34" s="16"/>
      <c r="EWX34" s="16"/>
      <c r="EWY34" s="16"/>
      <c r="EWZ34" s="16"/>
      <c r="EXA34" s="16"/>
      <c r="EXB34" s="16"/>
      <c r="EXC34" s="16"/>
      <c r="EXD34" s="16"/>
      <c r="EXE34" s="16"/>
      <c r="EXF34" s="16"/>
      <c r="EXG34" s="16"/>
      <c r="EXH34" s="16"/>
      <c r="EXI34" s="16"/>
      <c r="EXJ34" s="16"/>
      <c r="EXK34" s="16"/>
      <c r="EXL34" s="16"/>
      <c r="EXM34" s="16"/>
      <c r="EXN34" s="16"/>
      <c r="EXO34" s="16"/>
      <c r="EXP34" s="16"/>
      <c r="EXQ34" s="16"/>
      <c r="EXR34" s="16"/>
      <c r="EXS34" s="16"/>
      <c r="EXT34" s="16"/>
      <c r="EXU34" s="16"/>
      <c r="EXV34" s="16"/>
      <c r="EXW34" s="16"/>
      <c r="EXX34" s="16"/>
      <c r="EXY34" s="16"/>
      <c r="EXZ34" s="16"/>
      <c r="EYA34" s="16"/>
      <c r="EYB34" s="16"/>
      <c r="EYC34" s="16"/>
      <c r="EYD34" s="16"/>
      <c r="EYE34" s="16"/>
      <c r="EYF34" s="16"/>
      <c r="EYG34" s="16"/>
      <c r="EYH34" s="16"/>
      <c r="EYI34" s="16"/>
      <c r="EYJ34" s="16"/>
      <c r="EYK34" s="16"/>
      <c r="EYL34" s="16"/>
      <c r="EYM34" s="16"/>
      <c r="EYN34" s="16"/>
      <c r="EYO34" s="16"/>
      <c r="EYP34" s="16"/>
      <c r="EYQ34" s="16"/>
      <c r="EYR34" s="16"/>
      <c r="EYS34" s="16"/>
      <c r="EYT34" s="16"/>
      <c r="EYU34" s="16"/>
      <c r="EYV34" s="16"/>
      <c r="EYW34" s="16"/>
      <c r="EYX34" s="16"/>
      <c r="EYY34" s="16"/>
      <c r="EYZ34" s="16"/>
      <c r="EZA34" s="16"/>
      <c r="EZB34" s="16"/>
      <c r="EZC34" s="16"/>
      <c r="EZD34" s="16"/>
      <c r="EZE34" s="16"/>
      <c r="EZF34" s="16"/>
      <c r="EZG34" s="16"/>
      <c r="EZH34" s="16"/>
      <c r="EZI34" s="16"/>
      <c r="EZJ34" s="16"/>
      <c r="EZK34" s="16"/>
      <c r="EZL34" s="16"/>
      <c r="EZM34" s="16"/>
      <c r="EZN34" s="16"/>
      <c r="EZO34" s="16"/>
      <c r="EZP34" s="16"/>
      <c r="EZQ34" s="16"/>
      <c r="EZR34" s="16"/>
      <c r="EZS34" s="16"/>
      <c r="EZT34" s="16"/>
      <c r="EZU34" s="16"/>
      <c r="EZV34" s="16"/>
      <c r="EZW34" s="16"/>
      <c r="EZX34" s="16"/>
      <c r="EZY34" s="16"/>
      <c r="EZZ34" s="16"/>
      <c r="FAA34" s="16"/>
      <c r="FAB34" s="16"/>
      <c r="FAC34" s="16"/>
      <c r="FAD34" s="16"/>
      <c r="FAE34" s="16"/>
      <c r="FAF34" s="16"/>
      <c r="FAG34" s="16"/>
      <c r="FAH34" s="16"/>
      <c r="FAI34" s="16"/>
      <c r="FAJ34" s="16"/>
      <c r="FAK34" s="16"/>
      <c r="FAL34" s="16"/>
      <c r="FAM34" s="16"/>
      <c r="FAN34" s="16"/>
      <c r="FAO34" s="16"/>
      <c r="FAP34" s="16"/>
      <c r="FAQ34" s="16"/>
      <c r="FAR34" s="16"/>
      <c r="FAS34" s="16"/>
      <c r="FAT34" s="16"/>
      <c r="FAU34" s="16"/>
      <c r="FAV34" s="16"/>
      <c r="FAW34" s="16"/>
      <c r="FAX34" s="16"/>
      <c r="FAY34" s="16"/>
      <c r="FAZ34" s="16"/>
      <c r="FBA34" s="16"/>
      <c r="FBB34" s="16"/>
      <c r="FBC34" s="16"/>
      <c r="FBD34" s="16"/>
      <c r="FBE34" s="16"/>
      <c r="FBF34" s="16"/>
      <c r="FBG34" s="16"/>
      <c r="FBH34" s="16"/>
      <c r="FBI34" s="16"/>
      <c r="FBJ34" s="16"/>
      <c r="FBK34" s="16"/>
      <c r="FBL34" s="16"/>
      <c r="FBM34" s="16"/>
      <c r="FBN34" s="16"/>
      <c r="FBO34" s="16"/>
      <c r="FBP34" s="16"/>
      <c r="FBQ34" s="16"/>
      <c r="FBR34" s="16"/>
      <c r="FBS34" s="16"/>
      <c r="FBT34" s="16"/>
      <c r="FBU34" s="16"/>
      <c r="FBV34" s="16"/>
      <c r="FBW34" s="16"/>
      <c r="FBX34" s="16"/>
      <c r="FBY34" s="16"/>
      <c r="FBZ34" s="16"/>
      <c r="FCA34" s="16"/>
      <c r="FCB34" s="16"/>
      <c r="FCC34" s="16"/>
      <c r="FCD34" s="16"/>
      <c r="FCE34" s="16"/>
      <c r="FCF34" s="16"/>
      <c r="FCG34" s="16"/>
      <c r="FCH34" s="16"/>
      <c r="FCI34" s="16"/>
      <c r="FCJ34" s="16"/>
      <c r="FCK34" s="16"/>
      <c r="FCL34" s="16"/>
      <c r="FCM34" s="16"/>
      <c r="FCN34" s="16"/>
      <c r="FCO34" s="16"/>
      <c r="FCP34" s="16"/>
      <c r="FCQ34" s="16"/>
      <c r="FCR34" s="16"/>
      <c r="FCS34" s="16"/>
      <c r="FCT34" s="16"/>
      <c r="FCU34" s="16"/>
      <c r="FCV34" s="16"/>
      <c r="FCW34" s="16"/>
      <c r="FCX34" s="16"/>
      <c r="FCY34" s="16"/>
      <c r="FCZ34" s="16"/>
      <c r="FDA34" s="16"/>
      <c r="FDB34" s="16"/>
      <c r="FDC34" s="16"/>
      <c r="FDD34" s="16"/>
      <c r="FDE34" s="16"/>
      <c r="FDF34" s="16"/>
      <c r="FDG34" s="16"/>
      <c r="FDH34" s="16"/>
      <c r="FDI34" s="16"/>
      <c r="FDJ34" s="16"/>
      <c r="FDK34" s="16"/>
      <c r="FDL34" s="16"/>
      <c r="FDM34" s="16"/>
      <c r="FDN34" s="16"/>
      <c r="FDO34" s="16"/>
      <c r="FDP34" s="16"/>
      <c r="FDQ34" s="16"/>
      <c r="FDR34" s="16"/>
      <c r="FDS34" s="16"/>
      <c r="FDT34" s="16"/>
      <c r="FDU34" s="16"/>
      <c r="FDV34" s="16"/>
      <c r="FDW34" s="16"/>
      <c r="FDX34" s="16"/>
      <c r="FDY34" s="16"/>
      <c r="FDZ34" s="16"/>
      <c r="FEA34" s="16"/>
      <c r="FEB34" s="16"/>
      <c r="FEC34" s="16"/>
      <c r="FED34" s="16"/>
      <c r="FEE34" s="16"/>
      <c r="FEF34" s="16"/>
      <c r="FEG34" s="16"/>
      <c r="FEH34" s="16"/>
      <c r="FEI34" s="16"/>
      <c r="FEJ34" s="16"/>
      <c r="FEK34" s="16"/>
      <c r="FEL34" s="16"/>
      <c r="FEM34" s="16"/>
      <c r="FEN34" s="16"/>
      <c r="FEO34" s="16"/>
      <c r="FEP34" s="16"/>
      <c r="FEQ34" s="16"/>
      <c r="FER34" s="16"/>
      <c r="FES34" s="16"/>
      <c r="FET34" s="16"/>
      <c r="FEU34" s="16"/>
      <c r="FEV34" s="16"/>
      <c r="FEW34" s="16"/>
      <c r="FEX34" s="16"/>
      <c r="FEY34" s="16"/>
      <c r="FEZ34" s="16"/>
      <c r="FFA34" s="16"/>
      <c r="FFB34" s="16"/>
      <c r="FFC34" s="16"/>
      <c r="FFD34" s="16"/>
      <c r="FFE34" s="16"/>
      <c r="FFF34" s="16"/>
      <c r="FFG34" s="16"/>
      <c r="FFH34" s="16"/>
      <c r="FFI34" s="16"/>
      <c r="FFJ34" s="16"/>
      <c r="FFK34" s="16"/>
      <c r="FFL34" s="16"/>
      <c r="FFM34" s="16"/>
      <c r="FFN34" s="16"/>
      <c r="FFO34" s="16"/>
      <c r="FFP34" s="16"/>
      <c r="FFQ34" s="16"/>
      <c r="FFR34" s="16"/>
      <c r="FFS34" s="16"/>
      <c r="FFT34" s="16"/>
      <c r="FFU34" s="16"/>
      <c r="FFV34" s="16"/>
      <c r="FFW34" s="16"/>
      <c r="FFX34" s="16"/>
      <c r="FFY34" s="16"/>
      <c r="FFZ34" s="16"/>
      <c r="FGA34" s="16"/>
      <c r="FGB34" s="16"/>
      <c r="FGC34" s="16"/>
      <c r="FGD34" s="16"/>
      <c r="FGE34" s="16"/>
      <c r="FGF34" s="16"/>
      <c r="FGG34" s="16"/>
      <c r="FGH34" s="16"/>
      <c r="FGI34" s="16"/>
      <c r="FGJ34" s="16"/>
      <c r="FGK34" s="16"/>
      <c r="FGL34" s="16"/>
      <c r="FGM34" s="16"/>
      <c r="FGN34" s="16"/>
      <c r="FGO34" s="16"/>
      <c r="FGP34" s="16"/>
      <c r="FGQ34" s="16"/>
      <c r="FGR34" s="16"/>
      <c r="FGS34" s="16"/>
      <c r="FGT34" s="16"/>
      <c r="FGU34" s="16"/>
      <c r="FGV34" s="16"/>
      <c r="FGW34" s="16"/>
      <c r="FGX34" s="16"/>
      <c r="FGY34" s="16"/>
      <c r="FGZ34" s="16"/>
      <c r="FHA34" s="16"/>
      <c r="FHB34" s="16"/>
      <c r="FHC34" s="16"/>
      <c r="FHD34" s="16"/>
      <c r="FHE34" s="16"/>
      <c r="FHF34" s="16"/>
      <c r="FHG34" s="16"/>
      <c r="FHH34" s="16"/>
      <c r="FHI34" s="16"/>
      <c r="FHJ34" s="16"/>
      <c r="FHK34" s="16"/>
      <c r="FHL34" s="16"/>
      <c r="FHM34" s="16"/>
      <c r="FHN34" s="16"/>
      <c r="FHO34" s="16"/>
      <c r="FHP34" s="16"/>
      <c r="FHQ34" s="16"/>
      <c r="FHR34" s="16"/>
      <c r="FHS34" s="16"/>
      <c r="FHT34" s="16"/>
      <c r="FHU34" s="16"/>
      <c r="FHV34" s="16"/>
      <c r="FHW34" s="16"/>
      <c r="FHX34" s="16"/>
      <c r="FHY34" s="16"/>
      <c r="FHZ34" s="16"/>
      <c r="FIA34" s="16"/>
      <c r="FIB34" s="16"/>
      <c r="FIC34" s="16"/>
      <c r="FID34" s="16"/>
      <c r="FIE34" s="16"/>
      <c r="FIF34" s="16"/>
      <c r="FIG34" s="16"/>
      <c r="FIH34" s="16"/>
      <c r="FII34" s="16"/>
      <c r="FIJ34" s="16"/>
      <c r="FIK34" s="16"/>
      <c r="FIL34" s="16"/>
      <c r="FIM34" s="16"/>
      <c r="FIN34" s="16"/>
      <c r="FIO34" s="16"/>
      <c r="FIP34" s="16"/>
      <c r="FIQ34" s="16"/>
      <c r="FIR34" s="16"/>
      <c r="FIS34" s="16"/>
      <c r="FIT34" s="16"/>
      <c r="FIU34" s="16"/>
      <c r="FIV34" s="16"/>
      <c r="FIW34" s="16"/>
      <c r="FIX34" s="16"/>
      <c r="FIY34" s="16"/>
      <c r="FIZ34" s="16"/>
      <c r="FJA34" s="16"/>
      <c r="FJB34" s="16"/>
      <c r="FJC34" s="16"/>
      <c r="FJD34" s="16"/>
      <c r="FJE34" s="16"/>
      <c r="FJF34" s="16"/>
      <c r="FJG34" s="16"/>
      <c r="FJH34" s="16"/>
      <c r="FJI34" s="16"/>
      <c r="FJJ34" s="16"/>
      <c r="FJK34" s="16"/>
      <c r="FJL34" s="16"/>
      <c r="FJM34" s="16"/>
      <c r="FJN34" s="16"/>
      <c r="FJO34" s="16"/>
      <c r="FJP34" s="16"/>
      <c r="FJQ34" s="16"/>
      <c r="FJR34" s="16"/>
      <c r="FJS34" s="16"/>
      <c r="FJT34" s="16"/>
      <c r="FJU34" s="16"/>
      <c r="FJV34" s="16"/>
      <c r="FJW34" s="16"/>
      <c r="FJX34" s="16"/>
      <c r="FJY34" s="16"/>
      <c r="FJZ34" s="16"/>
      <c r="FKA34" s="16"/>
      <c r="FKB34" s="16"/>
      <c r="FKC34" s="16"/>
      <c r="FKD34" s="16"/>
      <c r="FKE34" s="16"/>
      <c r="FKF34" s="16"/>
      <c r="FKG34" s="16"/>
      <c r="FKH34" s="16"/>
      <c r="FKI34" s="16"/>
      <c r="FKJ34" s="16"/>
      <c r="FKK34" s="16"/>
      <c r="FKL34" s="16"/>
      <c r="FKM34" s="16"/>
      <c r="FKN34" s="16"/>
      <c r="FKO34" s="16"/>
      <c r="FKP34" s="16"/>
      <c r="FKQ34" s="16"/>
      <c r="FKR34" s="16"/>
      <c r="FKS34" s="16"/>
      <c r="FKT34" s="16"/>
      <c r="FKU34" s="16"/>
      <c r="FKV34" s="16"/>
      <c r="FKW34" s="16"/>
      <c r="FKX34" s="16"/>
      <c r="FKY34" s="16"/>
      <c r="FKZ34" s="16"/>
      <c r="FLA34" s="16"/>
      <c r="FLB34" s="16"/>
      <c r="FLC34" s="16"/>
      <c r="FLD34" s="16"/>
      <c r="FLE34" s="16"/>
      <c r="FLF34" s="16"/>
      <c r="FLG34" s="16"/>
      <c r="FLH34" s="16"/>
      <c r="FLI34" s="16"/>
      <c r="FLJ34" s="16"/>
      <c r="FLK34" s="16"/>
      <c r="FLL34" s="16"/>
      <c r="FLM34" s="16"/>
      <c r="FLN34" s="16"/>
      <c r="FLO34" s="16"/>
      <c r="FLP34" s="16"/>
      <c r="FLQ34" s="16"/>
      <c r="FLR34" s="16"/>
      <c r="FLS34" s="16"/>
      <c r="FLT34" s="16"/>
      <c r="FLU34" s="16"/>
      <c r="FLV34" s="16"/>
      <c r="FLW34" s="16"/>
      <c r="FLX34" s="16"/>
      <c r="FLY34" s="16"/>
      <c r="FLZ34" s="16"/>
      <c r="FMA34" s="16"/>
      <c r="FMB34" s="16"/>
      <c r="FMC34" s="16"/>
      <c r="FMD34" s="16"/>
      <c r="FME34" s="16"/>
      <c r="FMF34" s="16"/>
      <c r="FMG34" s="16"/>
      <c r="FMH34" s="16"/>
      <c r="FMI34" s="16"/>
      <c r="FMJ34" s="16"/>
      <c r="FMK34" s="16"/>
      <c r="FML34" s="16"/>
      <c r="FMM34" s="16"/>
      <c r="FMN34" s="16"/>
      <c r="FMO34" s="16"/>
      <c r="FMP34" s="16"/>
      <c r="FMQ34" s="16"/>
      <c r="FMR34" s="16"/>
      <c r="FMS34" s="16"/>
      <c r="FMT34" s="16"/>
      <c r="FMU34" s="16"/>
      <c r="FMV34" s="16"/>
      <c r="FMW34" s="16"/>
      <c r="FMX34" s="16"/>
      <c r="FMY34" s="16"/>
      <c r="FMZ34" s="16"/>
      <c r="FNA34" s="16"/>
      <c r="FNB34" s="16"/>
      <c r="FNC34" s="16"/>
      <c r="FND34" s="16"/>
      <c r="FNE34" s="16"/>
      <c r="FNF34" s="16"/>
      <c r="FNG34" s="16"/>
      <c r="FNH34" s="16"/>
      <c r="FNI34" s="16"/>
      <c r="FNJ34" s="16"/>
      <c r="FNK34" s="16"/>
      <c r="FNL34" s="16"/>
      <c r="FNM34" s="16"/>
      <c r="FNN34" s="16"/>
      <c r="FNO34" s="16"/>
      <c r="FNP34" s="16"/>
      <c r="FNQ34" s="16"/>
      <c r="FNR34" s="16"/>
      <c r="FNS34" s="16"/>
      <c r="FNT34" s="16"/>
      <c r="FNU34" s="16"/>
      <c r="FNV34" s="16"/>
      <c r="FNW34" s="16"/>
      <c r="FNX34" s="16"/>
      <c r="FNY34" s="16"/>
      <c r="FNZ34" s="16"/>
      <c r="FOA34" s="16"/>
      <c r="FOB34" s="16"/>
      <c r="FOC34" s="16"/>
      <c r="FOD34" s="16"/>
      <c r="FOE34" s="16"/>
      <c r="FOF34" s="16"/>
      <c r="FOG34" s="16"/>
      <c r="FOH34" s="16"/>
      <c r="FOI34" s="16"/>
      <c r="FOJ34" s="16"/>
      <c r="FOK34" s="16"/>
      <c r="FOL34" s="16"/>
      <c r="FOM34" s="16"/>
      <c r="FON34" s="16"/>
      <c r="FOO34" s="16"/>
      <c r="FOP34" s="16"/>
      <c r="FOQ34" s="16"/>
      <c r="FOR34" s="16"/>
      <c r="FOS34" s="16"/>
      <c r="FOT34" s="16"/>
      <c r="FOU34" s="16"/>
      <c r="FOV34" s="16"/>
      <c r="FOW34" s="16"/>
      <c r="FOX34" s="16"/>
      <c r="FOY34" s="16"/>
      <c r="FOZ34" s="16"/>
      <c r="FPA34" s="16"/>
      <c r="FPB34" s="16"/>
      <c r="FPC34" s="16"/>
      <c r="FPD34" s="16"/>
      <c r="FPE34" s="16"/>
      <c r="FPF34" s="16"/>
      <c r="FPG34" s="16"/>
      <c r="FPH34" s="16"/>
      <c r="FPI34" s="16"/>
      <c r="FPJ34" s="16"/>
      <c r="FPK34" s="16"/>
      <c r="FPL34" s="16"/>
      <c r="FPM34" s="16"/>
      <c r="FPN34" s="16"/>
      <c r="FPO34" s="16"/>
      <c r="FPP34" s="16"/>
      <c r="FPQ34" s="16"/>
      <c r="FPR34" s="16"/>
      <c r="FPS34" s="16"/>
      <c r="FPT34" s="16"/>
      <c r="FPU34" s="16"/>
      <c r="FPV34" s="16"/>
      <c r="FPW34" s="16"/>
      <c r="FPX34" s="16"/>
      <c r="FPY34" s="16"/>
      <c r="FPZ34" s="16"/>
      <c r="FQA34" s="16"/>
      <c r="FQB34" s="16"/>
      <c r="FQC34" s="16"/>
      <c r="FQD34" s="16"/>
      <c r="FQE34" s="16"/>
      <c r="FQF34" s="16"/>
      <c r="FQG34" s="16"/>
      <c r="FQH34" s="16"/>
      <c r="FQI34" s="16"/>
      <c r="FQJ34" s="16"/>
      <c r="FQK34" s="16"/>
      <c r="FQL34" s="16"/>
      <c r="FQM34" s="16"/>
      <c r="FQN34" s="16"/>
      <c r="FQO34" s="16"/>
      <c r="FQP34" s="16"/>
      <c r="FQQ34" s="16"/>
      <c r="FQR34" s="16"/>
      <c r="FQS34" s="16"/>
      <c r="FQT34" s="16"/>
      <c r="FQU34" s="16"/>
      <c r="FQV34" s="16"/>
      <c r="FQW34" s="16"/>
      <c r="FQX34" s="16"/>
      <c r="FQY34" s="16"/>
      <c r="FQZ34" s="16"/>
      <c r="FRA34" s="16"/>
      <c r="FRB34" s="16"/>
      <c r="FRC34" s="16"/>
      <c r="FRD34" s="16"/>
      <c r="FRE34" s="16"/>
      <c r="FRF34" s="16"/>
      <c r="FRG34" s="16"/>
      <c r="FRH34" s="16"/>
      <c r="FRI34" s="16"/>
      <c r="FRJ34" s="16"/>
      <c r="FRK34" s="16"/>
      <c r="FRL34" s="16"/>
      <c r="FRM34" s="16"/>
      <c r="FRN34" s="16"/>
      <c r="FRO34" s="16"/>
      <c r="FRP34" s="16"/>
      <c r="FRQ34" s="16"/>
      <c r="FRR34" s="16"/>
      <c r="FRS34" s="16"/>
      <c r="FRT34" s="16"/>
      <c r="FRU34" s="16"/>
      <c r="FRV34" s="16"/>
      <c r="FRW34" s="16"/>
      <c r="FRX34" s="16"/>
      <c r="FRY34" s="16"/>
      <c r="FRZ34" s="16"/>
      <c r="FSA34" s="16"/>
      <c r="FSB34" s="16"/>
      <c r="FSC34" s="16"/>
      <c r="FSD34" s="16"/>
      <c r="FSE34" s="16"/>
      <c r="FSF34" s="16"/>
      <c r="FSG34" s="16"/>
      <c r="FSH34" s="16"/>
      <c r="FSI34" s="16"/>
      <c r="FSJ34" s="16"/>
      <c r="FSK34" s="16"/>
      <c r="FSL34" s="16"/>
      <c r="FSM34" s="16"/>
      <c r="FSN34" s="16"/>
      <c r="FSO34" s="16"/>
      <c r="FSP34" s="16"/>
      <c r="FSQ34" s="16"/>
      <c r="FSR34" s="16"/>
      <c r="FSS34" s="16"/>
      <c r="FST34" s="16"/>
      <c r="FSU34" s="16"/>
      <c r="FSV34" s="16"/>
      <c r="FSW34" s="16"/>
      <c r="FSX34" s="16"/>
      <c r="FSY34" s="16"/>
      <c r="FSZ34" s="16"/>
      <c r="FTA34" s="16"/>
      <c r="FTB34" s="16"/>
      <c r="FTC34" s="16"/>
      <c r="FTD34" s="16"/>
      <c r="FTE34" s="16"/>
      <c r="FTF34" s="16"/>
      <c r="FTG34" s="16"/>
      <c r="FTH34" s="16"/>
      <c r="FTI34" s="16"/>
      <c r="FTJ34" s="16"/>
      <c r="FTK34" s="16"/>
      <c r="FTL34" s="16"/>
      <c r="FTM34" s="16"/>
      <c r="FTN34" s="16"/>
      <c r="FTO34" s="16"/>
      <c r="FTP34" s="16"/>
      <c r="FTQ34" s="16"/>
      <c r="FTR34" s="16"/>
      <c r="FTS34" s="16"/>
      <c r="FTT34" s="16"/>
      <c r="FTU34" s="16"/>
      <c r="FTV34" s="16"/>
      <c r="FTW34" s="16"/>
      <c r="FTX34" s="16"/>
      <c r="FTY34" s="16"/>
      <c r="FTZ34" s="16"/>
      <c r="FUA34" s="16"/>
      <c r="FUB34" s="16"/>
      <c r="FUC34" s="16"/>
      <c r="FUD34" s="16"/>
      <c r="FUE34" s="16"/>
      <c r="FUF34" s="16"/>
      <c r="FUG34" s="16"/>
      <c r="FUH34" s="16"/>
      <c r="FUI34" s="16"/>
      <c r="FUJ34" s="16"/>
      <c r="FUK34" s="16"/>
      <c r="FUL34" s="16"/>
      <c r="FUM34" s="16"/>
      <c r="FUN34" s="16"/>
      <c r="FUO34" s="16"/>
      <c r="FUP34" s="16"/>
      <c r="FUQ34" s="16"/>
      <c r="FUR34" s="16"/>
      <c r="FUS34" s="16"/>
      <c r="FUT34" s="16"/>
      <c r="FUU34" s="16"/>
      <c r="FUV34" s="16"/>
      <c r="FUW34" s="16"/>
      <c r="FUX34" s="16"/>
      <c r="FUY34" s="16"/>
      <c r="FUZ34" s="16"/>
      <c r="FVA34" s="16"/>
      <c r="FVB34" s="16"/>
      <c r="FVC34" s="16"/>
      <c r="FVD34" s="16"/>
      <c r="FVE34" s="16"/>
      <c r="FVF34" s="16"/>
      <c r="FVG34" s="16"/>
      <c r="FVH34" s="16"/>
      <c r="FVI34" s="16"/>
      <c r="FVJ34" s="16"/>
      <c r="FVK34" s="16"/>
      <c r="FVL34" s="16"/>
      <c r="FVM34" s="16"/>
      <c r="FVN34" s="16"/>
      <c r="FVO34" s="16"/>
      <c r="FVP34" s="16"/>
      <c r="FVQ34" s="16"/>
      <c r="FVR34" s="16"/>
      <c r="FVS34" s="16"/>
      <c r="FVT34" s="16"/>
      <c r="FVU34" s="16"/>
      <c r="FVV34" s="16"/>
      <c r="FVW34" s="16"/>
      <c r="FVX34" s="16"/>
      <c r="FVY34" s="16"/>
      <c r="FVZ34" s="16"/>
      <c r="FWA34" s="16"/>
      <c r="FWB34" s="16"/>
      <c r="FWC34" s="16"/>
      <c r="FWD34" s="16"/>
      <c r="FWE34" s="16"/>
      <c r="FWF34" s="16"/>
      <c r="FWG34" s="16"/>
      <c r="FWH34" s="16"/>
      <c r="FWI34" s="16"/>
      <c r="FWJ34" s="16"/>
      <c r="FWK34" s="16"/>
      <c r="FWL34" s="16"/>
      <c r="FWM34" s="16"/>
      <c r="FWN34" s="16"/>
      <c r="FWO34" s="16"/>
      <c r="FWP34" s="16"/>
      <c r="FWQ34" s="16"/>
      <c r="FWR34" s="16"/>
      <c r="FWS34" s="16"/>
      <c r="FWT34" s="16"/>
      <c r="FWU34" s="16"/>
      <c r="FWV34" s="16"/>
      <c r="FWW34" s="16"/>
      <c r="FWX34" s="16"/>
      <c r="FWY34" s="16"/>
      <c r="FWZ34" s="16"/>
      <c r="FXA34" s="16"/>
      <c r="FXB34" s="16"/>
      <c r="FXC34" s="16"/>
      <c r="FXD34" s="16"/>
      <c r="FXE34" s="16"/>
      <c r="FXF34" s="16"/>
      <c r="FXG34" s="16"/>
      <c r="FXH34" s="16"/>
      <c r="FXI34" s="16"/>
      <c r="FXJ34" s="16"/>
      <c r="FXK34" s="16"/>
      <c r="FXL34" s="16"/>
      <c r="FXM34" s="16"/>
      <c r="FXN34" s="16"/>
      <c r="FXO34" s="16"/>
      <c r="FXP34" s="16"/>
      <c r="FXQ34" s="16"/>
      <c r="FXR34" s="16"/>
      <c r="FXS34" s="16"/>
      <c r="FXT34" s="16"/>
      <c r="FXU34" s="16"/>
      <c r="FXV34" s="16"/>
      <c r="FXW34" s="16"/>
      <c r="FXX34" s="16"/>
      <c r="FXY34" s="16"/>
      <c r="FXZ34" s="16"/>
      <c r="FYA34" s="16"/>
      <c r="FYB34" s="16"/>
      <c r="FYC34" s="16"/>
      <c r="FYD34" s="16"/>
      <c r="FYE34" s="16"/>
      <c r="FYF34" s="16"/>
      <c r="FYG34" s="16"/>
      <c r="FYH34" s="16"/>
      <c r="FYI34" s="16"/>
      <c r="FYJ34" s="16"/>
      <c r="FYK34" s="16"/>
      <c r="FYL34" s="16"/>
      <c r="FYM34" s="16"/>
      <c r="FYN34" s="16"/>
      <c r="FYO34" s="16"/>
      <c r="FYP34" s="16"/>
      <c r="FYQ34" s="16"/>
      <c r="FYR34" s="16"/>
      <c r="FYS34" s="16"/>
      <c r="FYT34" s="16"/>
      <c r="FYU34" s="16"/>
      <c r="FYV34" s="16"/>
      <c r="FYW34" s="16"/>
      <c r="FYX34" s="16"/>
      <c r="FYY34" s="16"/>
      <c r="FYZ34" s="16"/>
      <c r="FZA34" s="16"/>
      <c r="FZB34" s="16"/>
      <c r="FZC34" s="16"/>
      <c r="FZD34" s="16"/>
      <c r="FZE34" s="16"/>
      <c r="FZF34" s="16"/>
      <c r="FZG34" s="16"/>
      <c r="FZH34" s="16"/>
      <c r="FZI34" s="16"/>
      <c r="FZJ34" s="16"/>
      <c r="FZK34" s="16"/>
      <c r="FZL34" s="16"/>
      <c r="FZM34" s="16"/>
      <c r="FZN34" s="16"/>
      <c r="FZO34" s="16"/>
      <c r="FZP34" s="16"/>
      <c r="FZQ34" s="16"/>
      <c r="FZR34" s="16"/>
      <c r="FZS34" s="16"/>
      <c r="FZT34" s="16"/>
      <c r="FZU34" s="16"/>
      <c r="FZV34" s="16"/>
      <c r="FZW34" s="16"/>
      <c r="FZX34" s="16"/>
      <c r="FZY34" s="16"/>
      <c r="FZZ34" s="16"/>
      <c r="GAA34" s="16"/>
      <c r="GAB34" s="16"/>
      <c r="GAC34" s="16"/>
      <c r="GAD34" s="16"/>
      <c r="GAE34" s="16"/>
      <c r="GAF34" s="16"/>
      <c r="GAG34" s="16"/>
      <c r="GAH34" s="16"/>
      <c r="GAI34" s="16"/>
      <c r="GAJ34" s="16"/>
      <c r="GAK34" s="16"/>
      <c r="GAL34" s="16"/>
      <c r="GAM34" s="16"/>
      <c r="GAN34" s="16"/>
      <c r="GAO34" s="16"/>
      <c r="GAP34" s="16"/>
      <c r="GAQ34" s="16"/>
      <c r="GAR34" s="16"/>
      <c r="GAS34" s="16"/>
      <c r="GAT34" s="16"/>
      <c r="GAU34" s="16"/>
      <c r="GAV34" s="16"/>
      <c r="GAW34" s="16"/>
      <c r="GAX34" s="16"/>
      <c r="GAY34" s="16"/>
      <c r="GAZ34" s="16"/>
      <c r="GBA34" s="16"/>
      <c r="GBB34" s="16"/>
      <c r="GBC34" s="16"/>
      <c r="GBD34" s="16"/>
      <c r="GBE34" s="16"/>
      <c r="GBF34" s="16"/>
      <c r="GBG34" s="16"/>
      <c r="GBH34" s="16"/>
      <c r="GBI34" s="16"/>
      <c r="GBJ34" s="16"/>
      <c r="GBK34" s="16"/>
      <c r="GBL34" s="16"/>
      <c r="GBM34" s="16"/>
      <c r="GBN34" s="16"/>
      <c r="GBO34" s="16"/>
      <c r="GBP34" s="16"/>
      <c r="GBQ34" s="16"/>
      <c r="GBR34" s="16"/>
      <c r="GBS34" s="16"/>
      <c r="GBT34" s="16"/>
      <c r="GBU34" s="16"/>
      <c r="GBV34" s="16"/>
      <c r="GBW34" s="16"/>
      <c r="GBX34" s="16"/>
      <c r="GBY34" s="16"/>
      <c r="GBZ34" s="16"/>
      <c r="GCA34" s="16"/>
      <c r="GCB34" s="16"/>
      <c r="GCC34" s="16"/>
      <c r="GCD34" s="16"/>
      <c r="GCE34" s="16"/>
      <c r="GCF34" s="16"/>
      <c r="GCG34" s="16"/>
      <c r="GCH34" s="16"/>
      <c r="GCI34" s="16"/>
      <c r="GCJ34" s="16"/>
      <c r="GCK34" s="16"/>
      <c r="GCL34" s="16"/>
      <c r="GCM34" s="16"/>
      <c r="GCN34" s="16"/>
      <c r="GCO34" s="16"/>
      <c r="GCP34" s="16"/>
      <c r="GCQ34" s="16"/>
      <c r="GCR34" s="16"/>
      <c r="GCS34" s="16"/>
      <c r="GCT34" s="16"/>
      <c r="GCU34" s="16"/>
      <c r="GCV34" s="16"/>
      <c r="GCW34" s="16"/>
      <c r="GCX34" s="16"/>
      <c r="GCY34" s="16"/>
      <c r="GCZ34" s="16"/>
      <c r="GDA34" s="16"/>
      <c r="GDB34" s="16"/>
      <c r="GDC34" s="16"/>
      <c r="GDD34" s="16"/>
      <c r="GDE34" s="16"/>
      <c r="GDF34" s="16"/>
      <c r="GDG34" s="16"/>
      <c r="GDH34" s="16"/>
      <c r="GDI34" s="16"/>
      <c r="GDJ34" s="16"/>
      <c r="GDK34" s="16"/>
      <c r="GDL34" s="16"/>
      <c r="GDM34" s="16"/>
      <c r="GDN34" s="16"/>
      <c r="GDO34" s="16"/>
      <c r="GDP34" s="16"/>
      <c r="GDQ34" s="16"/>
      <c r="GDR34" s="16"/>
      <c r="GDS34" s="16"/>
      <c r="GDT34" s="16"/>
      <c r="GDU34" s="16"/>
      <c r="GDV34" s="16"/>
      <c r="GDW34" s="16"/>
      <c r="GDX34" s="16"/>
      <c r="GDY34" s="16"/>
      <c r="GDZ34" s="16"/>
      <c r="GEA34" s="16"/>
      <c r="GEB34" s="16"/>
      <c r="GEC34" s="16"/>
      <c r="GED34" s="16"/>
      <c r="GEE34" s="16"/>
      <c r="GEF34" s="16"/>
      <c r="GEG34" s="16"/>
      <c r="GEH34" s="16"/>
      <c r="GEI34" s="16"/>
      <c r="GEJ34" s="16"/>
      <c r="GEK34" s="16"/>
      <c r="GEL34" s="16"/>
      <c r="GEM34" s="16"/>
      <c r="GEN34" s="16"/>
      <c r="GEO34" s="16"/>
      <c r="GEP34" s="16"/>
      <c r="GEQ34" s="16"/>
      <c r="GER34" s="16"/>
      <c r="GES34" s="16"/>
      <c r="GET34" s="16"/>
      <c r="GEU34" s="16"/>
      <c r="GEV34" s="16"/>
      <c r="GEW34" s="16"/>
      <c r="GEX34" s="16"/>
      <c r="GEY34" s="16"/>
      <c r="GEZ34" s="16"/>
      <c r="GFA34" s="16"/>
      <c r="GFB34" s="16"/>
      <c r="GFC34" s="16"/>
      <c r="GFD34" s="16"/>
      <c r="GFE34" s="16"/>
      <c r="GFF34" s="16"/>
      <c r="GFG34" s="16"/>
      <c r="GFH34" s="16"/>
      <c r="GFI34" s="16"/>
      <c r="GFJ34" s="16"/>
      <c r="GFK34" s="16"/>
      <c r="GFL34" s="16"/>
      <c r="GFM34" s="16"/>
      <c r="GFN34" s="16"/>
      <c r="GFO34" s="16"/>
      <c r="GFP34" s="16"/>
      <c r="GFQ34" s="16"/>
      <c r="GFR34" s="16"/>
      <c r="GFS34" s="16"/>
      <c r="GFT34" s="16"/>
      <c r="GFU34" s="16"/>
      <c r="GFV34" s="16"/>
      <c r="GFW34" s="16"/>
      <c r="GFX34" s="16"/>
      <c r="GFY34" s="16"/>
      <c r="GFZ34" s="16"/>
      <c r="GGA34" s="16"/>
      <c r="GGB34" s="16"/>
      <c r="GGC34" s="16"/>
      <c r="GGD34" s="16"/>
      <c r="GGE34" s="16"/>
      <c r="GGF34" s="16"/>
      <c r="GGG34" s="16"/>
      <c r="GGH34" s="16"/>
      <c r="GGI34" s="16"/>
      <c r="GGJ34" s="16"/>
      <c r="GGK34" s="16"/>
      <c r="GGL34" s="16"/>
      <c r="GGM34" s="16"/>
      <c r="GGN34" s="16"/>
      <c r="GGO34" s="16"/>
      <c r="GGP34" s="16"/>
      <c r="GGQ34" s="16"/>
      <c r="GGR34" s="16"/>
      <c r="GGS34" s="16"/>
      <c r="GGT34" s="16"/>
      <c r="GGU34" s="16"/>
      <c r="GGV34" s="16"/>
      <c r="GGW34" s="16"/>
      <c r="GGX34" s="16"/>
      <c r="GGY34" s="16"/>
      <c r="GGZ34" s="16"/>
      <c r="GHA34" s="16"/>
      <c r="GHB34" s="16"/>
      <c r="GHC34" s="16"/>
      <c r="GHD34" s="16"/>
      <c r="GHE34" s="16"/>
      <c r="GHF34" s="16"/>
      <c r="GHG34" s="16"/>
      <c r="GHH34" s="16"/>
      <c r="GHI34" s="16"/>
      <c r="GHJ34" s="16"/>
      <c r="GHK34" s="16"/>
      <c r="GHL34" s="16"/>
      <c r="GHM34" s="16"/>
      <c r="GHN34" s="16"/>
      <c r="GHO34" s="16"/>
      <c r="GHP34" s="16"/>
      <c r="GHQ34" s="16"/>
      <c r="GHR34" s="16"/>
      <c r="GHS34" s="16"/>
      <c r="GHT34" s="16"/>
      <c r="GHU34" s="16"/>
      <c r="GHV34" s="16"/>
      <c r="GHW34" s="16"/>
      <c r="GHX34" s="16"/>
      <c r="GHY34" s="16"/>
      <c r="GHZ34" s="16"/>
      <c r="GIA34" s="16"/>
      <c r="GIB34" s="16"/>
      <c r="GIC34" s="16"/>
      <c r="GID34" s="16"/>
      <c r="GIE34" s="16"/>
      <c r="GIF34" s="16"/>
      <c r="GIG34" s="16"/>
      <c r="GIH34" s="16"/>
      <c r="GII34" s="16"/>
      <c r="GIJ34" s="16"/>
      <c r="GIK34" s="16"/>
      <c r="GIL34" s="16"/>
      <c r="GIM34" s="16"/>
      <c r="GIN34" s="16"/>
      <c r="GIO34" s="16"/>
      <c r="GIP34" s="16"/>
      <c r="GIQ34" s="16"/>
      <c r="GIR34" s="16"/>
      <c r="GIS34" s="16"/>
      <c r="GIT34" s="16"/>
      <c r="GIU34" s="16"/>
      <c r="GIV34" s="16"/>
      <c r="GIW34" s="16"/>
      <c r="GIX34" s="16"/>
      <c r="GIY34" s="16"/>
      <c r="GIZ34" s="16"/>
      <c r="GJA34" s="16"/>
      <c r="GJB34" s="16"/>
      <c r="GJC34" s="16"/>
      <c r="GJD34" s="16"/>
      <c r="GJE34" s="16"/>
      <c r="GJF34" s="16"/>
      <c r="GJG34" s="16"/>
      <c r="GJH34" s="16"/>
      <c r="GJI34" s="16"/>
      <c r="GJJ34" s="16"/>
      <c r="GJK34" s="16"/>
      <c r="GJL34" s="16"/>
      <c r="GJM34" s="16"/>
      <c r="GJN34" s="16"/>
      <c r="GJO34" s="16"/>
      <c r="GJP34" s="16"/>
      <c r="GJQ34" s="16"/>
      <c r="GJR34" s="16"/>
      <c r="GJS34" s="16"/>
      <c r="GJT34" s="16"/>
      <c r="GJU34" s="16"/>
      <c r="GJV34" s="16"/>
      <c r="GJW34" s="16"/>
      <c r="GJX34" s="16"/>
      <c r="GJY34" s="16"/>
      <c r="GJZ34" s="16"/>
      <c r="GKA34" s="16"/>
      <c r="GKB34" s="16"/>
      <c r="GKC34" s="16"/>
      <c r="GKD34" s="16"/>
      <c r="GKE34" s="16"/>
      <c r="GKF34" s="16"/>
      <c r="GKG34" s="16"/>
      <c r="GKH34" s="16"/>
      <c r="GKI34" s="16"/>
      <c r="GKJ34" s="16"/>
      <c r="GKK34" s="16"/>
      <c r="GKL34" s="16"/>
      <c r="GKM34" s="16"/>
      <c r="GKN34" s="16"/>
      <c r="GKO34" s="16"/>
      <c r="GKP34" s="16"/>
      <c r="GKQ34" s="16"/>
      <c r="GKR34" s="16"/>
      <c r="GKS34" s="16"/>
      <c r="GKT34" s="16"/>
      <c r="GKU34" s="16"/>
      <c r="GKV34" s="16"/>
      <c r="GKW34" s="16"/>
      <c r="GKX34" s="16"/>
      <c r="GKY34" s="16"/>
      <c r="GKZ34" s="16"/>
      <c r="GLA34" s="16"/>
      <c r="GLB34" s="16"/>
      <c r="GLC34" s="16"/>
      <c r="GLD34" s="16"/>
      <c r="GLE34" s="16"/>
      <c r="GLF34" s="16"/>
      <c r="GLG34" s="16"/>
      <c r="GLH34" s="16"/>
      <c r="GLI34" s="16"/>
      <c r="GLJ34" s="16"/>
      <c r="GLK34" s="16"/>
      <c r="GLL34" s="16"/>
      <c r="GLM34" s="16"/>
      <c r="GLN34" s="16"/>
      <c r="GLO34" s="16"/>
      <c r="GLP34" s="16"/>
      <c r="GLQ34" s="16"/>
      <c r="GLR34" s="16"/>
      <c r="GLS34" s="16"/>
      <c r="GLT34" s="16"/>
      <c r="GLU34" s="16"/>
      <c r="GLV34" s="16"/>
      <c r="GLW34" s="16"/>
      <c r="GLX34" s="16"/>
      <c r="GLY34" s="16"/>
      <c r="GLZ34" s="16"/>
      <c r="GMA34" s="16"/>
      <c r="GMB34" s="16"/>
      <c r="GMC34" s="16"/>
      <c r="GMD34" s="16"/>
      <c r="GME34" s="16"/>
      <c r="GMF34" s="16"/>
      <c r="GMG34" s="16"/>
      <c r="GMH34" s="16"/>
      <c r="GMI34" s="16"/>
      <c r="GMJ34" s="16"/>
      <c r="GMK34" s="16"/>
      <c r="GML34" s="16"/>
      <c r="GMM34" s="16"/>
      <c r="GMN34" s="16"/>
      <c r="GMO34" s="16"/>
      <c r="GMP34" s="16"/>
      <c r="GMQ34" s="16"/>
      <c r="GMR34" s="16"/>
      <c r="GMS34" s="16"/>
      <c r="GMT34" s="16"/>
      <c r="GMU34" s="16"/>
      <c r="GMV34" s="16"/>
      <c r="GMW34" s="16"/>
      <c r="GMX34" s="16"/>
      <c r="GMY34" s="16"/>
      <c r="GMZ34" s="16"/>
      <c r="GNA34" s="16"/>
      <c r="GNB34" s="16"/>
      <c r="GNC34" s="16"/>
      <c r="GND34" s="16"/>
      <c r="GNE34" s="16"/>
      <c r="GNF34" s="16"/>
      <c r="GNG34" s="16"/>
      <c r="GNH34" s="16"/>
      <c r="GNI34" s="16"/>
      <c r="GNJ34" s="16"/>
      <c r="GNK34" s="16"/>
      <c r="GNL34" s="16"/>
      <c r="GNM34" s="16"/>
      <c r="GNN34" s="16"/>
      <c r="GNO34" s="16"/>
      <c r="GNP34" s="16"/>
      <c r="GNQ34" s="16"/>
      <c r="GNR34" s="16"/>
      <c r="GNS34" s="16"/>
      <c r="GNT34" s="16"/>
      <c r="GNU34" s="16"/>
      <c r="GNV34" s="16"/>
      <c r="GNW34" s="16"/>
      <c r="GNX34" s="16"/>
      <c r="GNY34" s="16"/>
      <c r="GNZ34" s="16"/>
      <c r="GOA34" s="16"/>
      <c r="GOB34" s="16"/>
      <c r="GOC34" s="16"/>
      <c r="GOD34" s="16"/>
      <c r="GOE34" s="16"/>
      <c r="GOF34" s="16"/>
      <c r="GOG34" s="16"/>
      <c r="GOH34" s="16"/>
      <c r="GOI34" s="16"/>
      <c r="GOJ34" s="16"/>
      <c r="GOK34" s="16"/>
      <c r="GOL34" s="16"/>
      <c r="GOM34" s="16"/>
      <c r="GON34" s="16"/>
      <c r="GOO34" s="16"/>
      <c r="GOP34" s="16"/>
      <c r="GOQ34" s="16"/>
      <c r="GOR34" s="16"/>
      <c r="GOS34" s="16"/>
      <c r="GOT34" s="16"/>
      <c r="GOU34" s="16"/>
      <c r="GOV34" s="16"/>
      <c r="GOW34" s="16"/>
      <c r="GOX34" s="16"/>
      <c r="GOY34" s="16"/>
      <c r="GOZ34" s="16"/>
      <c r="GPA34" s="16"/>
      <c r="GPB34" s="16"/>
      <c r="GPC34" s="16"/>
      <c r="GPD34" s="16"/>
      <c r="GPE34" s="16"/>
      <c r="GPF34" s="16"/>
      <c r="GPG34" s="16"/>
      <c r="GPH34" s="16"/>
      <c r="GPI34" s="16"/>
      <c r="GPJ34" s="16"/>
      <c r="GPK34" s="16"/>
      <c r="GPL34" s="16"/>
      <c r="GPM34" s="16"/>
      <c r="GPN34" s="16"/>
      <c r="GPO34" s="16"/>
      <c r="GPP34" s="16"/>
      <c r="GPQ34" s="16"/>
      <c r="GPR34" s="16"/>
      <c r="GPS34" s="16"/>
      <c r="GPT34" s="16"/>
      <c r="GPU34" s="16"/>
      <c r="GPV34" s="16"/>
      <c r="GPW34" s="16"/>
      <c r="GPX34" s="16"/>
      <c r="GPY34" s="16"/>
      <c r="GPZ34" s="16"/>
      <c r="GQA34" s="16"/>
      <c r="GQB34" s="16"/>
      <c r="GQC34" s="16"/>
      <c r="GQD34" s="16"/>
      <c r="GQE34" s="16"/>
      <c r="GQF34" s="16"/>
      <c r="GQG34" s="16"/>
      <c r="GQH34" s="16"/>
      <c r="GQI34" s="16"/>
      <c r="GQJ34" s="16"/>
      <c r="GQK34" s="16"/>
      <c r="GQL34" s="16"/>
      <c r="GQM34" s="16"/>
      <c r="GQN34" s="16"/>
      <c r="GQO34" s="16"/>
      <c r="GQP34" s="16"/>
      <c r="GQQ34" s="16"/>
      <c r="GQR34" s="16"/>
      <c r="GQS34" s="16"/>
      <c r="GQT34" s="16"/>
      <c r="GQU34" s="16"/>
      <c r="GQV34" s="16"/>
      <c r="GQW34" s="16"/>
      <c r="GQX34" s="16"/>
      <c r="GQY34" s="16"/>
      <c r="GQZ34" s="16"/>
      <c r="GRA34" s="16"/>
      <c r="GRB34" s="16"/>
      <c r="GRC34" s="16"/>
      <c r="GRD34" s="16"/>
      <c r="GRE34" s="16"/>
      <c r="GRF34" s="16"/>
      <c r="GRG34" s="16"/>
      <c r="GRH34" s="16"/>
      <c r="GRI34" s="16"/>
      <c r="GRJ34" s="16"/>
      <c r="GRK34" s="16"/>
      <c r="GRL34" s="16"/>
      <c r="GRM34" s="16"/>
      <c r="GRN34" s="16"/>
      <c r="GRO34" s="16"/>
      <c r="GRP34" s="16"/>
      <c r="GRQ34" s="16"/>
      <c r="GRR34" s="16"/>
      <c r="GRS34" s="16"/>
      <c r="GRT34" s="16"/>
      <c r="GRU34" s="16"/>
      <c r="GRV34" s="16"/>
      <c r="GRW34" s="16"/>
      <c r="GRX34" s="16"/>
      <c r="GRY34" s="16"/>
      <c r="GRZ34" s="16"/>
      <c r="GSA34" s="16"/>
      <c r="GSB34" s="16"/>
      <c r="GSC34" s="16"/>
      <c r="GSD34" s="16"/>
      <c r="GSE34" s="16"/>
      <c r="GSF34" s="16"/>
      <c r="GSG34" s="16"/>
      <c r="GSH34" s="16"/>
      <c r="GSI34" s="16"/>
      <c r="GSJ34" s="16"/>
      <c r="GSK34" s="16"/>
      <c r="GSL34" s="16"/>
      <c r="GSM34" s="16"/>
      <c r="GSN34" s="16"/>
      <c r="GSO34" s="16"/>
      <c r="GSP34" s="16"/>
      <c r="GSQ34" s="16"/>
      <c r="GSR34" s="16"/>
      <c r="GSS34" s="16"/>
      <c r="GST34" s="16"/>
      <c r="GSU34" s="16"/>
      <c r="GSV34" s="16"/>
      <c r="GSW34" s="16"/>
      <c r="GSX34" s="16"/>
      <c r="GSY34" s="16"/>
      <c r="GSZ34" s="16"/>
      <c r="GTA34" s="16"/>
      <c r="GTB34" s="16"/>
      <c r="GTC34" s="16"/>
      <c r="GTD34" s="16"/>
      <c r="GTE34" s="16"/>
      <c r="GTF34" s="16"/>
      <c r="GTG34" s="16"/>
      <c r="GTH34" s="16"/>
      <c r="GTI34" s="16"/>
      <c r="GTJ34" s="16"/>
      <c r="GTK34" s="16"/>
      <c r="GTL34" s="16"/>
      <c r="GTM34" s="16"/>
      <c r="GTN34" s="16"/>
      <c r="GTO34" s="16"/>
      <c r="GTP34" s="16"/>
      <c r="GTQ34" s="16"/>
      <c r="GTR34" s="16"/>
      <c r="GTS34" s="16"/>
      <c r="GTT34" s="16"/>
      <c r="GTU34" s="16"/>
      <c r="GTV34" s="16"/>
      <c r="GTW34" s="16"/>
      <c r="GTX34" s="16"/>
      <c r="GTY34" s="16"/>
      <c r="GTZ34" s="16"/>
      <c r="GUA34" s="16"/>
      <c r="GUB34" s="16"/>
      <c r="GUC34" s="16"/>
      <c r="GUD34" s="16"/>
      <c r="GUE34" s="16"/>
      <c r="GUF34" s="16"/>
      <c r="GUG34" s="16"/>
      <c r="GUH34" s="16"/>
      <c r="GUI34" s="16"/>
      <c r="GUJ34" s="16"/>
      <c r="GUK34" s="16"/>
      <c r="GUL34" s="16"/>
      <c r="GUM34" s="16"/>
      <c r="GUN34" s="16"/>
      <c r="GUO34" s="16"/>
      <c r="GUP34" s="16"/>
      <c r="GUQ34" s="16"/>
      <c r="GUR34" s="16"/>
      <c r="GUS34" s="16"/>
      <c r="GUT34" s="16"/>
      <c r="GUU34" s="16"/>
      <c r="GUV34" s="16"/>
      <c r="GUW34" s="16"/>
      <c r="GUX34" s="16"/>
      <c r="GUY34" s="16"/>
      <c r="GUZ34" s="16"/>
      <c r="GVA34" s="16"/>
      <c r="GVB34" s="16"/>
      <c r="GVC34" s="16"/>
      <c r="GVD34" s="16"/>
      <c r="GVE34" s="16"/>
      <c r="GVF34" s="16"/>
      <c r="GVG34" s="16"/>
      <c r="GVH34" s="16"/>
      <c r="GVI34" s="16"/>
      <c r="GVJ34" s="16"/>
      <c r="GVK34" s="16"/>
      <c r="GVL34" s="16"/>
      <c r="GVM34" s="16"/>
      <c r="GVN34" s="16"/>
      <c r="GVO34" s="16"/>
      <c r="GVP34" s="16"/>
      <c r="GVQ34" s="16"/>
      <c r="GVR34" s="16"/>
      <c r="GVS34" s="16"/>
      <c r="GVT34" s="16"/>
      <c r="GVU34" s="16"/>
      <c r="GVV34" s="16"/>
      <c r="GVW34" s="16"/>
      <c r="GVX34" s="16"/>
      <c r="GVY34" s="16"/>
      <c r="GVZ34" s="16"/>
      <c r="GWA34" s="16"/>
      <c r="GWB34" s="16"/>
      <c r="GWC34" s="16"/>
      <c r="GWD34" s="16"/>
      <c r="GWE34" s="16"/>
      <c r="GWF34" s="16"/>
      <c r="GWG34" s="16"/>
      <c r="GWH34" s="16"/>
      <c r="GWI34" s="16"/>
      <c r="GWJ34" s="16"/>
      <c r="GWK34" s="16"/>
      <c r="GWL34" s="16"/>
      <c r="GWM34" s="16"/>
      <c r="GWN34" s="16"/>
      <c r="GWO34" s="16"/>
      <c r="GWP34" s="16"/>
      <c r="GWQ34" s="16"/>
      <c r="GWR34" s="16"/>
      <c r="GWS34" s="16"/>
      <c r="GWT34" s="16"/>
      <c r="GWU34" s="16"/>
      <c r="GWV34" s="16"/>
      <c r="GWW34" s="16"/>
      <c r="GWX34" s="16"/>
      <c r="GWY34" s="16"/>
      <c r="GWZ34" s="16"/>
      <c r="GXA34" s="16"/>
      <c r="GXB34" s="16"/>
      <c r="GXC34" s="16"/>
      <c r="GXD34" s="16"/>
      <c r="GXE34" s="16"/>
      <c r="GXF34" s="16"/>
      <c r="GXG34" s="16"/>
      <c r="GXH34" s="16"/>
      <c r="GXI34" s="16"/>
      <c r="GXJ34" s="16"/>
      <c r="GXK34" s="16"/>
      <c r="GXL34" s="16"/>
      <c r="GXM34" s="16"/>
      <c r="GXN34" s="16"/>
      <c r="GXO34" s="16"/>
      <c r="GXP34" s="16"/>
      <c r="GXQ34" s="16"/>
      <c r="GXR34" s="16"/>
      <c r="GXS34" s="16"/>
      <c r="GXT34" s="16"/>
      <c r="GXU34" s="16"/>
      <c r="GXV34" s="16"/>
      <c r="GXW34" s="16"/>
      <c r="GXX34" s="16"/>
      <c r="GXY34" s="16"/>
      <c r="GXZ34" s="16"/>
      <c r="GYA34" s="16"/>
      <c r="GYB34" s="16"/>
      <c r="GYC34" s="16"/>
      <c r="GYD34" s="16"/>
      <c r="GYE34" s="16"/>
      <c r="GYF34" s="16"/>
      <c r="GYG34" s="16"/>
      <c r="GYH34" s="16"/>
      <c r="GYI34" s="16"/>
      <c r="GYJ34" s="16"/>
      <c r="GYK34" s="16"/>
      <c r="GYL34" s="16"/>
      <c r="GYM34" s="16"/>
      <c r="GYN34" s="16"/>
      <c r="GYO34" s="16"/>
      <c r="GYP34" s="16"/>
      <c r="GYQ34" s="16"/>
      <c r="GYR34" s="16"/>
      <c r="GYS34" s="16"/>
      <c r="GYT34" s="16"/>
      <c r="GYU34" s="16"/>
      <c r="GYV34" s="16"/>
      <c r="GYW34" s="16"/>
      <c r="GYX34" s="16"/>
      <c r="GYY34" s="16"/>
      <c r="GYZ34" s="16"/>
      <c r="GZA34" s="16"/>
      <c r="GZB34" s="16"/>
      <c r="GZC34" s="16"/>
      <c r="GZD34" s="16"/>
      <c r="GZE34" s="16"/>
      <c r="GZF34" s="16"/>
      <c r="GZG34" s="16"/>
      <c r="GZH34" s="16"/>
      <c r="GZI34" s="16"/>
      <c r="GZJ34" s="16"/>
      <c r="GZK34" s="16"/>
      <c r="GZL34" s="16"/>
      <c r="GZM34" s="16"/>
      <c r="GZN34" s="16"/>
      <c r="GZO34" s="16"/>
      <c r="GZP34" s="16"/>
      <c r="GZQ34" s="16"/>
      <c r="GZR34" s="16"/>
      <c r="GZS34" s="16"/>
      <c r="GZT34" s="16"/>
      <c r="GZU34" s="16"/>
      <c r="GZV34" s="16"/>
      <c r="GZW34" s="16"/>
      <c r="GZX34" s="16"/>
      <c r="GZY34" s="16"/>
      <c r="GZZ34" s="16"/>
      <c r="HAA34" s="16"/>
      <c r="HAB34" s="16"/>
      <c r="HAC34" s="16"/>
      <c r="HAD34" s="16"/>
      <c r="HAE34" s="16"/>
      <c r="HAF34" s="16"/>
      <c r="HAG34" s="16"/>
      <c r="HAH34" s="16"/>
      <c r="HAI34" s="16"/>
      <c r="HAJ34" s="16"/>
      <c r="HAK34" s="16"/>
      <c r="HAL34" s="16"/>
      <c r="HAM34" s="16"/>
      <c r="HAN34" s="16"/>
      <c r="HAO34" s="16"/>
      <c r="HAP34" s="16"/>
      <c r="HAQ34" s="16"/>
      <c r="HAR34" s="16"/>
      <c r="HAS34" s="16"/>
      <c r="HAT34" s="16"/>
      <c r="HAU34" s="16"/>
      <c r="HAV34" s="16"/>
      <c r="HAW34" s="16"/>
      <c r="HAX34" s="16"/>
      <c r="HAY34" s="16"/>
      <c r="HAZ34" s="16"/>
      <c r="HBA34" s="16"/>
      <c r="HBB34" s="16"/>
      <c r="HBC34" s="16"/>
      <c r="HBD34" s="16"/>
      <c r="HBE34" s="16"/>
      <c r="HBF34" s="16"/>
      <c r="HBG34" s="16"/>
      <c r="HBH34" s="16"/>
      <c r="HBI34" s="16"/>
      <c r="HBJ34" s="16"/>
      <c r="HBK34" s="16"/>
      <c r="HBL34" s="16"/>
      <c r="HBM34" s="16"/>
      <c r="HBN34" s="16"/>
      <c r="HBO34" s="16"/>
      <c r="HBP34" s="16"/>
      <c r="HBQ34" s="16"/>
      <c r="HBR34" s="16"/>
      <c r="HBS34" s="16"/>
      <c r="HBT34" s="16"/>
      <c r="HBU34" s="16"/>
      <c r="HBV34" s="16"/>
      <c r="HBW34" s="16"/>
      <c r="HBX34" s="16"/>
      <c r="HBY34" s="16"/>
      <c r="HBZ34" s="16"/>
      <c r="HCA34" s="16"/>
      <c r="HCB34" s="16"/>
      <c r="HCC34" s="16"/>
      <c r="HCD34" s="16"/>
      <c r="HCE34" s="16"/>
      <c r="HCF34" s="16"/>
      <c r="HCG34" s="16"/>
      <c r="HCH34" s="16"/>
      <c r="HCI34" s="16"/>
      <c r="HCJ34" s="16"/>
      <c r="HCK34" s="16"/>
      <c r="HCL34" s="16"/>
      <c r="HCM34" s="16"/>
      <c r="HCN34" s="16"/>
      <c r="HCO34" s="16"/>
      <c r="HCP34" s="16"/>
      <c r="HCQ34" s="16"/>
      <c r="HCR34" s="16"/>
      <c r="HCS34" s="16"/>
      <c r="HCT34" s="16"/>
      <c r="HCU34" s="16"/>
      <c r="HCV34" s="16"/>
      <c r="HCW34" s="16"/>
      <c r="HCX34" s="16"/>
      <c r="HCY34" s="16"/>
      <c r="HCZ34" s="16"/>
      <c r="HDA34" s="16"/>
      <c r="HDB34" s="16"/>
      <c r="HDC34" s="16"/>
      <c r="HDD34" s="16"/>
      <c r="HDE34" s="16"/>
      <c r="HDF34" s="16"/>
      <c r="HDG34" s="16"/>
      <c r="HDH34" s="16"/>
      <c r="HDI34" s="16"/>
      <c r="HDJ34" s="16"/>
      <c r="HDK34" s="16"/>
      <c r="HDL34" s="16"/>
      <c r="HDM34" s="16"/>
      <c r="HDN34" s="16"/>
      <c r="HDO34" s="16"/>
      <c r="HDP34" s="16"/>
      <c r="HDQ34" s="16"/>
      <c r="HDR34" s="16"/>
      <c r="HDS34" s="16"/>
      <c r="HDT34" s="16"/>
      <c r="HDU34" s="16"/>
      <c r="HDV34" s="16"/>
      <c r="HDW34" s="16"/>
      <c r="HDX34" s="16"/>
      <c r="HDY34" s="16"/>
      <c r="HDZ34" s="16"/>
      <c r="HEA34" s="16"/>
      <c r="HEB34" s="16"/>
      <c r="HEC34" s="16"/>
      <c r="HED34" s="16"/>
      <c r="HEE34" s="16"/>
      <c r="HEF34" s="16"/>
      <c r="HEG34" s="16"/>
      <c r="HEH34" s="16"/>
      <c r="HEI34" s="16"/>
      <c r="HEJ34" s="16"/>
      <c r="HEK34" s="16"/>
      <c r="HEL34" s="16"/>
      <c r="HEM34" s="16"/>
      <c r="HEN34" s="16"/>
      <c r="HEO34" s="16"/>
      <c r="HEP34" s="16"/>
      <c r="HEQ34" s="16"/>
      <c r="HER34" s="16"/>
      <c r="HES34" s="16"/>
      <c r="HET34" s="16"/>
      <c r="HEU34" s="16"/>
      <c r="HEV34" s="16"/>
      <c r="HEW34" s="16"/>
      <c r="HEX34" s="16"/>
      <c r="HEY34" s="16"/>
      <c r="HEZ34" s="16"/>
      <c r="HFA34" s="16"/>
      <c r="HFB34" s="16"/>
      <c r="HFC34" s="16"/>
      <c r="HFD34" s="16"/>
      <c r="HFE34" s="16"/>
      <c r="HFF34" s="16"/>
      <c r="HFG34" s="16"/>
      <c r="HFH34" s="16"/>
      <c r="HFI34" s="16"/>
      <c r="HFJ34" s="16"/>
      <c r="HFK34" s="16"/>
      <c r="HFL34" s="16"/>
      <c r="HFM34" s="16"/>
      <c r="HFN34" s="16"/>
      <c r="HFO34" s="16"/>
      <c r="HFP34" s="16"/>
      <c r="HFQ34" s="16"/>
      <c r="HFR34" s="16"/>
      <c r="HFS34" s="16"/>
      <c r="HFT34" s="16"/>
      <c r="HFU34" s="16"/>
      <c r="HFV34" s="16"/>
      <c r="HFW34" s="16"/>
      <c r="HFX34" s="16"/>
      <c r="HFY34" s="16"/>
      <c r="HFZ34" s="16"/>
      <c r="HGA34" s="16"/>
      <c r="HGB34" s="16"/>
      <c r="HGC34" s="16"/>
      <c r="HGD34" s="16"/>
      <c r="HGE34" s="16"/>
      <c r="HGF34" s="16"/>
      <c r="HGG34" s="16"/>
      <c r="HGH34" s="16"/>
      <c r="HGI34" s="16"/>
      <c r="HGJ34" s="16"/>
      <c r="HGK34" s="16"/>
      <c r="HGL34" s="16"/>
      <c r="HGM34" s="16"/>
      <c r="HGN34" s="16"/>
      <c r="HGO34" s="16"/>
      <c r="HGP34" s="16"/>
      <c r="HGQ34" s="16"/>
      <c r="HGR34" s="16"/>
      <c r="HGS34" s="16"/>
      <c r="HGT34" s="16"/>
      <c r="HGU34" s="16"/>
      <c r="HGV34" s="16"/>
      <c r="HGW34" s="16"/>
      <c r="HGX34" s="16"/>
      <c r="HGY34" s="16"/>
      <c r="HGZ34" s="16"/>
      <c r="HHA34" s="16"/>
      <c r="HHB34" s="16"/>
      <c r="HHC34" s="16"/>
      <c r="HHD34" s="16"/>
      <c r="HHE34" s="16"/>
      <c r="HHF34" s="16"/>
      <c r="HHG34" s="16"/>
      <c r="HHH34" s="16"/>
      <c r="HHI34" s="16"/>
      <c r="HHJ34" s="16"/>
      <c r="HHK34" s="16"/>
      <c r="HHL34" s="16"/>
      <c r="HHM34" s="16"/>
      <c r="HHN34" s="16"/>
      <c r="HHO34" s="16"/>
      <c r="HHP34" s="16"/>
      <c r="HHQ34" s="16"/>
      <c r="HHR34" s="16"/>
      <c r="HHS34" s="16"/>
      <c r="HHT34" s="16"/>
      <c r="HHU34" s="16"/>
      <c r="HHV34" s="16"/>
      <c r="HHW34" s="16"/>
      <c r="HHX34" s="16"/>
      <c r="HHY34" s="16"/>
      <c r="HHZ34" s="16"/>
      <c r="HIA34" s="16"/>
      <c r="HIB34" s="16"/>
      <c r="HIC34" s="16"/>
      <c r="HID34" s="16"/>
      <c r="HIE34" s="16"/>
      <c r="HIF34" s="16"/>
      <c r="HIG34" s="16"/>
      <c r="HIH34" s="16"/>
      <c r="HII34" s="16"/>
      <c r="HIJ34" s="16"/>
      <c r="HIK34" s="16"/>
      <c r="HIL34" s="16"/>
      <c r="HIM34" s="16"/>
      <c r="HIN34" s="16"/>
      <c r="HIO34" s="16"/>
      <c r="HIP34" s="16"/>
      <c r="HIQ34" s="16"/>
      <c r="HIR34" s="16"/>
      <c r="HIS34" s="16"/>
      <c r="HIT34" s="16"/>
      <c r="HIU34" s="16"/>
      <c r="HIV34" s="16"/>
      <c r="HIW34" s="16"/>
      <c r="HIX34" s="16"/>
      <c r="HIY34" s="16"/>
      <c r="HIZ34" s="16"/>
      <c r="HJA34" s="16"/>
      <c r="HJB34" s="16"/>
      <c r="HJC34" s="16"/>
      <c r="HJD34" s="16"/>
      <c r="HJE34" s="16"/>
      <c r="HJF34" s="16"/>
      <c r="HJG34" s="16"/>
      <c r="HJH34" s="16"/>
      <c r="HJI34" s="16"/>
      <c r="HJJ34" s="16"/>
      <c r="HJK34" s="16"/>
      <c r="HJL34" s="16"/>
      <c r="HJM34" s="16"/>
      <c r="HJN34" s="16"/>
      <c r="HJO34" s="16"/>
      <c r="HJP34" s="16"/>
      <c r="HJQ34" s="16"/>
      <c r="HJR34" s="16"/>
      <c r="HJS34" s="16"/>
      <c r="HJT34" s="16"/>
      <c r="HJU34" s="16"/>
      <c r="HJV34" s="16"/>
      <c r="HJW34" s="16"/>
      <c r="HJX34" s="16"/>
      <c r="HJY34" s="16"/>
      <c r="HJZ34" s="16"/>
      <c r="HKA34" s="16"/>
      <c r="HKB34" s="16"/>
      <c r="HKC34" s="16"/>
      <c r="HKD34" s="16"/>
      <c r="HKE34" s="16"/>
      <c r="HKF34" s="16"/>
      <c r="HKG34" s="16"/>
      <c r="HKH34" s="16"/>
      <c r="HKI34" s="16"/>
      <c r="HKJ34" s="16"/>
      <c r="HKK34" s="16"/>
      <c r="HKL34" s="16"/>
      <c r="HKM34" s="16"/>
      <c r="HKN34" s="16"/>
      <c r="HKO34" s="16"/>
      <c r="HKP34" s="16"/>
      <c r="HKQ34" s="16"/>
      <c r="HKR34" s="16"/>
      <c r="HKS34" s="16"/>
      <c r="HKT34" s="16"/>
      <c r="HKU34" s="16"/>
      <c r="HKV34" s="16"/>
      <c r="HKW34" s="16"/>
      <c r="HKX34" s="16"/>
      <c r="HKY34" s="16"/>
      <c r="HKZ34" s="16"/>
      <c r="HLA34" s="16"/>
      <c r="HLB34" s="16"/>
      <c r="HLC34" s="16"/>
      <c r="HLD34" s="16"/>
      <c r="HLE34" s="16"/>
      <c r="HLF34" s="16"/>
      <c r="HLG34" s="16"/>
      <c r="HLH34" s="16"/>
      <c r="HLI34" s="16"/>
      <c r="HLJ34" s="16"/>
      <c r="HLK34" s="16"/>
      <c r="HLL34" s="16"/>
      <c r="HLM34" s="16"/>
      <c r="HLN34" s="16"/>
      <c r="HLO34" s="16"/>
      <c r="HLP34" s="16"/>
      <c r="HLQ34" s="16"/>
      <c r="HLR34" s="16"/>
      <c r="HLS34" s="16"/>
      <c r="HLT34" s="16"/>
      <c r="HLU34" s="16"/>
      <c r="HLV34" s="16"/>
      <c r="HLW34" s="16"/>
      <c r="HLX34" s="16"/>
      <c r="HLY34" s="16"/>
      <c r="HLZ34" s="16"/>
      <c r="HMA34" s="16"/>
      <c r="HMB34" s="16"/>
      <c r="HMC34" s="16"/>
      <c r="HMD34" s="16"/>
      <c r="HME34" s="16"/>
      <c r="HMF34" s="16"/>
      <c r="HMG34" s="16"/>
      <c r="HMH34" s="16"/>
      <c r="HMI34" s="16"/>
      <c r="HMJ34" s="16"/>
      <c r="HMK34" s="16"/>
      <c r="HML34" s="16"/>
      <c r="HMM34" s="16"/>
      <c r="HMN34" s="16"/>
      <c r="HMO34" s="16"/>
      <c r="HMP34" s="16"/>
      <c r="HMQ34" s="16"/>
      <c r="HMR34" s="16"/>
      <c r="HMS34" s="16"/>
      <c r="HMT34" s="16"/>
      <c r="HMU34" s="16"/>
      <c r="HMV34" s="16"/>
      <c r="HMW34" s="16"/>
      <c r="HMX34" s="16"/>
      <c r="HMY34" s="16"/>
      <c r="HMZ34" s="16"/>
      <c r="HNA34" s="16"/>
      <c r="HNB34" s="16"/>
      <c r="HNC34" s="16"/>
      <c r="HND34" s="16"/>
      <c r="HNE34" s="16"/>
      <c r="HNF34" s="16"/>
      <c r="HNG34" s="16"/>
      <c r="HNH34" s="16"/>
      <c r="HNI34" s="16"/>
      <c r="HNJ34" s="16"/>
      <c r="HNK34" s="16"/>
      <c r="HNL34" s="16"/>
      <c r="HNM34" s="16"/>
      <c r="HNN34" s="16"/>
      <c r="HNO34" s="16"/>
      <c r="HNP34" s="16"/>
      <c r="HNQ34" s="16"/>
      <c r="HNR34" s="16"/>
      <c r="HNS34" s="16"/>
      <c r="HNT34" s="16"/>
      <c r="HNU34" s="16"/>
      <c r="HNV34" s="16"/>
      <c r="HNW34" s="16"/>
      <c r="HNX34" s="16"/>
      <c r="HNY34" s="16"/>
      <c r="HNZ34" s="16"/>
      <c r="HOA34" s="16"/>
      <c r="HOB34" s="16"/>
      <c r="HOC34" s="16"/>
      <c r="HOD34" s="16"/>
      <c r="HOE34" s="16"/>
      <c r="HOF34" s="16"/>
      <c r="HOG34" s="16"/>
      <c r="HOH34" s="16"/>
      <c r="HOI34" s="16"/>
      <c r="HOJ34" s="16"/>
      <c r="HOK34" s="16"/>
      <c r="HOL34" s="16"/>
      <c r="HOM34" s="16"/>
      <c r="HON34" s="16"/>
      <c r="HOO34" s="16"/>
      <c r="HOP34" s="16"/>
      <c r="HOQ34" s="16"/>
      <c r="HOR34" s="16"/>
      <c r="HOS34" s="16"/>
      <c r="HOT34" s="16"/>
      <c r="HOU34" s="16"/>
      <c r="HOV34" s="16"/>
      <c r="HOW34" s="16"/>
      <c r="HOX34" s="16"/>
      <c r="HOY34" s="16"/>
      <c r="HOZ34" s="16"/>
      <c r="HPA34" s="16"/>
      <c r="HPB34" s="16"/>
      <c r="HPC34" s="16"/>
      <c r="HPD34" s="16"/>
      <c r="HPE34" s="16"/>
      <c r="HPF34" s="16"/>
      <c r="HPG34" s="16"/>
      <c r="HPH34" s="16"/>
      <c r="HPI34" s="16"/>
      <c r="HPJ34" s="16"/>
      <c r="HPK34" s="16"/>
      <c r="HPL34" s="16"/>
      <c r="HPM34" s="16"/>
      <c r="HPN34" s="16"/>
      <c r="HPO34" s="16"/>
      <c r="HPP34" s="16"/>
      <c r="HPQ34" s="16"/>
      <c r="HPR34" s="16"/>
      <c r="HPS34" s="16"/>
      <c r="HPT34" s="16"/>
      <c r="HPU34" s="16"/>
      <c r="HPV34" s="16"/>
      <c r="HPW34" s="16"/>
      <c r="HPX34" s="16"/>
      <c r="HPY34" s="16"/>
      <c r="HPZ34" s="16"/>
      <c r="HQA34" s="16"/>
      <c r="HQB34" s="16"/>
      <c r="HQC34" s="16"/>
      <c r="HQD34" s="16"/>
      <c r="HQE34" s="16"/>
      <c r="HQF34" s="16"/>
      <c r="HQG34" s="16"/>
      <c r="HQH34" s="16"/>
      <c r="HQI34" s="16"/>
      <c r="HQJ34" s="16"/>
      <c r="HQK34" s="16"/>
      <c r="HQL34" s="16"/>
      <c r="HQM34" s="16"/>
      <c r="HQN34" s="16"/>
      <c r="HQO34" s="16"/>
      <c r="HQP34" s="16"/>
      <c r="HQQ34" s="16"/>
      <c r="HQR34" s="16"/>
      <c r="HQS34" s="16"/>
      <c r="HQT34" s="16"/>
      <c r="HQU34" s="16"/>
      <c r="HQV34" s="16"/>
      <c r="HQW34" s="16"/>
      <c r="HQX34" s="16"/>
      <c r="HQY34" s="16"/>
      <c r="HQZ34" s="16"/>
      <c r="HRA34" s="16"/>
      <c r="HRB34" s="16"/>
      <c r="HRC34" s="16"/>
      <c r="HRD34" s="16"/>
      <c r="HRE34" s="16"/>
      <c r="HRF34" s="16"/>
      <c r="HRG34" s="16"/>
      <c r="HRH34" s="16"/>
      <c r="HRI34" s="16"/>
      <c r="HRJ34" s="16"/>
      <c r="HRK34" s="16"/>
      <c r="HRL34" s="16"/>
      <c r="HRM34" s="16"/>
      <c r="HRN34" s="16"/>
      <c r="HRO34" s="16"/>
      <c r="HRP34" s="16"/>
      <c r="HRQ34" s="16"/>
      <c r="HRR34" s="16"/>
      <c r="HRS34" s="16"/>
      <c r="HRT34" s="16"/>
      <c r="HRU34" s="16"/>
      <c r="HRV34" s="16"/>
      <c r="HRW34" s="16"/>
      <c r="HRX34" s="16"/>
      <c r="HRY34" s="16"/>
      <c r="HRZ34" s="16"/>
      <c r="HSA34" s="16"/>
      <c r="HSB34" s="16"/>
      <c r="HSC34" s="16"/>
      <c r="HSD34" s="16"/>
      <c r="HSE34" s="16"/>
      <c r="HSF34" s="16"/>
      <c r="HSG34" s="16"/>
      <c r="HSH34" s="16"/>
      <c r="HSI34" s="16"/>
      <c r="HSJ34" s="16"/>
      <c r="HSK34" s="16"/>
      <c r="HSL34" s="16"/>
      <c r="HSM34" s="16"/>
      <c r="HSN34" s="16"/>
      <c r="HSO34" s="16"/>
      <c r="HSP34" s="16"/>
      <c r="HSQ34" s="16"/>
      <c r="HSR34" s="16"/>
      <c r="HSS34" s="16"/>
      <c r="HST34" s="16"/>
      <c r="HSU34" s="16"/>
      <c r="HSV34" s="16"/>
      <c r="HSW34" s="16"/>
      <c r="HSX34" s="16"/>
      <c r="HSY34" s="16"/>
      <c r="HSZ34" s="16"/>
      <c r="HTA34" s="16"/>
      <c r="HTB34" s="16"/>
      <c r="HTC34" s="16"/>
      <c r="HTD34" s="16"/>
      <c r="HTE34" s="16"/>
      <c r="HTF34" s="16"/>
      <c r="HTG34" s="16"/>
      <c r="HTH34" s="16"/>
      <c r="HTI34" s="16"/>
      <c r="HTJ34" s="16"/>
      <c r="HTK34" s="16"/>
      <c r="HTL34" s="16"/>
      <c r="HTM34" s="16"/>
      <c r="HTN34" s="16"/>
      <c r="HTO34" s="16"/>
      <c r="HTP34" s="16"/>
      <c r="HTQ34" s="16"/>
      <c r="HTR34" s="16"/>
      <c r="HTS34" s="16"/>
      <c r="HTT34" s="16"/>
      <c r="HTU34" s="16"/>
      <c r="HTV34" s="16"/>
      <c r="HTW34" s="16"/>
      <c r="HTX34" s="16"/>
      <c r="HTY34" s="16"/>
      <c r="HTZ34" s="16"/>
      <c r="HUA34" s="16"/>
      <c r="HUB34" s="16"/>
      <c r="HUC34" s="16"/>
      <c r="HUD34" s="16"/>
      <c r="HUE34" s="16"/>
      <c r="HUF34" s="16"/>
      <c r="HUG34" s="16"/>
      <c r="HUH34" s="16"/>
      <c r="HUI34" s="16"/>
      <c r="HUJ34" s="16"/>
      <c r="HUK34" s="16"/>
      <c r="HUL34" s="16"/>
      <c r="HUM34" s="16"/>
      <c r="HUN34" s="16"/>
      <c r="HUO34" s="16"/>
      <c r="HUP34" s="16"/>
      <c r="HUQ34" s="16"/>
      <c r="HUR34" s="16"/>
      <c r="HUS34" s="16"/>
      <c r="HUT34" s="16"/>
      <c r="HUU34" s="16"/>
      <c r="HUV34" s="16"/>
      <c r="HUW34" s="16"/>
      <c r="HUX34" s="16"/>
      <c r="HUY34" s="16"/>
      <c r="HUZ34" s="16"/>
      <c r="HVA34" s="16"/>
      <c r="HVB34" s="16"/>
      <c r="HVC34" s="16"/>
      <c r="HVD34" s="16"/>
      <c r="HVE34" s="16"/>
      <c r="HVF34" s="16"/>
      <c r="HVG34" s="16"/>
      <c r="HVH34" s="16"/>
      <c r="HVI34" s="16"/>
      <c r="HVJ34" s="16"/>
      <c r="HVK34" s="16"/>
      <c r="HVL34" s="16"/>
      <c r="HVM34" s="16"/>
      <c r="HVN34" s="16"/>
      <c r="HVO34" s="16"/>
      <c r="HVP34" s="16"/>
      <c r="HVQ34" s="16"/>
      <c r="HVR34" s="16"/>
      <c r="HVS34" s="16"/>
      <c r="HVT34" s="16"/>
      <c r="HVU34" s="16"/>
      <c r="HVV34" s="16"/>
      <c r="HVW34" s="16"/>
      <c r="HVX34" s="16"/>
      <c r="HVY34" s="16"/>
      <c r="HVZ34" s="16"/>
      <c r="HWA34" s="16"/>
      <c r="HWB34" s="16"/>
      <c r="HWC34" s="16"/>
      <c r="HWD34" s="16"/>
      <c r="HWE34" s="16"/>
      <c r="HWF34" s="16"/>
      <c r="HWG34" s="16"/>
      <c r="HWH34" s="16"/>
      <c r="HWI34" s="16"/>
      <c r="HWJ34" s="16"/>
      <c r="HWK34" s="16"/>
      <c r="HWL34" s="16"/>
      <c r="HWM34" s="16"/>
      <c r="HWN34" s="16"/>
      <c r="HWO34" s="16"/>
      <c r="HWP34" s="16"/>
      <c r="HWQ34" s="16"/>
      <c r="HWR34" s="16"/>
      <c r="HWS34" s="16"/>
      <c r="HWT34" s="16"/>
      <c r="HWU34" s="16"/>
      <c r="HWV34" s="16"/>
      <c r="HWW34" s="16"/>
      <c r="HWX34" s="16"/>
      <c r="HWY34" s="16"/>
      <c r="HWZ34" s="16"/>
      <c r="HXA34" s="16"/>
      <c r="HXB34" s="16"/>
      <c r="HXC34" s="16"/>
      <c r="HXD34" s="16"/>
      <c r="HXE34" s="16"/>
      <c r="HXF34" s="16"/>
      <c r="HXG34" s="16"/>
      <c r="HXH34" s="16"/>
      <c r="HXI34" s="16"/>
      <c r="HXJ34" s="16"/>
      <c r="HXK34" s="16"/>
      <c r="HXL34" s="16"/>
      <c r="HXM34" s="16"/>
      <c r="HXN34" s="16"/>
      <c r="HXO34" s="16"/>
      <c r="HXP34" s="16"/>
      <c r="HXQ34" s="16"/>
      <c r="HXR34" s="16"/>
      <c r="HXS34" s="16"/>
      <c r="HXT34" s="16"/>
      <c r="HXU34" s="16"/>
      <c r="HXV34" s="16"/>
      <c r="HXW34" s="16"/>
      <c r="HXX34" s="16"/>
      <c r="HXY34" s="16"/>
      <c r="HXZ34" s="16"/>
      <c r="HYA34" s="16"/>
      <c r="HYB34" s="16"/>
      <c r="HYC34" s="16"/>
      <c r="HYD34" s="16"/>
      <c r="HYE34" s="16"/>
      <c r="HYF34" s="16"/>
      <c r="HYG34" s="16"/>
      <c r="HYH34" s="16"/>
      <c r="HYI34" s="16"/>
      <c r="HYJ34" s="16"/>
      <c r="HYK34" s="16"/>
      <c r="HYL34" s="16"/>
      <c r="HYM34" s="16"/>
      <c r="HYN34" s="16"/>
      <c r="HYO34" s="16"/>
      <c r="HYP34" s="16"/>
      <c r="HYQ34" s="16"/>
      <c r="HYR34" s="16"/>
      <c r="HYS34" s="16"/>
      <c r="HYT34" s="16"/>
      <c r="HYU34" s="16"/>
      <c r="HYV34" s="16"/>
      <c r="HYW34" s="16"/>
      <c r="HYX34" s="16"/>
      <c r="HYY34" s="16"/>
      <c r="HYZ34" s="16"/>
      <c r="HZA34" s="16"/>
      <c r="HZB34" s="16"/>
      <c r="HZC34" s="16"/>
      <c r="HZD34" s="16"/>
      <c r="HZE34" s="16"/>
      <c r="HZF34" s="16"/>
      <c r="HZG34" s="16"/>
      <c r="HZH34" s="16"/>
      <c r="HZI34" s="16"/>
      <c r="HZJ34" s="16"/>
      <c r="HZK34" s="16"/>
      <c r="HZL34" s="16"/>
      <c r="HZM34" s="16"/>
      <c r="HZN34" s="16"/>
      <c r="HZO34" s="16"/>
      <c r="HZP34" s="16"/>
      <c r="HZQ34" s="16"/>
      <c r="HZR34" s="16"/>
      <c r="HZS34" s="16"/>
      <c r="HZT34" s="16"/>
      <c r="HZU34" s="16"/>
      <c r="HZV34" s="16"/>
      <c r="HZW34" s="16"/>
      <c r="HZX34" s="16"/>
      <c r="HZY34" s="16"/>
      <c r="HZZ34" s="16"/>
      <c r="IAA34" s="16"/>
      <c r="IAB34" s="16"/>
      <c r="IAC34" s="16"/>
      <c r="IAD34" s="16"/>
      <c r="IAE34" s="16"/>
      <c r="IAF34" s="16"/>
      <c r="IAG34" s="16"/>
      <c r="IAH34" s="16"/>
      <c r="IAI34" s="16"/>
      <c r="IAJ34" s="16"/>
      <c r="IAK34" s="16"/>
      <c r="IAL34" s="16"/>
      <c r="IAM34" s="16"/>
      <c r="IAN34" s="16"/>
      <c r="IAO34" s="16"/>
      <c r="IAP34" s="16"/>
      <c r="IAQ34" s="16"/>
      <c r="IAR34" s="16"/>
      <c r="IAS34" s="16"/>
      <c r="IAT34" s="16"/>
      <c r="IAU34" s="16"/>
      <c r="IAV34" s="16"/>
      <c r="IAW34" s="16"/>
      <c r="IAX34" s="16"/>
      <c r="IAY34" s="16"/>
      <c r="IAZ34" s="16"/>
      <c r="IBA34" s="16"/>
      <c r="IBB34" s="16"/>
      <c r="IBC34" s="16"/>
      <c r="IBD34" s="16"/>
      <c r="IBE34" s="16"/>
      <c r="IBF34" s="16"/>
      <c r="IBG34" s="16"/>
      <c r="IBH34" s="16"/>
      <c r="IBI34" s="16"/>
      <c r="IBJ34" s="16"/>
      <c r="IBK34" s="16"/>
      <c r="IBL34" s="16"/>
      <c r="IBM34" s="16"/>
      <c r="IBN34" s="16"/>
      <c r="IBO34" s="16"/>
      <c r="IBP34" s="16"/>
      <c r="IBQ34" s="16"/>
      <c r="IBR34" s="16"/>
      <c r="IBS34" s="16"/>
      <c r="IBT34" s="16"/>
      <c r="IBU34" s="16"/>
      <c r="IBV34" s="16"/>
      <c r="IBW34" s="16"/>
      <c r="IBX34" s="16"/>
      <c r="IBY34" s="16"/>
      <c r="IBZ34" s="16"/>
      <c r="ICA34" s="16"/>
      <c r="ICB34" s="16"/>
      <c r="ICC34" s="16"/>
      <c r="ICD34" s="16"/>
      <c r="ICE34" s="16"/>
      <c r="ICF34" s="16"/>
      <c r="ICG34" s="16"/>
      <c r="ICH34" s="16"/>
      <c r="ICI34" s="16"/>
      <c r="ICJ34" s="16"/>
      <c r="ICK34" s="16"/>
      <c r="ICL34" s="16"/>
      <c r="ICM34" s="16"/>
      <c r="ICN34" s="16"/>
      <c r="ICO34" s="16"/>
      <c r="ICP34" s="16"/>
      <c r="ICQ34" s="16"/>
      <c r="ICR34" s="16"/>
      <c r="ICS34" s="16"/>
      <c r="ICT34" s="16"/>
      <c r="ICU34" s="16"/>
      <c r="ICV34" s="16"/>
      <c r="ICW34" s="16"/>
      <c r="ICX34" s="16"/>
      <c r="ICY34" s="16"/>
      <c r="ICZ34" s="16"/>
      <c r="IDA34" s="16"/>
      <c r="IDB34" s="16"/>
      <c r="IDC34" s="16"/>
      <c r="IDD34" s="16"/>
      <c r="IDE34" s="16"/>
      <c r="IDF34" s="16"/>
      <c r="IDG34" s="16"/>
      <c r="IDH34" s="16"/>
      <c r="IDI34" s="16"/>
      <c r="IDJ34" s="16"/>
      <c r="IDK34" s="16"/>
      <c r="IDL34" s="16"/>
      <c r="IDM34" s="16"/>
      <c r="IDN34" s="16"/>
      <c r="IDO34" s="16"/>
      <c r="IDP34" s="16"/>
      <c r="IDQ34" s="16"/>
      <c r="IDR34" s="16"/>
      <c r="IDS34" s="16"/>
      <c r="IDT34" s="16"/>
      <c r="IDU34" s="16"/>
      <c r="IDV34" s="16"/>
      <c r="IDW34" s="16"/>
      <c r="IDX34" s="16"/>
      <c r="IDY34" s="16"/>
      <c r="IDZ34" s="16"/>
      <c r="IEA34" s="16"/>
      <c r="IEB34" s="16"/>
      <c r="IEC34" s="16"/>
      <c r="IED34" s="16"/>
      <c r="IEE34" s="16"/>
      <c r="IEF34" s="16"/>
      <c r="IEG34" s="16"/>
      <c r="IEH34" s="16"/>
      <c r="IEI34" s="16"/>
      <c r="IEJ34" s="16"/>
      <c r="IEK34" s="16"/>
      <c r="IEL34" s="16"/>
      <c r="IEM34" s="16"/>
      <c r="IEN34" s="16"/>
      <c r="IEO34" s="16"/>
      <c r="IEP34" s="16"/>
      <c r="IEQ34" s="16"/>
      <c r="IER34" s="16"/>
      <c r="IES34" s="16"/>
      <c r="IET34" s="16"/>
      <c r="IEU34" s="16"/>
      <c r="IEV34" s="16"/>
      <c r="IEW34" s="16"/>
      <c r="IEX34" s="16"/>
      <c r="IEY34" s="16"/>
      <c r="IEZ34" s="16"/>
      <c r="IFA34" s="16"/>
      <c r="IFB34" s="16"/>
      <c r="IFC34" s="16"/>
      <c r="IFD34" s="16"/>
      <c r="IFE34" s="16"/>
      <c r="IFF34" s="16"/>
      <c r="IFG34" s="16"/>
      <c r="IFH34" s="16"/>
      <c r="IFI34" s="16"/>
      <c r="IFJ34" s="16"/>
      <c r="IFK34" s="16"/>
      <c r="IFL34" s="16"/>
      <c r="IFM34" s="16"/>
      <c r="IFN34" s="16"/>
      <c r="IFO34" s="16"/>
      <c r="IFP34" s="16"/>
      <c r="IFQ34" s="16"/>
      <c r="IFR34" s="16"/>
      <c r="IFS34" s="16"/>
      <c r="IFT34" s="16"/>
      <c r="IFU34" s="16"/>
      <c r="IFV34" s="16"/>
      <c r="IFW34" s="16"/>
      <c r="IFX34" s="16"/>
      <c r="IFY34" s="16"/>
      <c r="IFZ34" s="16"/>
      <c r="IGA34" s="16"/>
      <c r="IGB34" s="16"/>
      <c r="IGC34" s="16"/>
      <c r="IGD34" s="16"/>
      <c r="IGE34" s="16"/>
      <c r="IGF34" s="16"/>
      <c r="IGG34" s="16"/>
      <c r="IGH34" s="16"/>
      <c r="IGI34" s="16"/>
      <c r="IGJ34" s="16"/>
      <c r="IGK34" s="16"/>
      <c r="IGL34" s="16"/>
      <c r="IGM34" s="16"/>
      <c r="IGN34" s="16"/>
      <c r="IGO34" s="16"/>
      <c r="IGP34" s="16"/>
      <c r="IGQ34" s="16"/>
      <c r="IGR34" s="16"/>
      <c r="IGS34" s="16"/>
      <c r="IGT34" s="16"/>
      <c r="IGU34" s="16"/>
      <c r="IGV34" s="16"/>
      <c r="IGW34" s="16"/>
      <c r="IGX34" s="16"/>
      <c r="IGY34" s="16"/>
      <c r="IGZ34" s="16"/>
      <c r="IHA34" s="16"/>
      <c r="IHB34" s="16"/>
      <c r="IHC34" s="16"/>
      <c r="IHD34" s="16"/>
      <c r="IHE34" s="16"/>
      <c r="IHF34" s="16"/>
      <c r="IHG34" s="16"/>
      <c r="IHH34" s="16"/>
      <c r="IHI34" s="16"/>
      <c r="IHJ34" s="16"/>
      <c r="IHK34" s="16"/>
      <c r="IHL34" s="16"/>
      <c r="IHM34" s="16"/>
      <c r="IHN34" s="16"/>
      <c r="IHO34" s="16"/>
      <c r="IHP34" s="16"/>
      <c r="IHQ34" s="16"/>
      <c r="IHR34" s="16"/>
      <c r="IHS34" s="16"/>
      <c r="IHT34" s="16"/>
      <c r="IHU34" s="16"/>
      <c r="IHV34" s="16"/>
      <c r="IHW34" s="16"/>
      <c r="IHX34" s="16"/>
      <c r="IHY34" s="16"/>
      <c r="IHZ34" s="16"/>
      <c r="IIA34" s="16"/>
      <c r="IIB34" s="16"/>
      <c r="IIC34" s="16"/>
      <c r="IID34" s="16"/>
      <c r="IIE34" s="16"/>
      <c r="IIF34" s="16"/>
      <c r="IIG34" s="16"/>
      <c r="IIH34" s="16"/>
      <c r="III34" s="16"/>
      <c r="IIJ34" s="16"/>
      <c r="IIK34" s="16"/>
      <c r="IIL34" s="16"/>
      <c r="IIM34" s="16"/>
      <c r="IIN34" s="16"/>
      <c r="IIO34" s="16"/>
      <c r="IIP34" s="16"/>
      <c r="IIQ34" s="16"/>
      <c r="IIR34" s="16"/>
      <c r="IIS34" s="16"/>
      <c r="IIT34" s="16"/>
      <c r="IIU34" s="16"/>
      <c r="IIV34" s="16"/>
      <c r="IIW34" s="16"/>
      <c r="IIX34" s="16"/>
      <c r="IIY34" s="16"/>
      <c r="IIZ34" s="16"/>
      <c r="IJA34" s="16"/>
      <c r="IJB34" s="16"/>
      <c r="IJC34" s="16"/>
      <c r="IJD34" s="16"/>
      <c r="IJE34" s="16"/>
      <c r="IJF34" s="16"/>
      <c r="IJG34" s="16"/>
      <c r="IJH34" s="16"/>
      <c r="IJI34" s="16"/>
      <c r="IJJ34" s="16"/>
      <c r="IJK34" s="16"/>
      <c r="IJL34" s="16"/>
      <c r="IJM34" s="16"/>
      <c r="IJN34" s="16"/>
      <c r="IJO34" s="16"/>
      <c r="IJP34" s="16"/>
      <c r="IJQ34" s="16"/>
      <c r="IJR34" s="16"/>
      <c r="IJS34" s="16"/>
      <c r="IJT34" s="16"/>
      <c r="IJU34" s="16"/>
      <c r="IJV34" s="16"/>
      <c r="IJW34" s="16"/>
      <c r="IJX34" s="16"/>
      <c r="IJY34" s="16"/>
      <c r="IJZ34" s="16"/>
      <c r="IKA34" s="16"/>
      <c r="IKB34" s="16"/>
      <c r="IKC34" s="16"/>
      <c r="IKD34" s="16"/>
      <c r="IKE34" s="16"/>
      <c r="IKF34" s="16"/>
      <c r="IKG34" s="16"/>
      <c r="IKH34" s="16"/>
      <c r="IKI34" s="16"/>
      <c r="IKJ34" s="16"/>
      <c r="IKK34" s="16"/>
      <c r="IKL34" s="16"/>
      <c r="IKM34" s="16"/>
      <c r="IKN34" s="16"/>
      <c r="IKO34" s="16"/>
      <c r="IKP34" s="16"/>
      <c r="IKQ34" s="16"/>
      <c r="IKR34" s="16"/>
      <c r="IKS34" s="16"/>
      <c r="IKT34" s="16"/>
      <c r="IKU34" s="16"/>
      <c r="IKV34" s="16"/>
      <c r="IKW34" s="16"/>
      <c r="IKX34" s="16"/>
      <c r="IKY34" s="16"/>
      <c r="IKZ34" s="16"/>
      <c r="ILA34" s="16"/>
      <c r="ILB34" s="16"/>
      <c r="ILC34" s="16"/>
      <c r="ILD34" s="16"/>
      <c r="ILE34" s="16"/>
      <c r="ILF34" s="16"/>
      <c r="ILG34" s="16"/>
      <c r="ILH34" s="16"/>
      <c r="ILI34" s="16"/>
      <c r="ILJ34" s="16"/>
      <c r="ILK34" s="16"/>
      <c r="ILL34" s="16"/>
      <c r="ILM34" s="16"/>
      <c r="ILN34" s="16"/>
      <c r="ILO34" s="16"/>
      <c r="ILP34" s="16"/>
      <c r="ILQ34" s="16"/>
      <c r="ILR34" s="16"/>
      <c r="ILS34" s="16"/>
      <c r="ILT34" s="16"/>
      <c r="ILU34" s="16"/>
      <c r="ILV34" s="16"/>
      <c r="ILW34" s="16"/>
      <c r="ILX34" s="16"/>
      <c r="ILY34" s="16"/>
      <c r="ILZ34" s="16"/>
      <c r="IMA34" s="16"/>
      <c r="IMB34" s="16"/>
      <c r="IMC34" s="16"/>
      <c r="IMD34" s="16"/>
      <c r="IME34" s="16"/>
      <c r="IMF34" s="16"/>
      <c r="IMG34" s="16"/>
      <c r="IMH34" s="16"/>
      <c r="IMI34" s="16"/>
      <c r="IMJ34" s="16"/>
      <c r="IMK34" s="16"/>
      <c r="IML34" s="16"/>
      <c r="IMM34" s="16"/>
      <c r="IMN34" s="16"/>
      <c r="IMO34" s="16"/>
      <c r="IMP34" s="16"/>
      <c r="IMQ34" s="16"/>
      <c r="IMR34" s="16"/>
      <c r="IMS34" s="16"/>
      <c r="IMT34" s="16"/>
      <c r="IMU34" s="16"/>
      <c r="IMV34" s="16"/>
      <c r="IMW34" s="16"/>
      <c r="IMX34" s="16"/>
      <c r="IMY34" s="16"/>
      <c r="IMZ34" s="16"/>
      <c r="INA34" s="16"/>
      <c r="INB34" s="16"/>
      <c r="INC34" s="16"/>
      <c r="IND34" s="16"/>
      <c r="INE34" s="16"/>
      <c r="INF34" s="16"/>
      <c r="ING34" s="16"/>
      <c r="INH34" s="16"/>
      <c r="INI34" s="16"/>
      <c r="INJ34" s="16"/>
      <c r="INK34" s="16"/>
      <c r="INL34" s="16"/>
      <c r="INM34" s="16"/>
      <c r="INN34" s="16"/>
      <c r="INO34" s="16"/>
      <c r="INP34" s="16"/>
      <c r="INQ34" s="16"/>
      <c r="INR34" s="16"/>
      <c r="INS34" s="16"/>
      <c r="INT34" s="16"/>
      <c r="INU34" s="16"/>
      <c r="INV34" s="16"/>
      <c r="INW34" s="16"/>
      <c r="INX34" s="16"/>
      <c r="INY34" s="16"/>
      <c r="INZ34" s="16"/>
      <c r="IOA34" s="16"/>
      <c r="IOB34" s="16"/>
      <c r="IOC34" s="16"/>
      <c r="IOD34" s="16"/>
      <c r="IOE34" s="16"/>
      <c r="IOF34" s="16"/>
      <c r="IOG34" s="16"/>
      <c r="IOH34" s="16"/>
      <c r="IOI34" s="16"/>
      <c r="IOJ34" s="16"/>
      <c r="IOK34" s="16"/>
      <c r="IOL34" s="16"/>
      <c r="IOM34" s="16"/>
      <c r="ION34" s="16"/>
      <c r="IOO34" s="16"/>
      <c r="IOP34" s="16"/>
      <c r="IOQ34" s="16"/>
      <c r="IOR34" s="16"/>
      <c r="IOS34" s="16"/>
      <c r="IOT34" s="16"/>
      <c r="IOU34" s="16"/>
      <c r="IOV34" s="16"/>
      <c r="IOW34" s="16"/>
      <c r="IOX34" s="16"/>
      <c r="IOY34" s="16"/>
      <c r="IOZ34" s="16"/>
      <c r="IPA34" s="16"/>
      <c r="IPB34" s="16"/>
      <c r="IPC34" s="16"/>
      <c r="IPD34" s="16"/>
      <c r="IPE34" s="16"/>
      <c r="IPF34" s="16"/>
      <c r="IPG34" s="16"/>
      <c r="IPH34" s="16"/>
      <c r="IPI34" s="16"/>
      <c r="IPJ34" s="16"/>
      <c r="IPK34" s="16"/>
      <c r="IPL34" s="16"/>
      <c r="IPM34" s="16"/>
      <c r="IPN34" s="16"/>
      <c r="IPO34" s="16"/>
      <c r="IPP34" s="16"/>
      <c r="IPQ34" s="16"/>
      <c r="IPR34" s="16"/>
      <c r="IPS34" s="16"/>
      <c r="IPT34" s="16"/>
      <c r="IPU34" s="16"/>
      <c r="IPV34" s="16"/>
      <c r="IPW34" s="16"/>
      <c r="IPX34" s="16"/>
      <c r="IPY34" s="16"/>
      <c r="IPZ34" s="16"/>
      <c r="IQA34" s="16"/>
      <c r="IQB34" s="16"/>
      <c r="IQC34" s="16"/>
      <c r="IQD34" s="16"/>
      <c r="IQE34" s="16"/>
      <c r="IQF34" s="16"/>
      <c r="IQG34" s="16"/>
      <c r="IQH34" s="16"/>
      <c r="IQI34" s="16"/>
      <c r="IQJ34" s="16"/>
      <c r="IQK34" s="16"/>
      <c r="IQL34" s="16"/>
      <c r="IQM34" s="16"/>
      <c r="IQN34" s="16"/>
      <c r="IQO34" s="16"/>
      <c r="IQP34" s="16"/>
      <c r="IQQ34" s="16"/>
      <c r="IQR34" s="16"/>
      <c r="IQS34" s="16"/>
      <c r="IQT34" s="16"/>
      <c r="IQU34" s="16"/>
      <c r="IQV34" s="16"/>
      <c r="IQW34" s="16"/>
      <c r="IQX34" s="16"/>
      <c r="IQY34" s="16"/>
      <c r="IQZ34" s="16"/>
      <c r="IRA34" s="16"/>
      <c r="IRB34" s="16"/>
      <c r="IRC34" s="16"/>
      <c r="IRD34" s="16"/>
      <c r="IRE34" s="16"/>
      <c r="IRF34" s="16"/>
      <c r="IRG34" s="16"/>
      <c r="IRH34" s="16"/>
      <c r="IRI34" s="16"/>
      <c r="IRJ34" s="16"/>
      <c r="IRK34" s="16"/>
      <c r="IRL34" s="16"/>
      <c r="IRM34" s="16"/>
      <c r="IRN34" s="16"/>
      <c r="IRO34" s="16"/>
      <c r="IRP34" s="16"/>
      <c r="IRQ34" s="16"/>
      <c r="IRR34" s="16"/>
      <c r="IRS34" s="16"/>
      <c r="IRT34" s="16"/>
      <c r="IRU34" s="16"/>
      <c r="IRV34" s="16"/>
      <c r="IRW34" s="16"/>
      <c r="IRX34" s="16"/>
      <c r="IRY34" s="16"/>
      <c r="IRZ34" s="16"/>
      <c r="ISA34" s="16"/>
      <c r="ISB34" s="16"/>
      <c r="ISC34" s="16"/>
      <c r="ISD34" s="16"/>
      <c r="ISE34" s="16"/>
      <c r="ISF34" s="16"/>
      <c r="ISG34" s="16"/>
      <c r="ISH34" s="16"/>
      <c r="ISI34" s="16"/>
      <c r="ISJ34" s="16"/>
      <c r="ISK34" s="16"/>
      <c r="ISL34" s="16"/>
      <c r="ISM34" s="16"/>
      <c r="ISN34" s="16"/>
      <c r="ISO34" s="16"/>
      <c r="ISP34" s="16"/>
      <c r="ISQ34" s="16"/>
      <c r="ISR34" s="16"/>
      <c r="ISS34" s="16"/>
      <c r="IST34" s="16"/>
      <c r="ISU34" s="16"/>
      <c r="ISV34" s="16"/>
      <c r="ISW34" s="16"/>
      <c r="ISX34" s="16"/>
      <c r="ISY34" s="16"/>
      <c r="ISZ34" s="16"/>
      <c r="ITA34" s="16"/>
      <c r="ITB34" s="16"/>
      <c r="ITC34" s="16"/>
      <c r="ITD34" s="16"/>
      <c r="ITE34" s="16"/>
      <c r="ITF34" s="16"/>
      <c r="ITG34" s="16"/>
      <c r="ITH34" s="16"/>
      <c r="ITI34" s="16"/>
      <c r="ITJ34" s="16"/>
      <c r="ITK34" s="16"/>
      <c r="ITL34" s="16"/>
      <c r="ITM34" s="16"/>
      <c r="ITN34" s="16"/>
      <c r="ITO34" s="16"/>
      <c r="ITP34" s="16"/>
      <c r="ITQ34" s="16"/>
      <c r="ITR34" s="16"/>
      <c r="ITS34" s="16"/>
      <c r="ITT34" s="16"/>
      <c r="ITU34" s="16"/>
      <c r="ITV34" s="16"/>
      <c r="ITW34" s="16"/>
      <c r="ITX34" s="16"/>
      <c r="ITY34" s="16"/>
      <c r="ITZ34" s="16"/>
      <c r="IUA34" s="16"/>
      <c r="IUB34" s="16"/>
      <c r="IUC34" s="16"/>
      <c r="IUD34" s="16"/>
      <c r="IUE34" s="16"/>
      <c r="IUF34" s="16"/>
      <c r="IUG34" s="16"/>
      <c r="IUH34" s="16"/>
      <c r="IUI34" s="16"/>
      <c r="IUJ34" s="16"/>
      <c r="IUK34" s="16"/>
      <c r="IUL34" s="16"/>
      <c r="IUM34" s="16"/>
      <c r="IUN34" s="16"/>
      <c r="IUO34" s="16"/>
      <c r="IUP34" s="16"/>
      <c r="IUQ34" s="16"/>
      <c r="IUR34" s="16"/>
      <c r="IUS34" s="16"/>
      <c r="IUT34" s="16"/>
      <c r="IUU34" s="16"/>
      <c r="IUV34" s="16"/>
      <c r="IUW34" s="16"/>
      <c r="IUX34" s="16"/>
      <c r="IUY34" s="16"/>
      <c r="IUZ34" s="16"/>
      <c r="IVA34" s="16"/>
      <c r="IVB34" s="16"/>
      <c r="IVC34" s="16"/>
      <c r="IVD34" s="16"/>
      <c r="IVE34" s="16"/>
      <c r="IVF34" s="16"/>
      <c r="IVG34" s="16"/>
      <c r="IVH34" s="16"/>
      <c r="IVI34" s="16"/>
      <c r="IVJ34" s="16"/>
      <c r="IVK34" s="16"/>
      <c r="IVL34" s="16"/>
      <c r="IVM34" s="16"/>
      <c r="IVN34" s="16"/>
      <c r="IVO34" s="16"/>
      <c r="IVP34" s="16"/>
      <c r="IVQ34" s="16"/>
      <c r="IVR34" s="16"/>
      <c r="IVS34" s="16"/>
      <c r="IVT34" s="16"/>
      <c r="IVU34" s="16"/>
      <c r="IVV34" s="16"/>
      <c r="IVW34" s="16"/>
      <c r="IVX34" s="16"/>
      <c r="IVY34" s="16"/>
      <c r="IVZ34" s="16"/>
      <c r="IWA34" s="16"/>
      <c r="IWB34" s="16"/>
      <c r="IWC34" s="16"/>
      <c r="IWD34" s="16"/>
      <c r="IWE34" s="16"/>
      <c r="IWF34" s="16"/>
      <c r="IWG34" s="16"/>
      <c r="IWH34" s="16"/>
      <c r="IWI34" s="16"/>
      <c r="IWJ34" s="16"/>
      <c r="IWK34" s="16"/>
      <c r="IWL34" s="16"/>
      <c r="IWM34" s="16"/>
      <c r="IWN34" s="16"/>
      <c r="IWO34" s="16"/>
      <c r="IWP34" s="16"/>
      <c r="IWQ34" s="16"/>
      <c r="IWR34" s="16"/>
      <c r="IWS34" s="16"/>
      <c r="IWT34" s="16"/>
      <c r="IWU34" s="16"/>
      <c r="IWV34" s="16"/>
      <c r="IWW34" s="16"/>
      <c r="IWX34" s="16"/>
      <c r="IWY34" s="16"/>
      <c r="IWZ34" s="16"/>
      <c r="IXA34" s="16"/>
      <c r="IXB34" s="16"/>
      <c r="IXC34" s="16"/>
      <c r="IXD34" s="16"/>
      <c r="IXE34" s="16"/>
      <c r="IXF34" s="16"/>
      <c r="IXG34" s="16"/>
      <c r="IXH34" s="16"/>
      <c r="IXI34" s="16"/>
      <c r="IXJ34" s="16"/>
      <c r="IXK34" s="16"/>
      <c r="IXL34" s="16"/>
      <c r="IXM34" s="16"/>
      <c r="IXN34" s="16"/>
      <c r="IXO34" s="16"/>
      <c r="IXP34" s="16"/>
      <c r="IXQ34" s="16"/>
      <c r="IXR34" s="16"/>
      <c r="IXS34" s="16"/>
      <c r="IXT34" s="16"/>
      <c r="IXU34" s="16"/>
      <c r="IXV34" s="16"/>
      <c r="IXW34" s="16"/>
      <c r="IXX34" s="16"/>
      <c r="IXY34" s="16"/>
      <c r="IXZ34" s="16"/>
      <c r="IYA34" s="16"/>
      <c r="IYB34" s="16"/>
      <c r="IYC34" s="16"/>
      <c r="IYD34" s="16"/>
      <c r="IYE34" s="16"/>
      <c r="IYF34" s="16"/>
      <c r="IYG34" s="16"/>
      <c r="IYH34" s="16"/>
      <c r="IYI34" s="16"/>
      <c r="IYJ34" s="16"/>
      <c r="IYK34" s="16"/>
      <c r="IYL34" s="16"/>
      <c r="IYM34" s="16"/>
      <c r="IYN34" s="16"/>
      <c r="IYO34" s="16"/>
      <c r="IYP34" s="16"/>
      <c r="IYQ34" s="16"/>
      <c r="IYR34" s="16"/>
      <c r="IYS34" s="16"/>
      <c r="IYT34" s="16"/>
      <c r="IYU34" s="16"/>
      <c r="IYV34" s="16"/>
      <c r="IYW34" s="16"/>
      <c r="IYX34" s="16"/>
      <c r="IYY34" s="16"/>
      <c r="IYZ34" s="16"/>
      <c r="IZA34" s="16"/>
      <c r="IZB34" s="16"/>
      <c r="IZC34" s="16"/>
      <c r="IZD34" s="16"/>
      <c r="IZE34" s="16"/>
      <c r="IZF34" s="16"/>
      <c r="IZG34" s="16"/>
      <c r="IZH34" s="16"/>
      <c r="IZI34" s="16"/>
      <c r="IZJ34" s="16"/>
      <c r="IZK34" s="16"/>
      <c r="IZL34" s="16"/>
      <c r="IZM34" s="16"/>
      <c r="IZN34" s="16"/>
      <c r="IZO34" s="16"/>
      <c r="IZP34" s="16"/>
      <c r="IZQ34" s="16"/>
      <c r="IZR34" s="16"/>
      <c r="IZS34" s="16"/>
      <c r="IZT34" s="16"/>
      <c r="IZU34" s="16"/>
      <c r="IZV34" s="16"/>
      <c r="IZW34" s="16"/>
      <c r="IZX34" s="16"/>
      <c r="IZY34" s="16"/>
      <c r="IZZ34" s="16"/>
      <c r="JAA34" s="16"/>
      <c r="JAB34" s="16"/>
      <c r="JAC34" s="16"/>
      <c r="JAD34" s="16"/>
      <c r="JAE34" s="16"/>
      <c r="JAF34" s="16"/>
      <c r="JAG34" s="16"/>
      <c r="JAH34" s="16"/>
      <c r="JAI34" s="16"/>
      <c r="JAJ34" s="16"/>
      <c r="JAK34" s="16"/>
      <c r="JAL34" s="16"/>
      <c r="JAM34" s="16"/>
      <c r="JAN34" s="16"/>
      <c r="JAO34" s="16"/>
      <c r="JAP34" s="16"/>
      <c r="JAQ34" s="16"/>
      <c r="JAR34" s="16"/>
      <c r="JAS34" s="16"/>
      <c r="JAT34" s="16"/>
      <c r="JAU34" s="16"/>
      <c r="JAV34" s="16"/>
      <c r="JAW34" s="16"/>
      <c r="JAX34" s="16"/>
      <c r="JAY34" s="16"/>
      <c r="JAZ34" s="16"/>
      <c r="JBA34" s="16"/>
      <c r="JBB34" s="16"/>
      <c r="JBC34" s="16"/>
      <c r="JBD34" s="16"/>
      <c r="JBE34" s="16"/>
      <c r="JBF34" s="16"/>
      <c r="JBG34" s="16"/>
      <c r="JBH34" s="16"/>
      <c r="JBI34" s="16"/>
      <c r="JBJ34" s="16"/>
      <c r="JBK34" s="16"/>
      <c r="JBL34" s="16"/>
      <c r="JBM34" s="16"/>
      <c r="JBN34" s="16"/>
      <c r="JBO34" s="16"/>
      <c r="JBP34" s="16"/>
      <c r="JBQ34" s="16"/>
      <c r="JBR34" s="16"/>
      <c r="JBS34" s="16"/>
      <c r="JBT34" s="16"/>
      <c r="JBU34" s="16"/>
      <c r="JBV34" s="16"/>
      <c r="JBW34" s="16"/>
      <c r="JBX34" s="16"/>
      <c r="JBY34" s="16"/>
      <c r="JBZ34" s="16"/>
      <c r="JCA34" s="16"/>
      <c r="JCB34" s="16"/>
      <c r="JCC34" s="16"/>
      <c r="JCD34" s="16"/>
      <c r="JCE34" s="16"/>
      <c r="JCF34" s="16"/>
      <c r="JCG34" s="16"/>
      <c r="JCH34" s="16"/>
      <c r="JCI34" s="16"/>
      <c r="JCJ34" s="16"/>
      <c r="JCK34" s="16"/>
      <c r="JCL34" s="16"/>
      <c r="JCM34" s="16"/>
      <c r="JCN34" s="16"/>
      <c r="JCO34" s="16"/>
      <c r="JCP34" s="16"/>
      <c r="JCQ34" s="16"/>
      <c r="JCR34" s="16"/>
      <c r="JCS34" s="16"/>
      <c r="JCT34" s="16"/>
      <c r="JCU34" s="16"/>
      <c r="JCV34" s="16"/>
      <c r="JCW34" s="16"/>
      <c r="JCX34" s="16"/>
      <c r="JCY34" s="16"/>
      <c r="JCZ34" s="16"/>
      <c r="JDA34" s="16"/>
      <c r="JDB34" s="16"/>
      <c r="JDC34" s="16"/>
      <c r="JDD34" s="16"/>
      <c r="JDE34" s="16"/>
      <c r="JDF34" s="16"/>
      <c r="JDG34" s="16"/>
      <c r="JDH34" s="16"/>
      <c r="JDI34" s="16"/>
      <c r="JDJ34" s="16"/>
      <c r="JDK34" s="16"/>
      <c r="JDL34" s="16"/>
      <c r="JDM34" s="16"/>
      <c r="JDN34" s="16"/>
      <c r="JDO34" s="16"/>
      <c r="JDP34" s="16"/>
      <c r="JDQ34" s="16"/>
      <c r="JDR34" s="16"/>
      <c r="JDS34" s="16"/>
      <c r="JDT34" s="16"/>
      <c r="JDU34" s="16"/>
      <c r="JDV34" s="16"/>
      <c r="JDW34" s="16"/>
      <c r="JDX34" s="16"/>
      <c r="JDY34" s="16"/>
      <c r="JDZ34" s="16"/>
      <c r="JEA34" s="16"/>
      <c r="JEB34" s="16"/>
      <c r="JEC34" s="16"/>
      <c r="JED34" s="16"/>
      <c r="JEE34" s="16"/>
      <c r="JEF34" s="16"/>
      <c r="JEG34" s="16"/>
      <c r="JEH34" s="16"/>
      <c r="JEI34" s="16"/>
      <c r="JEJ34" s="16"/>
      <c r="JEK34" s="16"/>
      <c r="JEL34" s="16"/>
      <c r="JEM34" s="16"/>
      <c r="JEN34" s="16"/>
      <c r="JEO34" s="16"/>
      <c r="JEP34" s="16"/>
      <c r="JEQ34" s="16"/>
      <c r="JER34" s="16"/>
      <c r="JES34" s="16"/>
      <c r="JET34" s="16"/>
      <c r="JEU34" s="16"/>
      <c r="JEV34" s="16"/>
      <c r="JEW34" s="16"/>
      <c r="JEX34" s="16"/>
      <c r="JEY34" s="16"/>
      <c r="JEZ34" s="16"/>
      <c r="JFA34" s="16"/>
      <c r="JFB34" s="16"/>
      <c r="JFC34" s="16"/>
      <c r="JFD34" s="16"/>
      <c r="JFE34" s="16"/>
      <c r="JFF34" s="16"/>
      <c r="JFG34" s="16"/>
      <c r="JFH34" s="16"/>
      <c r="JFI34" s="16"/>
      <c r="JFJ34" s="16"/>
      <c r="JFK34" s="16"/>
      <c r="JFL34" s="16"/>
      <c r="JFM34" s="16"/>
      <c r="JFN34" s="16"/>
      <c r="JFO34" s="16"/>
      <c r="JFP34" s="16"/>
      <c r="JFQ34" s="16"/>
      <c r="JFR34" s="16"/>
      <c r="JFS34" s="16"/>
      <c r="JFT34" s="16"/>
      <c r="JFU34" s="16"/>
      <c r="JFV34" s="16"/>
      <c r="JFW34" s="16"/>
      <c r="JFX34" s="16"/>
      <c r="JFY34" s="16"/>
      <c r="JFZ34" s="16"/>
      <c r="JGA34" s="16"/>
      <c r="JGB34" s="16"/>
      <c r="JGC34" s="16"/>
      <c r="JGD34" s="16"/>
      <c r="JGE34" s="16"/>
      <c r="JGF34" s="16"/>
      <c r="JGG34" s="16"/>
      <c r="JGH34" s="16"/>
      <c r="JGI34" s="16"/>
      <c r="JGJ34" s="16"/>
      <c r="JGK34" s="16"/>
      <c r="JGL34" s="16"/>
      <c r="JGM34" s="16"/>
      <c r="JGN34" s="16"/>
      <c r="JGO34" s="16"/>
      <c r="JGP34" s="16"/>
      <c r="JGQ34" s="16"/>
      <c r="JGR34" s="16"/>
      <c r="JGS34" s="16"/>
      <c r="JGT34" s="16"/>
      <c r="JGU34" s="16"/>
      <c r="JGV34" s="16"/>
      <c r="JGW34" s="16"/>
      <c r="JGX34" s="16"/>
      <c r="JGY34" s="16"/>
      <c r="JGZ34" s="16"/>
      <c r="JHA34" s="16"/>
      <c r="JHB34" s="16"/>
      <c r="JHC34" s="16"/>
      <c r="JHD34" s="16"/>
      <c r="JHE34" s="16"/>
      <c r="JHF34" s="16"/>
      <c r="JHG34" s="16"/>
      <c r="JHH34" s="16"/>
      <c r="JHI34" s="16"/>
      <c r="JHJ34" s="16"/>
      <c r="JHK34" s="16"/>
      <c r="JHL34" s="16"/>
      <c r="JHM34" s="16"/>
      <c r="JHN34" s="16"/>
      <c r="JHO34" s="16"/>
      <c r="JHP34" s="16"/>
      <c r="JHQ34" s="16"/>
      <c r="JHR34" s="16"/>
      <c r="JHS34" s="16"/>
      <c r="JHT34" s="16"/>
      <c r="JHU34" s="16"/>
      <c r="JHV34" s="16"/>
      <c r="JHW34" s="16"/>
      <c r="JHX34" s="16"/>
      <c r="JHY34" s="16"/>
      <c r="JHZ34" s="16"/>
      <c r="JIA34" s="16"/>
      <c r="JIB34" s="16"/>
      <c r="JIC34" s="16"/>
      <c r="JID34" s="16"/>
      <c r="JIE34" s="16"/>
      <c r="JIF34" s="16"/>
      <c r="JIG34" s="16"/>
      <c r="JIH34" s="16"/>
      <c r="JII34" s="16"/>
      <c r="JIJ34" s="16"/>
      <c r="JIK34" s="16"/>
      <c r="JIL34" s="16"/>
      <c r="JIM34" s="16"/>
      <c r="JIN34" s="16"/>
      <c r="JIO34" s="16"/>
      <c r="JIP34" s="16"/>
      <c r="JIQ34" s="16"/>
      <c r="JIR34" s="16"/>
      <c r="JIS34" s="16"/>
      <c r="JIT34" s="16"/>
      <c r="JIU34" s="16"/>
      <c r="JIV34" s="16"/>
      <c r="JIW34" s="16"/>
      <c r="JIX34" s="16"/>
      <c r="JIY34" s="16"/>
      <c r="JIZ34" s="16"/>
      <c r="JJA34" s="16"/>
      <c r="JJB34" s="16"/>
      <c r="JJC34" s="16"/>
      <c r="JJD34" s="16"/>
      <c r="JJE34" s="16"/>
      <c r="JJF34" s="16"/>
      <c r="JJG34" s="16"/>
      <c r="JJH34" s="16"/>
      <c r="JJI34" s="16"/>
      <c r="JJJ34" s="16"/>
      <c r="JJK34" s="16"/>
      <c r="JJL34" s="16"/>
      <c r="JJM34" s="16"/>
      <c r="JJN34" s="16"/>
      <c r="JJO34" s="16"/>
      <c r="JJP34" s="16"/>
      <c r="JJQ34" s="16"/>
      <c r="JJR34" s="16"/>
      <c r="JJS34" s="16"/>
      <c r="JJT34" s="16"/>
      <c r="JJU34" s="16"/>
      <c r="JJV34" s="16"/>
      <c r="JJW34" s="16"/>
      <c r="JJX34" s="16"/>
      <c r="JJY34" s="16"/>
      <c r="JJZ34" s="16"/>
      <c r="JKA34" s="16"/>
      <c r="JKB34" s="16"/>
      <c r="JKC34" s="16"/>
      <c r="JKD34" s="16"/>
      <c r="JKE34" s="16"/>
      <c r="JKF34" s="16"/>
      <c r="JKG34" s="16"/>
      <c r="JKH34" s="16"/>
      <c r="JKI34" s="16"/>
      <c r="JKJ34" s="16"/>
      <c r="JKK34" s="16"/>
      <c r="JKL34" s="16"/>
      <c r="JKM34" s="16"/>
      <c r="JKN34" s="16"/>
      <c r="JKO34" s="16"/>
      <c r="JKP34" s="16"/>
      <c r="JKQ34" s="16"/>
      <c r="JKR34" s="16"/>
      <c r="JKS34" s="16"/>
      <c r="JKT34" s="16"/>
      <c r="JKU34" s="16"/>
      <c r="JKV34" s="16"/>
      <c r="JKW34" s="16"/>
      <c r="JKX34" s="16"/>
      <c r="JKY34" s="16"/>
      <c r="JKZ34" s="16"/>
      <c r="JLA34" s="16"/>
      <c r="JLB34" s="16"/>
      <c r="JLC34" s="16"/>
      <c r="JLD34" s="16"/>
      <c r="JLE34" s="16"/>
      <c r="JLF34" s="16"/>
      <c r="JLG34" s="16"/>
      <c r="JLH34" s="16"/>
      <c r="JLI34" s="16"/>
      <c r="JLJ34" s="16"/>
      <c r="JLK34" s="16"/>
      <c r="JLL34" s="16"/>
      <c r="JLM34" s="16"/>
      <c r="JLN34" s="16"/>
      <c r="JLO34" s="16"/>
      <c r="JLP34" s="16"/>
      <c r="JLQ34" s="16"/>
      <c r="JLR34" s="16"/>
      <c r="JLS34" s="16"/>
      <c r="JLT34" s="16"/>
      <c r="JLU34" s="16"/>
      <c r="JLV34" s="16"/>
      <c r="JLW34" s="16"/>
      <c r="JLX34" s="16"/>
      <c r="JLY34" s="16"/>
      <c r="JLZ34" s="16"/>
      <c r="JMA34" s="16"/>
      <c r="JMB34" s="16"/>
      <c r="JMC34" s="16"/>
      <c r="JMD34" s="16"/>
      <c r="JME34" s="16"/>
      <c r="JMF34" s="16"/>
      <c r="JMG34" s="16"/>
      <c r="JMH34" s="16"/>
      <c r="JMI34" s="16"/>
      <c r="JMJ34" s="16"/>
      <c r="JMK34" s="16"/>
      <c r="JML34" s="16"/>
      <c r="JMM34" s="16"/>
      <c r="JMN34" s="16"/>
      <c r="JMO34" s="16"/>
      <c r="JMP34" s="16"/>
      <c r="JMQ34" s="16"/>
      <c r="JMR34" s="16"/>
      <c r="JMS34" s="16"/>
      <c r="JMT34" s="16"/>
      <c r="JMU34" s="16"/>
      <c r="JMV34" s="16"/>
      <c r="JMW34" s="16"/>
      <c r="JMX34" s="16"/>
      <c r="JMY34" s="16"/>
      <c r="JMZ34" s="16"/>
      <c r="JNA34" s="16"/>
      <c r="JNB34" s="16"/>
      <c r="JNC34" s="16"/>
      <c r="JND34" s="16"/>
      <c r="JNE34" s="16"/>
      <c r="JNF34" s="16"/>
      <c r="JNG34" s="16"/>
      <c r="JNH34" s="16"/>
      <c r="JNI34" s="16"/>
      <c r="JNJ34" s="16"/>
      <c r="JNK34" s="16"/>
      <c r="JNL34" s="16"/>
      <c r="JNM34" s="16"/>
      <c r="JNN34" s="16"/>
      <c r="JNO34" s="16"/>
      <c r="JNP34" s="16"/>
      <c r="JNQ34" s="16"/>
      <c r="JNR34" s="16"/>
      <c r="JNS34" s="16"/>
      <c r="JNT34" s="16"/>
      <c r="JNU34" s="16"/>
      <c r="JNV34" s="16"/>
      <c r="JNW34" s="16"/>
      <c r="JNX34" s="16"/>
      <c r="JNY34" s="16"/>
      <c r="JNZ34" s="16"/>
      <c r="JOA34" s="16"/>
      <c r="JOB34" s="16"/>
      <c r="JOC34" s="16"/>
      <c r="JOD34" s="16"/>
      <c r="JOE34" s="16"/>
      <c r="JOF34" s="16"/>
      <c r="JOG34" s="16"/>
      <c r="JOH34" s="16"/>
      <c r="JOI34" s="16"/>
      <c r="JOJ34" s="16"/>
      <c r="JOK34" s="16"/>
      <c r="JOL34" s="16"/>
      <c r="JOM34" s="16"/>
      <c r="JON34" s="16"/>
      <c r="JOO34" s="16"/>
      <c r="JOP34" s="16"/>
      <c r="JOQ34" s="16"/>
      <c r="JOR34" s="16"/>
      <c r="JOS34" s="16"/>
      <c r="JOT34" s="16"/>
      <c r="JOU34" s="16"/>
      <c r="JOV34" s="16"/>
      <c r="JOW34" s="16"/>
      <c r="JOX34" s="16"/>
      <c r="JOY34" s="16"/>
      <c r="JOZ34" s="16"/>
      <c r="JPA34" s="16"/>
      <c r="JPB34" s="16"/>
      <c r="JPC34" s="16"/>
      <c r="JPD34" s="16"/>
      <c r="JPE34" s="16"/>
      <c r="JPF34" s="16"/>
      <c r="JPG34" s="16"/>
      <c r="JPH34" s="16"/>
      <c r="JPI34" s="16"/>
      <c r="JPJ34" s="16"/>
      <c r="JPK34" s="16"/>
      <c r="JPL34" s="16"/>
      <c r="JPM34" s="16"/>
      <c r="JPN34" s="16"/>
      <c r="JPO34" s="16"/>
      <c r="JPP34" s="16"/>
      <c r="JPQ34" s="16"/>
      <c r="JPR34" s="16"/>
      <c r="JPS34" s="16"/>
      <c r="JPT34" s="16"/>
      <c r="JPU34" s="16"/>
      <c r="JPV34" s="16"/>
      <c r="JPW34" s="16"/>
      <c r="JPX34" s="16"/>
      <c r="JPY34" s="16"/>
      <c r="JPZ34" s="16"/>
      <c r="JQA34" s="16"/>
      <c r="JQB34" s="16"/>
      <c r="JQC34" s="16"/>
      <c r="JQD34" s="16"/>
      <c r="JQE34" s="16"/>
      <c r="JQF34" s="16"/>
      <c r="JQG34" s="16"/>
      <c r="JQH34" s="16"/>
      <c r="JQI34" s="16"/>
      <c r="JQJ34" s="16"/>
      <c r="JQK34" s="16"/>
      <c r="JQL34" s="16"/>
      <c r="JQM34" s="16"/>
      <c r="JQN34" s="16"/>
      <c r="JQO34" s="16"/>
      <c r="JQP34" s="16"/>
      <c r="JQQ34" s="16"/>
      <c r="JQR34" s="16"/>
      <c r="JQS34" s="16"/>
      <c r="JQT34" s="16"/>
      <c r="JQU34" s="16"/>
      <c r="JQV34" s="16"/>
      <c r="JQW34" s="16"/>
      <c r="JQX34" s="16"/>
      <c r="JQY34" s="16"/>
      <c r="JQZ34" s="16"/>
      <c r="JRA34" s="16"/>
      <c r="JRB34" s="16"/>
      <c r="JRC34" s="16"/>
      <c r="JRD34" s="16"/>
      <c r="JRE34" s="16"/>
      <c r="JRF34" s="16"/>
      <c r="JRG34" s="16"/>
      <c r="JRH34" s="16"/>
      <c r="JRI34" s="16"/>
      <c r="JRJ34" s="16"/>
      <c r="JRK34" s="16"/>
      <c r="JRL34" s="16"/>
      <c r="JRM34" s="16"/>
      <c r="JRN34" s="16"/>
      <c r="JRO34" s="16"/>
      <c r="JRP34" s="16"/>
      <c r="JRQ34" s="16"/>
      <c r="JRR34" s="16"/>
      <c r="JRS34" s="16"/>
      <c r="JRT34" s="16"/>
      <c r="JRU34" s="16"/>
      <c r="JRV34" s="16"/>
      <c r="JRW34" s="16"/>
      <c r="JRX34" s="16"/>
      <c r="JRY34" s="16"/>
      <c r="JRZ34" s="16"/>
      <c r="JSA34" s="16"/>
      <c r="JSB34" s="16"/>
      <c r="JSC34" s="16"/>
      <c r="JSD34" s="16"/>
      <c r="JSE34" s="16"/>
      <c r="JSF34" s="16"/>
      <c r="JSG34" s="16"/>
      <c r="JSH34" s="16"/>
      <c r="JSI34" s="16"/>
      <c r="JSJ34" s="16"/>
      <c r="JSK34" s="16"/>
      <c r="JSL34" s="16"/>
      <c r="JSM34" s="16"/>
      <c r="JSN34" s="16"/>
      <c r="JSO34" s="16"/>
      <c r="JSP34" s="16"/>
      <c r="JSQ34" s="16"/>
      <c r="JSR34" s="16"/>
      <c r="JSS34" s="16"/>
      <c r="JST34" s="16"/>
      <c r="JSU34" s="16"/>
      <c r="JSV34" s="16"/>
      <c r="JSW34" s="16"/>
      <c r="JSX34" s="16"/>
      <c r="JSY34" s="16"/>
      <c r="JSZ34" s="16"/>
      <c r="JTA34" s="16"/>
      <c r="JTB34" s="16"/>
      <c r="JTC34" s="16"/>
      <c r="JTD34" s="16"/>
      <c r="JTE34" s="16"/>
      <c r="JTF34" s="16"/>
      <c r="JTG34" s="16"/>
      <c r="JTH34" s="16"/>
      <c r="JTI34" s="16"/>
      <c r="JTJ34" s="16"/>
      <c r="JTK34" s="16"/>
      <c r="JTL34" s="16"/>
      <c r="JTM34" s="16"/>
      <c r="JTN34" s="16"/>
      <c r="JTO34" s="16"/>
      <c r="JTP34" s="16"/>
      <c r="JTQ34" s="16"/>
      <c r="JTR34" s="16"/>
      <c r="JTS34" s="16"/>
      <c r="JTT34" s="16"/>
      <c r="JTU34" s="16"/>
      <c r="JTV34" s="16"/>
      <c r="JTW34" s="16"/>
      <c r="JTX34" s="16"/>
      <c r="JTY34" s="16"/>
      <c r="JTZ34" s="16"/>
      <c r="JUA34" s="16"/>
      <c r="JUB34" s="16"/>
      <c r="JUC34" s="16"/>
      <c r="JUD34" s="16"/>
      <c r="JUE34" s="16"/>
      <c r="JUF34" s="16"/>
      <c r="JUG34" s="16"/>
      <c r="JUH34" s="16"/>
      <c r="JUI34" s="16"/>
      <c r="JUJ34" s="16"/>
      <c r="JUK34" s="16"/>
      <c r="JUL34" s="16"/>
      <c r="JUM34" s="16"/>
      <c r="JUN34" s="16"/>
      <c r="JUO34" s="16"/>
      <c r="JUP34" s="16"/>
      <c r="JUQ34" s="16"/>
      <c r="JUR34" s="16"/>
      <c r="JUS34" s="16"/>
      <c r="JUT34" s="16"/>
      <c r="JUU34" s="16"/>
      <c r="JUV34" s="16"/>
      <c r="JUW34" s="16"/>
      <c r="JUX34" s="16"/>
      <c r="JUY34" s="16"/>
      <c r="JUZ34" s="16"/>
      <c r="JVA34" s="16"/>
      <c r="JVB34" s="16"/>
      <c r="JVC34" s="16"/>
      <c r="JVD34" s="16"/>
      <c r="JVE34" s="16"/>
      <c r="JVF34" s="16"/>
      <c r="JVG34" s="16"/>
      <c r="JVH34" s="16"/>
      <c r="JVI34" s="16"/>
      <c r="JVJ34" s="16"/>
      <c r="JVK34" s="16"/>
      <c r="JVL34" s="16"/>
      <c r="JVM34" s="16"/>
      <c r="JVN34" s="16"/>
      <c r="JVO34" s="16"/>
      <c r="JVP34" s="16"/>
      <c r="JVQ34" s="16"/>
      <c r="JVR34" s="16"/>
      <c r="JVS34" s="16"/>
      <c r="JVT34" s="16"/>
      <c r="JVU34" s="16"/>
      <c r="JVV34" s="16"/>
      <c r="JVW34" s="16"/>
      <c r="JVX34" s="16"/>
      <c r="JVY34" s="16"/>
      <c r="JVZ34" s="16"/>
      <c r="JWA34" s="16"/>
      <c r="JWB34" s="16"/>
      <c r="JWC34" s="16"/>
      <c r="JWD34" s="16"/>
      <c r="JWE34" s="16"/>
      <c r="JWF34" s="16"/>
      <c r="JWG34" s="16"/>
      <c r="JWH34" s="16"/>
      <c r="JWI34" s="16"/>
      <c r="JWJ34" s="16"/>
      <c r="JWK34" s="16"/>
      <c r="JWL34" s="16"/>
      <c r="JWM34" s="16"/>
      <c r="JWN34" s="16"/>
      <c r="JWO34" s="16"/>
      <c r="JWP34" s="16"/>
      <c r="JWQ34" s="16"/>
      <c r="JWR34" s="16"/>
      <c r="JWS34" s="16"/>
      <c r="JWT34" s="16"/>
      <c r="JWU34" s="16"/>
      <c r="JWV34" s="16"/>
      <c r="JWW34" s="16"/>
      <c r="JWX34" s="16"/>
      <c r="JWY34" s="16"/>
      <c r="JWZ34" s="16"/>
      <c r="JXA34" s="16"/>
      <c r="JXB34" s="16"/>
      <c r="JXC34" s="16"/>
      <c r="JXD34" s="16"/>
      <c r="JXE34" s="16"/>
      <c r="JXF34" s="16"/>
      <c r="JXG34" s="16"/>
      <c r="JXH34" s="16"/>
      <c r="JXI34" s="16"/>
      <c r="JXJ34" s="16"/>
      <c r="JXK34" s="16"/>
      <c r="JXL34" s="16"/>
      <c r="JXM34" s="16"/>
      <c r="JXN34" s="16"/>
      <c r="JXO34" s="16"/>
      <c r="JXP34" s="16"/>
      <c r="JXQ34" s="16"/>
      <c r="JXR34" s="16"/>
      <c r="JXS34" s="16"/>
      <c r="JXT34" s="16"/>
      <c r="JXU34" s="16"/>
      <c r="JXV34" s="16"/>
      <c r="JXW34" s="16"/>
      <c r="JXX34" s="16"/>
      <c r="JXY34" s="16"/>
      <c r="JXZ34" s="16"/>
      <c r="JYA34" s="16"/>
      <c r="JYB34" s="16"/>
      <c r="JYC34" s="16"/>
      <c r="JYD34" s="16"/>
      <c r="JYE34" s="16"/>
      <c r="JYF34" s="16"/>
      <c r="JYG34" s="16"/>
      <c r="JYH34" s="16"/>
      <c r="JYI34" s="16"/>
      <c r="JYJ34" s="16"/>
      <c r="JYK34" s="16"/>
      <c r="JYL34" s="16"/>
      <c r="JYM34" s="16"/>
      <c r="JYN34" s="16"/>
      <c r="JYO34" s="16"/>
      <c r="JYP34" s="16"/>
      <c r="JYQ34" s="16"/>
      <c r="JYR34" s="16"/>
      <c r="JYS34" s="16"/>
      <c r="JYT34" s="16"/>
      <c r="JYU34" s="16"/>
      <c r="JYV34" s="16"/>
      <c r="JYW34" s="16"/>
      <c r="JYX34" s="16"/>
      <c r="JYY34" s="16"/>
      <c r="JYZ34" s="16"/>
      <c r="JZA34" s="16"/>
      <c r="JZB34" s="16"/>
      <c r="JZC34" s="16"/>
      <c r="JZD34" s="16"/>
      <c r="JZE34" s="16"/>
      <c r="JZF34" s="16"/>
      <c r="JZG34" s="16"/>
      <c r="JZH34" s="16"/>
      <c r="JZI34" s="16"/>
      <c r="JZJ34" s="16"/>
      <c r="JZK34" s="16"/>
      <c r="JZL34" s="16"/>
      <c r="JZM34" s="16"/>
      <c r="JZN34" s="16"/>
      <c r="JZO34" s="16"/>
      <c r="JZP34" s="16"/>
      <c r="JZQ34" s="16"/>
      <c r="JZR34" s="16"/>
      <c r="JZS34" s="16"/>
      <c r="JZT34" s="16"/>
      <c r="JZU34" s="16"/>
      <c r="JZV34" s="16"/>
      <c r="JZW34" s="16"/>
      <c r="JZX34" s="16"/>
      <c r="JZY34" s="16"/>
      <c r="JZZ34" s="16"/>
      <c r="KAA34" s="16"/>
      <c r="KAB34" s="16"/>
      <c r="KAC34" s="16"/>
      <c r="KAD34" s="16"/>
      <c r="KAE34" s="16"/>
      <c r="KAF34" s="16"/>
      <c r="KAG34" s="16"/>
      <c r="KAH34" s="16"/>
      <c r="KAI34" s="16"/>
      <c r="KAJ34" s="16"/>
      <c r="KAK34" s="16"/>
      <c r="KAL34" s="16"/>
      <c r="KAM34" s="16"/>
      <c r="KAN34" s="16"/>
      <c r="KAO34" s="16"/>
      <c r="KAP34" s="16"/>
      <c r="KAQ34" s="16"/>
      <c r="KAR34" s="16"/>
      <c r="KAS34" s="16"/>
      <c r="KAT34" s="16"/>
      <c r="KAU34" s="16"/>
      <c r="KAV34" s="16"/>
      <c r="KAW34" s="16"/>
      <c r="KAX34" s="16"/>
      <c r="KAY34" s="16"/>
      <c r="KAZ34" s="16"/>
      <c r="KBA34" s="16"/>
      <c r="KBB34" s="16"/>
      <c r="KBC34" s="16"/>
      <c r="KBD34" s="16"/>
      <c r="KBE34" s="16"/>
      <c r="KBF34" s="16"/>
      <c r="KBG34" s="16"/>
      <c r="KBH34" s="16"/>
      <c r="KBI34" s="16"/>
      <c r="KBJ34" s="16"/>
      <c r="KBK34" s="16"/>
      <c r="KBL34" s="16"/>
      <c r="KBM34" s="16"/>
      <c r="KBN34" s="16"/>
      <c r="KBO34" s="16"/>
      <c r="KBP34" s="16"/>
      <c r="KBQ34" s="16"/>
      <c r="KBR34" s="16"/>
      <c r="KBS34" s="16"/>
      <c r="KBT34" s="16"/>
      <c r="KBU34" s="16"/>
      <c r="KBV34" s="16"/>
      <c r="KBW34" s="16"/>
      <c r="KBX34" s="16"/>
      <c r="KBY34" s="16"/>
      <c r="KBZ34" s="16"/>
      <c r="KCA34" s="16"/>
      <c r="KCB34" s="16"/>
      <c r="KCC34" s="16"/>
      <c r="KCD34" s="16"/>
      <c r="KCE34" s="16"/>
      <c r="KCF34" s="16"/>
      <c r="KCG34" s="16"/>
      <c r="KCH34" s="16"/>
      <c r="KCI34" s="16"/>
      <c r="KCJ34" s="16"/>
      <c r="KCK34" s="16"/>
      <c r="KCL34" s="16"/>
      <c r="KCM34" s="16"/>
      <c r="KCN34" s="16"/>
      <c r="KCO34" s="16"/>
      <c r="KCP34" s="16"/>
      <c r="KCQ34" s="16"/>
      <c r="KCR34" s="16"/>
      <c r="KCS34" s="16"/>
      <c r="KCT34" s="16"/>
      <c r="KCU34" s="16"/>
      <c r="KCV34" s="16"/>
      <c r="KCW34" s="16"/>
      <c r="KCX34" s="16"/>
      <c r="KCY34" s="16"/>
      <c r="KCZ34" s="16"/>
      <c r="KDA34" s="16"/>
      <c r="KDB34" s="16"/>
      <c r="KDC34" s="16"/>
      <c r="KDD34" s="16"/>
      <c r="KDE34" s="16"/>
      <c r="KDF34" s="16"/>
      <c r="KDG34" s="16"/>
      <c r="KDH34" s="16"/>
      <c r="KDI34" s="16"/>
      <c r="KDJ34" s="16"/>
      <c r="KDK34" s="16"/>
      <c r="KDL34" s="16"/>
      <c r="KDM34" s="16"/>
      <c r="KDN34" s="16"/>
      <c r="KDO34" s="16"/>
      <c r="KDP34" s="16"/>
      <c r="KDQ34" s="16"/>
      <c r="KDR34" s="16"/>
      <c r="KDS34" s="16"/>
      <c r="KDT34" s="16"/>
      <c r="KDU34" s="16"/>
      <c r="KDV34" s="16"/>
      <c r="KDW34" s="16"/>
      <c r="KDX34" s="16"/>
      <c r="KDY34" s="16"/>
      <c r="KDZ34" s="16"/>
      <c r="KEA34" s="16"/>
      <c r="KEB34" s="16"/>
      <c r="KEC34" s="16"/>
      <c r="KED34" s="16"/>
      <c r="KEE34" s="16"/>
      <c r="KEF34" s="16"/>
      <c r="KEG34" s="16"/>
      <c r="KEH34" s="16"/>
      <c r="KEI34" s="16"/>
      <c r="KEJ34" s="16"/>
      <c r="KEK34" s="16"/>
      <c r="KEL34" s="16"/>
      <c r="KEM34" s="16"/>
      <c r="KEN34" s="16"/>
      <c r="KEO34" s="16"/>
      <c r="KEP34" s="16"/>
      <c r="KEQ34" s="16"/>
      <c r="KER34" s="16"/>
      <c r="KES34" s="16"/>
      <c r="KET34" s="16"/>
      <c r="KEU34" s="16"/>
      <c r="KEV34" s="16"/>
      <c r="KEW34" s="16"/>
      <c r="KEX34" s="16"/>
      <c r="KEY34" s="16"/>
      <c r="KEZ34" s="16"/>
      <c r="KFA34" s="16"/>
      <c r="KFB34" s="16"/>
      <c r="KFC34" s="16"/>
      <c r="KFD34" s="16"/>
      <c r="KFE34" s="16"/>
      <c r="KFF34" s="16"/>
      <c r="KFG34" s="16"/>
      <c r="KFH34" s="16"/>
      <c r="KFI34" s="16"/>
      <c r="KFJ34" s="16"/>
      <c r="KFK34" s="16"/>
      <c r="KFL34" s="16"/>
      <c r="KFM34" s="16"/>
      <c r="KFN34" s="16"/>
      <c r="KFO34" s="16"/>
      <c r="KFP34" s="16"/>
      <c r="KFQ34" s="16"/>
      <c r="KFR34" s="16"/>
      <c r="KFS34" s="16"/>
      <c r="KFT34" s="16"/>
      <c r="KFU34" s="16"/>
      <c r="KFV34" s="16"/>
      <c r="KFW34" s="16"/>
      <c r="KFX34" s="16"/>
      <c r="KFY34" s="16"/>
      <c r="KFZ34" s="16"/>
      <c r="KGA34" s="16"/>
      <c r="KGB34" s="16"/>
      <c r="KGC34" s="16"/>
      <c r="KGD34" s="16"/>
      <c r="KGE34" s="16"/>
      <c r="KGF34" s="16"/>
      <c r="KGG34" s="16"/>
      <c r="KGH34" s="16"/>
      <c r="KGI34" s="16"/>
      <c r="KGJ34" s="16"/>
      <c r="KGK34" s="16"/>
      <c r="KGL34" s="16"/>
      <c r="KGM34" s="16"/>
      <c r="KGN34" s="16"/>
      <c r="KGO34" s="16"/>
      <c r="KGP34" s="16"/>
      <c r="KGQ34" s="16"/>
      <c r="KGR34" s="16"/>
      <c r="KGS34" s="16"/>
      <c r="KGT34" s="16"/>
      <c r="KGU34" s="16"/>
      <c r="KGV34" s="16"/>
      <c r="KGW34" s="16"/>
      <c r="KGX34" s="16"/>
      <c r="KGY34" s="16"/>
      <c r="KGZ34" s="16"/>
      <c r="KHA34" s="16"/>
      <c r="KHB34" s="16"/>
      <c r="KHC34" s="16"/>
      <c r="KHD34" s="16"/>
      <c r="KHE34" s="16"/>
      <c r="KHF34" s="16"/>
      <c r="KHG34" s="16"/>
      <c r="KHH34" s="16"/>
      <c r="KHI34" s="16"/>
      <c r="KHJ34" s="16"/>
      <c r="KHK34" s="16"/>
      <c r="KHL34" s="16"/>
      <c r="KHM34" s="16"/>
      <c r="KHN34" s="16"/>
      <c r="KHO34" s="16"/>
      <c r="KHP34" s="16"/>
      <c r="KHQ34" s="16"/>
      <c r="KHR34" s="16"/>
      <c r="KHS34" s="16"/>
      <c r="KHT34" s="16"/>
      <c r="KHU34" s="16"/>
      <c r="KHV34" s="16"/>
      <c r="KHW34" s="16"/>
      <c r="KHX34" s="16"/>
      <c r="KHY34" s="16"/>
      <c r="KHZ34" s="16"/>
      <c r="KIA34" s="16"/>
      <c r="KIB34" s="16"/>
      <c r="KIC34" s="16"/>
      <c r="KID34" s="16"/>
      <c r="KIE34" s="16"/>
      <c r="KIF34" s="16"/>
      <c r="KIG34" s="16"/>
      <c r="KIH34" s="16"/>
      <c r="KII34" s="16"/>
      <c r="KIJ34" s="16"/>
      <c r="KIK34" s="16"/>
      <c r="KIL34" s="16"/>
      <c r="KIM34" s="16"/>
      <c r="KIN34" s="16"/>
      <c r="KIO34" s="16"/>
      <c r="KIP34" s="16"/>
      <c r="KIQ34" s="16"/>
      <c r="KIR34" s="16"/>
      <c r="KIS34" s="16"/>
      <c r="KIT34" s="16"/>
      <c r="KIU34" s="16"/>
      <c r="KIV34" s="16"/>
      <c r="KIW34" s="16"/>
      <c r="KIX34" s="16"/>
      <c r="KIY34" s="16"/>
      <c r="KIZ34" s="16"/>
      <c r="KJA34" s="16"/>
      <c r="KJB34" s="16"/>
      <c r="KJC34" s="16"/>
      <c r="KJD34" s="16"/>
      <c r="KJE34" s="16"/>
      <c r="KJF34" s="16"/>
      <c r="KJG34" s="16"/>
      <c r="KJH34" s="16"/>
      <c r="KJI34" s="16"/>
      <c r="KJJ34" s="16"/>
      <c r="KJK34" s="16"/>
      <c r="KJL34" s="16"/>
      <c r="KJM34" s="16"/>
      <c r="KJN34" s="16"/>
      <c r="KJO34" s="16"/>
      <c r="KJP34" s="16"/>
      <c r="KJQ34" s="16"/>
      <c r="KJR34" s="16"/>
      <c r="KJS34" s="16"/>
      <c r="KJT34" s="16"/>
      <c r="KJU34" s="16"/>
      <c r="KJV34" s="16"/>
      <c r="KJW34" s="16"/>
      <c r="KJX34" s="16"/>
      <c r="KJY34" s="16"/>
      <c r="KJZ34" s="16"/>
      <c r="KKA34" s="16"/>
      <c r="KKB34" s="16"/>
      <c r="KKC34" s="16"/>
      <c r="KKD34" s="16"/>
      <c r="KKE34" s="16"/>
      <c r="KKF34" s="16"/>
      <c r="KKG34" s="16"/>
      <c r="KKH34" s="16"/>
      <c r="KKI34" s="16"/>
      <c r="KKJ34" s="16"/>
      <c r="KKK34" s="16"/>
      <c r="KKL34" s="16"/>
      <c r="KKM34" s="16"/>
      <c r="KKN34" s="16"/>
      <c r="KKO34" s="16"/>
      <c r="KKP34" s="16"/>
      <c r="KKQ34" s="16"/>
      <c r="KKR34" s="16"/>
      <c r="KKS34" s="16"/>
      <c r="KKT34" s="16"/>
      <c r="KKU34" s="16"/>
      <c r="KKV34" s="16"/>
      <c r="KKW34" s="16"/>
      <c r="KKX34" s="16"/>
      <c r="KKY34" s="16"/>
      <c r="KKZ34" s="16"/>
      <c r="KLA34" s="16"/>
      <c r="KLB34" s="16"/>
      <c r="KLC34" s="16"/>
      <c r="KLD34" s="16"/>
      <c r="KLE34" s="16"/>
      <c r="KLF34" s="16"/>
      <c r="KLG34" s="16"/>
      <c r="KLH34" s="16"/>
      <c r="KLI34" s="16"/>
      <c r="KLJ34" s="16"/>
      <c r="KLK34" s="16"/>
      <c r="KLL34" s="16"/>
      <c r="KLM34" s="16"/>
      <c r="KLN34" s="16"/>
      <c r="KLO34" s="16"/>
      <c r="KLP34" s="16"/>
      <c r="KLQ34" s="16"/>
      <c r="KLR34" s="16"/>
      <c r="KLS34" s="16"/>
      <c r="KLT34" s="16"/>
      <c r="KLU34" s="16"/>
      <c r="KLV34" s="16"/>
      <c r="KLW34" s="16"/>
      <c r="KLX34" s="16"/>
      <c r="KLY34" s="16"/>
      <c r="KLZ34" s="16"/>
      <c r="KMA34" s="16"/>
      <c r="KMB34" s="16"/>
      <c r="KMC34" s="16"/>
      <c r="KMD34" s="16"/>
      <c r="KME34" s="16"/>
      <c r="KMF34" s="16"/>
      <c r="KMG34" s="16"/>
      <c r="KMH34" s="16"/>
      <c r="KMI34" s="16"/>
      <c r="KMJ34" s="16"/>
      <c r="KMK34" s="16"/>
      <c r="KML34" s="16"/>
      <c r="KMM34" s="16"/>
      <c r="KMN34" s="16"/>
      <c r="KMO34" s="16"/>
      <c r="KMP34" s="16"/>
      <c r="KMQ34" s="16"/>
      <c r="KMR34" s="16"/>
      <c r="KMS34" s="16"/>
      <c r="KMT34" s="16"/>
      <c r="KMU34" s="16"/>
      <c r="KMV34" s="16"/>
      <c r="KMW34" s="16"/>
      <c r="KMX34" s="16"/>
      <c r="KMY34" s="16"/>
      <c r="KMZ34" s="16"/>
      <c r="KNA34" s="16"/>
      <c r="KNB34" s="16"/>
      <c r="KNC34" s="16"/>
      <c r="KND34" s="16"/>
      <c r="KNE34" s="16"/>
      <c r="KNF34" s="16"/>
      <c r="KNG34" s="16"/>
      <c r="KNH34" s="16"/>
      <c r="KNI34" s="16"/>
      <c r="KNJ34" s="16"/>
      <c r="KNK34" s="16"/>
      <c r="KNL34" s="16"/>
      <c r="KNM34" s="16"/>
      <c r="KNN34" s="16"/>
      <c r="KNO34" s="16"/>
      <c r="KNP34" s="16"/>
      <c r="KNQ34" s="16"/>
      <c r="KNR34" s="16"/>
      <c r="KNS34" s="16"/>
      <c r="KNT34" s="16"/>
      <c r="KNU34" s="16"/>
      <c r="KNV34" s="16"/>
      <c r="KNW34" s="16"/>
      <c r="KNX34" s="16"/>
      <c r="KNY34" s="16"/>
      <c r="KNZ34" s="16"/>
      <c r="KOA34" s="16"/>
      <c r="KOB34" s="16"/>
      <c r="KOC34" s="16"/>
      <c r="KOD34" s="16"/>
      <c r="KOE34" s="16"/>
      <c r="KOF34" s="16"/>
      <c r="KOG34" s="16"/>
      <c r="KOH34" s="16"/>
      <c r="KOI34" s="16"/>
      <c r="KOJ34" s="16"/>
      <c r="KOK34" s="16"/>
      <c r="KOL34" s="16"/>
      <c r="KOM34" s="16"/>
      <c r="KON34" s="16"/>
      <c r="KOO34" s="16"/>
      <c r="KOP34" s="16"/>
      <c r="KOQ34" s="16"/>
      <c r="KOR34" s="16"/>
      <c r="KOS34" s="16"/>
      <c r="KOT34" s="16"/>
      <c r="KOU34" s="16"/>
      <c r="KOV34" s="16"/>
      <c r="KOW34" s="16"/>
      <c r="KOX34" s="16"/>
      <c r="KOY34" s="16"/>
      <c r="KOZ34" s="16"/>
      <c r="KPA34" s="16"/>
      <c r="KPB34" s="16"/>
      <c r="KPC34" s="16"/>
      <c r="KPD34" s="16"/>
      <c r="KPE34" s="16"/>
      <c r="KPF34" s="16"/>
      <c r="KPG34" s="16"/>
      <c r="KPH34" s="16"/>
      <c r="KPI34" s="16"/>
      <c r="KPJ34" s="16"/>
      <c r="KPK34" s="16"/>
      <c r="KPL34" s="16"/>
      <c r="KPM34" s="16"/>
      <c r="KPN34" s="16"/>
      <c r="KPO34" s="16"/>
      <c r="KPP34" s="16"/>
      <c r="KPQ34" s="16"/>
      <c r="KPR34" s="16"/>
      <c r="KPS34" s="16"/>
      <c r="KPT34" s="16"/>
      <c r="KPU34" s="16"/>
      <c r="KPV34" s="16"/>
      <c r="KPW34" s="16"/>
      <c r="KPX34" s="16"/>
      <c r="KPY34" s="16"/>
      <c r="KPZ34" s="16"/>
      <c r="KQA34" s="16"/>
      <c r="KQB34" s="16"/>
      <c r="KQC34" s="16"/>
      <c r="KQD34" s="16"/>
      <c r="KQE34" s="16"/>
      <c r="KQF34" s="16"/>
      <c r="KQG34" s="16"/>
      <c r="KQH34" s="16"/>
      <c r="KQI34" s="16"/>
      <c r="KQJ34" s="16"/>
      <c r="KQK34" s="16"/>
      <c r="KQL34" s="16"/>
      <c r="KQM34" s="16"/>
      <c r="KQN34" s="16"/>
      <c r="KQO34" s="16"/>
      <c r="KQP34" s="16"/>
      <c r="KQQ34" s="16"/>
      <c r="KQR34" s="16"/>
      <c r="KQS34" s="16"/>
      <c r="KQT34" s="16"/>
      <c r="KQU34" s="16"/>
      <c r="KQV34" s="16"/>
      <c r="KQW34" s="16"/>
      <c r="KQX34" s="16"/>
      <c r="KQY34" s="16"/>
      <c r="KQZ34" s="16"/>
      <c r="KRA34" s="16"/>
      <c r="KRB34" s="16"/>
      <c r="KRC34" s="16"/>
      <c r="KRD34" s="16"/>
      <c r="KRE34" s="16"/>
      <c r="KRF34" s="16"/>
      <c r="KRG34" s="16"/>
      <c r="KRH34" s="16"/>
      <c r="KRI34" s="16"/>
      <c r="KRJ34" s="16"/>
      <c r="KRK34" s="16"/>
      <c r="KRL34" s="16"/>
      <c r="KRM34" s="16"/>
      <c r="KRN34" s="16"/>
      <c r="KRO34" s="16"/>
      <c r="KRP34" s="16"/>
      <c r="KRQ34" s="16"/>
      <c r="KRR34" s="16"/>
      <c r="KRS34" s="16"/>
      <c r="KRT34" s="16"/>
      <c r="KRU34" s="16"/>
      <c r="KRV34" s="16"/>
      <c r="KRW34" s="16"/>
      <c r="KRX34" s="16"/>
      <c r="KRY34" s="16"/>
      <c r="KRZ34" s="16"/>
      <c r="KSA34" s="16"/>
      <c r="KSB34" s="16"/>
      <c r="KSC34" s="16"/>
      <c r="KSD34" s="16"/>
      <c r="KSE34" s="16"/>
      <c r="KSF34" s="16"/>
      <c r="KSG34" s="16"/>
      <c r="KSH34" s="16"/>
      <c r="KSI34" s="16"/>
      <c r="KSJ34" s="16"/>
      <c r="KSK34" s="16"/>
      <c r="KSL34" s="16"/>
      <c r="KSM34" s="16"/>
      <c r="KSN34" s="16"/>
      <c r="KSO34" s="16"/>
      <c r="KSP34" s="16"/>
      <c r="KSQ34" s="16"/>
      <c r="KSR34" s="16"/>
      <c r="KSS34" s="16"/>
      <c r="KST34" s="16"/>
      <c r="KSU34" s="16"/>
      <c r="KSV34" s="16"/>
      <c r="KSW34" s="16"/>
      <c r="KSX34" s="16"/>
      <c r="KSY34" s="16"/>
      <c r="KSZ34" s="16"/>
      <c r="KTA34" s="16"/>
      <c r="KTB34" s="16"/>
      <c r="KTC34" s="16"/>
      <c r="KTD34" s="16"/>
      <c r="KTE34" s="16"/>
      <c r="KTF34" s="16"/>
      <c r="KTG34" s="16"/>
      <c r="KTH34" s="16"/>
      <c r="KTI34" s="16"/>
      <c r="KTJ34" s="16"/>
      <c r="KTK34" s="16"/>
      <c r="KTL34" s="16"/>
      <c r="KTM34" s="16"/>
      <c r="KTN34" s="16"/>
      <c r="KTO34" s="16"/>
      <c r="KTP34" s="16"/>
      <c r="KTQ34" s="16"/>
      <c r="KTR34" s="16"/>
      <c r="KTS34" s="16"/>
      <c r="KTT34" s="16"/>
      <c r="KTU34" s="16"/>
      <c r="KTV34" s="16"/>
      <c r="KTW34" s="16"/>
      <c r="KTX34" s="16"/>
      <c r="KTY34" s="16"/>
      <c r="KTZ34" s="16"/>
      <c r="KUA34" s="16"/>
      <c r="KUB34" s="16"/>
      <c r="KUC34" s="16"/>
      <c r="KUD34" s="16"/>
      <c r="KUE34" s="16"/>
      <c r="KUF34" s="16"/>
      <c r="KUG34" s="16"/>
      <c r="KUH34" s="16"/>
      <c r="KUI34" s="16"/>
      <c r="KUJ34" s="16"/>
      <c r="KUK34" s="16"/>
      <c r="KUL34" s="16"/>
      <c r="KUM34" s="16"/>
      <c r="KUN34" s="16"/>
      <c r="KUO34" s="16"/>
      <c r="KUP34" s="16"/>
      <c r="KUQ34" s="16"/>
      <c r="KUR34" s="16"/>
      <c r="KUS34" s="16"/>
      <c r="KUT34" s="16"/>
      <c r="KUU34" s="16"/>
      <c r="KUV34" s="16"/>
      <c r="KUW34" s="16"/>
      <c r="KUX34" s="16"/>
      <c r="KUY34" s="16"/>
      <c r="KUZ34" s="16"/>
      <c r="KVA34" s="16"/>
      <c r="KVB34" s="16"/>
      <c r="KVC34" s="16"/>
      <c r="KVD34" s="16"/>
      <c r="KVE34" s="16"/>
      <c r="KVF34" s="16"/>
      <c r="KVG34" s="16"/>
      <c r="KVH34" s="16"/>
      <c r="KVI34" s="16"/>
      <c r="KVJ34" s="16"/>
      <c r="KVK34" s="16"/>
      <c r="KVL34" s="16"/>
      <c r="KVM34" s="16"/>
      <c r="KVN34" s="16"/>
      <c r="KVO34" s="16"/>
      <c r="KVP34" s="16"/>
      <c r="KVQ34" s="16"/>
      <c r="KVR34" s="16"/>
      <c r="KVS34" s="16"/>
      <c r="KVT34" s="16"/>
      <c r="KVU34" s="16"/>
      <c r="KVV34" s="16"/>
      <c r="KVW34" s="16"/>
      <c r="KVX34" s="16"/>
      <c r="KVY34" s="16"/>
      <c r="KVZ34" s="16"/>
      <c r="KWA34" s="16"/>
      <c r="KWB34" s="16"/>
      <c r="KWC34" s="16"/>
      <c r="KWD34" s="16"/>
      <c r="KWE34" s="16"/>
      <c r="KWF34" s="16"/>
      <c r="KWG34" s="16"/>
      <c r="KWH34" s="16"/>
      <c r="KWI34" s="16"/>
      <c r="KWJ34" s="16"/>
      <c r="KWK34" s="16"/>
      <c r="KWL34" s="16"/>
      <c r="KWM34" s="16"/>
      <c r="KWN34" s="16"/>
      <c r="KWO34" s="16"/>
      <c r="KWP34" s="16"/>
      <c r="KWQ34" s="16"/>
      <c r="KWR34" s="16"/>
      <c r="KWS34" s="16"/>
      <c r="KWT34" s="16"/>
      <c r="KWU34" s="16"/>
      <c r="KWV34" s="16"/>
      <c r="KWW34" s="16"/>
      <c r="KWX34" s="16"/>
      <c r="KWY34" s="16"/>
      <c r="KWZ34" s="16"/>
      <c r="KXA34" s="16"/>
      <c r="KXB34" s="16"/>
      <c r="KXC34" s="16"/>
      <c r="KXD34" s="16"/>
      <c r="KXE34" s="16"/>
      <c r="KXF34" s="16"/>
      <c r="KXG34" s="16"/>
      <c r="KXH34" s="16"/>
      <c r="KXI34" s="16"/>
      <c r="KXJ34" s="16"/>
      <c r="KXK34" s="16"/>
      <c r="KXL34" s="16"/>
      <c r="KXM34" s="16"/>
      <c r="KXN34" s="16"/>
      <c r="KXO34" s="16"/>
      <c r="KXP34" s="16"/>
      <c r="KXQ34" s="16"/>
      <c r="KXR34" s="16"/>
      <c r="KXS34" s="16"/>
      <c r="KXT34" s="16"/>
      <c r="KXU34" s="16"/>
      <c r="KXV34" s="16"/>
      <c r="KXW34" s="16"/>
      <c r="KXX34" s="16"/>
      <c r="KXY34" s="16"/>
      <c r="KXZ34" s="16"/>
      <c r="KYA34" s="16"/>
      <c r="KYB34" s="16"/>
      <c r="KYC34" s="16"/>
      <c r="KYD34" s="16"/>
      <c r="KYE34" s="16"/>
      <c r="KYF34" s="16"/>
      <c r="KYG34" s="16"/>
      <c r="KYH34" s="16"/>
      <c r="KYI34" s="16"/>
      <c r="KYJ34" s="16"/>
      <c r="KYK34" s="16"/>
      <c r="KYL34" s="16"/>
      <c r="KYM34" s="16"/>
      <c r="KYN34" s="16"/>
      <c r="KYO34" s="16"/>
      <c r="KYP34" s="16"/>
      <c r="KYQ34" s="16"/>
      <c r="KYR34" s="16"/>
      <c r="KYS34" s="16"/>
      <c r="KYT34" s="16"/>
      <c r="KYU34" s="16"/>
      <c r="KYV34" s="16"/>
      <c r="KYW34" s="16"/>
      <c r="KYX34" s="16"/>
      <c r="KYY34" s="16"/>
      <c r="KYZ34" s="16"/>
      <c r="KZA34" s="16"/>
      <c r="KZB34" s="16"/>
      <c r="KZC34" s="16"/>
      <c r="KZD34" s="16"/>
      <c r="KZE34" s="16"/>
      <c r="KZF34" s="16"/>
      <c r="KZG34" s="16"/>
      <c r="KZH34" s="16"/>
      <c r="KZI34" s="16"/>
      <c r="KZJ34" s="16"/>
      <c r="KZK34" s="16"/>
      <c r="KZL34" s="16"/>
      <c r="KZM34" s="16"/>
      <c r="KZN34" s="16"/>
      <c r="KZO34" s="16"/>
      <c r="KZP34" s="16"/>
      <c r="KZQ34" s="16"/>
      <c r="KZR34" s="16"/>
      <c r="KZS34" s="16"/>
      <c r="KZT34" s="16"/>
      <c r="KZU34" s="16"/>
      <c r="KZV34" s="16"/>
      <c r="KZW34" s="16"/>
      <c r="KZX34" s="16"/>
      <c r="KZY34" s="16"/>
      <c r="KZZ34" s="16"/>
      <c r="LAA34" s="16"/>
      <c r="LAB34" s="16"/>
      <c r="LAC34" s="16"/>
      <c r="LAD34" s="16"/>
      <c r="LAE34" s="16"/>
      <c r="LAF34" s="16"/>
      <c r="LAG34" s="16"/>
      <c r="LAH34" s="16"/>
      <c r="LAI34" s="16"/>
      <c r="LAJ34" s="16"/>
      <c r="LAK34" s="16"/>
      <c r="LAL34" s="16"/>
      <c r="LAM34" s="16"/>
      <c r="LAN34" s="16"/>
      <c r="LAO34" s="16"/>
      <c r="LAP34" s="16"/>
      <c r="LAQ34" s="16"/>
      <c r="LAR34" s="16"/>
      <c r="LAS34" s="16"/>
      <c r="LAT34" s="16"/>
      <c r="LAU34" s="16"/>
      <c r="LAV34" s="16"/>
      <c r="LAW34" s="16"/>
      <c r="LAX34" s="16"/>
      <c r="LAY34" s="16"/>
      <c r="LAZ34" s="16"/>
      <c r="LBA34" s="16"/>
      <c r="LBB34" s="16"/>
      <c r="LBC34" s="16"/>
      <c r="LBD34" s="16"/>
      <c r="LBE34" s="16"/>
      <c r="LBF34" s="16"/>
      <c r="LBG34" s="16"/>
      <c r="LBH34" s="16"/>
      <c r="LBI34" s="16"/>
      <c r="LBJ34" s="16"/>
      <c r="LBK34" s="16"/>
      <c r="LBL34" s="16"/>
      <c r="LBM34" s="16"/>
      <c r="LBN34" s="16"/>
      <c r="LBO34" s="16"/>
      <c r="LBP34" s="16"/>
      <c r="LBQ34" s="16"/>
      <c r="LBR34" s="16"/>
      <c r="LBS34" s="16"/>
      <c r="LBT34" s="16"/>
      <c r="LBU34" s="16"/>
      <c r="LBV34" s="16"/>
      <c r="LBW34" s="16"/>
      <c r="LBX34" s="16"/>
      <c r="LBY34" s="16"/>
      <c r="LBZ34" s="16"/>
      <c r="LCA34" s="16"/>
      <c r="LCB34" s="16"/>
      <c r="LCC34" s="16"/>
      <c r="LCD34" s="16"/>
      <c r="LCE34" s="16"/>
      <c r="LCF34" s="16"/>
      <c r="LCG34" s="16"/>
      <c r="LCH34" s="16"/>
      <c r="LCI34" s="16"/>
      <c r="LCJ34" s="16"/>
      <c r="LCK34" s="16"/>
      <c r="LCL34" s="16"/>
      <c r="LCM34" s="16"/>
      <c r="LCN34" s="16"/>
      <c r="LCO34" s="16"/>
      <c r="LCP34" s="16"/>
      <c r="LCQ34" s="16"/>
      <c r="LCR34" s="16"/>
      <c r="LCS34" s="16"/>
      <c r="LCT34" s="16"/>
      <c r="LCU34" s="16"/>
      <c r="LCV34" s="16"/>
      <c r="LCW34" s="16"/>
      <c r="LCX34" s="16"/>
      <c r="LCY34" s="16"/>
      <c r="LCZ34" s="16"/>
      <c r="LDA34" s="16"/>
      <c r="LDB34" s="16"/>
      <c r="LDC34" s="16"/>
      <c r="LDD34" s="16"/>
      <c r="LDE34" s="16"/>
      <c r="LDF34" s="16"/>
      <c r="LDG34" s="16"/>
      <c r="LDH34" s="16"/>
      <c r="LDI34" s="16"/>
      <c r="LDJ34" s="16"/>
      <c r="LDK34" s="16"/>
      <c r="LDL34" s="16"/>
      <c r="LDM34" s="16"/>
      <c r="LDN34" s="16"/>
      <c r="LDO34" s="16"/>
      <c r="LDP34" s="16"/>
      <c r="LDQ34" s="16"/>
      <c r="LDR34" s="16"/>
      <c r="LDS34" s="16"/>
      <c r="LDT34" s="16"/>
      <c r="LDU34" s="16"/>
      <c r="LDV34" s="16"/>
      <c r="LDW34" s="16"/>
      <c r="LDX34" s="16"/>
      <c r="LDY34" s="16"/>
      <c r="LDZ34" s="16"/>
      <c r="LEA34" s="16"/>
      <c r="LEB34" s="16"/>
      <c r="LEC34" s="16"/>
      <c r="LED34" s="16"/>
      <c r="LEE34" s="16"/>
      <c r="LEF34" s="16"/>
      <c r="LEG34" s="16"/>
      <c r="LEH34" s="16"/>
      <c r="LEI34" s="16"/>
      <c r="LEJ34" s="16"/>
      <c r="LEK34" s="16"/>
      <c r="LEL34" s="16"/>
      <c r="LEM34" s="16"/>
      <c r="LEN34" s="16"/>
      <c r="LEO34" s="16"/>
      <c r="LEP34" s="16"/>
      <c r="LEQ34" s="16"/>
      <c r="LER34" s="16"/>
      <c r="LES34" s="16"/>
      <c r="LET34" s="16"/>
      <c r="LEU34" s="16"/>
      <c r="LEV34" s="16"/>
      <c r="LEW34" s="16"/>
      <c r="LEX34" s="16"/>
      <c r="LEY34" s="16"/>
      <c r="LEZ34" s="16"/>
      <c r="LFA34" s="16"/>
      <c r="LFB34" s="16"/>
      <c r="LFC34" s="16"/>
      <c r="LFD34" s="16"/>
      <c r="LFE34" s="16"/>
      <c r="LFF34" s="16"/>
      <c r="LFG34" s="16"/>
      <c r="LFH34" s="16"/>
      <c r="LFI34" s="16"/>
      <c r="LFJ34" s="16"/>
      <c r="LFK34" s="16"/>
      <c r="LFL34" s="16"/>
      <c r="LFM34" s="16"/>
      <c r="LFN34" s="16"/>
      <c r="LFO34" s="16"/>
      <c r="LFP34" s="16"/>
      <c r="LFQ34" s="16"/>
      <c r="LFR34" s="16"/>
      <c r="LFS34" s="16"/>
      <c r="LFT34" s="16"/>
      <c r="LFU34" s="16"/>
      <c r="LFV34" s="16"/>
      <c r="LFW34" s="16"/>
      <c r="LFX34" s="16"/>
      <c r="LFY34" s="16"/>
      <c r="LFZ34" s="16"/>
      <c r="LGA34" s="16"/>
      <c r="LGB34" s="16"/>
      <c r="LGC34" s="16"/>
      <c r="LGD34" s="16"/>
      <c r="LGE34" s="16"/>
      <c r="LGF34" s="16"/>
      <c r="LGG34" s="16"/>
      <c r="LGH34" s="16"/>
      <c r="LGI34" s="16"/>
      <c r="LGJ34" s="16"/>
      <c r="LGK34" s="16"/>
      <c r="LGL34" s="16"/>
      <c r="LGM34" s="16"/>
      <c r="LGN34" s="16"/>
      <c r="LGO34" s="16"/>
      <c r="LGP34" s="16"/>
      <c r="LGQ34" s="16"/>
      <c r="LGR34" s="16"/>
      <c r="LGS34" s="16"/>
      <c r="LGT34" s="16"/>
      <c r="LGU34" s="16"/>
      <c r="LGV34" s="16"/>
      <c r="LGW34" s="16"/>
      <c r="LGX34" s="16"/>
      <c r="LGY34" s="16"/>
      <c r="LGZ34" s="16"/>
      <c r="LHA34" s="16"/>
      <c r="LHB34" s="16"/>
      <c r="LHC34" s="16"/>
      <c r="LHD34" s="16"/>
      <c r="LHE34" s="16"/>
      <c r="LHF34" s="16"/>
      <c r="LHG34" s="16"/>
      <c r="LHH34" s="16"/>
      <c r="LHI34" s="16"/>
      <c r="LHJ34" s="16"/>
      <c r="LHK34" s="16"/>
      <c r="LHL34" s="16"/>
      <c r="LHM34" s="16"/>
      <c r="LHN34" s="16"/>
      <c r="LHO34" s="16"/>
      <c r="LHP34" s="16"/>
      <c r="LHQ34" s="16"/>
      <c r="LHR34" s="16"/>
      <c r="LHS34" s="16"/>
      <c r="LHT34" s="16"/>
      <c r="LHU34" s="16"/>
      <c r="LHV34" s="16"/>
      <c r="LHW34" s="16"/>
      <c r="LHX34" s="16"/>
      <c r="LHY34" s="16"/>
      <c r="LHZ34" s="16"/>
      <c r="LIA34" s="16"/>
      <c r="LIB34" s="16"/>
      <c r="LIC34" s="16"/>
      <c r="LID34" s="16"/>
      <c r="LIE34" s="16"/>
      <c r="LIF34" s="16"/>
      <c r="LIG34" s="16"/>
      <c r="LIH34" s="16"/>
      <c r="LII34" s="16"/>
      <c r="LIJ34" s="16"/>
      <c r="LIK34" s="16"/>
      <c r="LIL34" s="16"/>
      <c r="LIM34" s="16"/>
      <c r="LIN34" s="16"/>
      <c r="LIO34" s="16"/>
      <c r="LIP34" s="16"/>
      <c r="LIQ34" s="16"/>
      <c r="LIR34" s="16"/>
      <c r="LIS34" s="16"/>
      <c r="LIT34" s="16"/>
      <c r="LIU34" s="16"/>
      <c r="LIV34" s="16"/>
      <c r="LIW34" s="16"/>
      <c r="LIX34" s="16"/>
      <c r="LIY34" s="16"/>
      <c r="LIZ34" s="16"/>
      <c r="LJA34" s="16"/>
      <c r="LJB34" s="16"/>
      <c r="LJC34" s="16"/>
      <c r="LJD34" s="16"/>
      <c r="LJE34" s="16"/>
      <c r="LJF34" s="16"/>
      <c r="LJG34" s="16"/>
      <c r="LJH34" s="16"/>
      <c r="LJI34" s="16"/>
      <c r="LJJ34" s="16"/>
      <c r="LJK34" s="16"/>
      <c r="LJL34" s="16"/>
      <c r="LJM34" s="16"/>
      <c r="LJN34" s="16"/>
      <c r="LJO34" s="16"/>
      <c r="LJP34" s="16"/>
      <c r="LJQ34" s="16"/>
      <c r="LJR34" s="16"/>
      <c r="LJS34" s="16"/>
      <c r="LJT34" s="16"/>
      <c r="LJU34" s="16"/>
      <c r="LJV34" s="16"/>
      <c r="LJW34" s="16"/>
      <c r="LJX34" s="16"/>
      <c r="LJY34" s="16"/>
      <c r="LJZ34" s="16"/>
      <c r="LKA34" s="16"/>
      <c r="LKB34" s="16"/>
      <c r="LKC34" s="16"/>
      <c r="LKD34" s="16"/>
      <c r="LKE34" s="16"/>
      <c r="LKF34" s="16"/>
      <c r="LKG34" s="16"/>
      <c r="LKH34" s="16"/>
      <c r="LKI34" s="16"/>
      <c r="LKJ34" s="16"/>
      <c r="LKK34" s="16"/>
      <c r="LKL34" s="16"/>
      <c r="LKM34" s="16"/>
      <c r="LKN34" s="16"/>
      <c r="LKO34" s="16"/>
      <c r="LKP34" s="16"/>
      <c r="LKQ34" s="16"/>
      <c r="LKR34" s="16"/>
      <c r="LKS34" s="16"/>
      <c r="LKT34" s="16"/>
      <c r="LKU34" s="16"/>
      <c r="LKV34" s="16"/>
      <c r="LKW34" s="16"/>
      <c r="LKX34" s="16"/>
      <c r="LKY34" s="16"/>
      <c r="LKZ34" s="16"/>
      <c r="LLA34" s="16"/>
      <c r="LLB34" s="16"/>
      <c r="LLC34" s="16"/>
      <c r="LLD34" s="16"/>
      <c r="LLE34" s="16"/>
      <c r="LLF34" s="16"/>
      <c r="LLG34" s="16"/>
      <c r="LLH34" s="16"/>
      <c r="LLI34" s="16"/>
      <c r="LLJ34" s="16"/>
      <c r="LLK34" s="16"/>
      <c r="LLL34" s="16"/>
      <c r="LLM34" s="16"/>
      <c r="LLN34" s="16"/>
      <c r="LLO34" s="16"/>
      <c r="LLP34" s="16"/>
      <c r="LLQ34" s="16"/>
      <c r="LLR34" s="16"/>
      <c r="LLS34" s="16"/>
      <c r="LLT34" s="16"/>
      <c r="LLU34" s="16"/>
      <c r="LLV34" s="16"/>
      <c r="LLW34" s="16"/>
      <c r="LLX34" s="16"/>
      <c r="LLY34" s="16"/>
      <c r="LLZ34" s="16"/>
      <c r="LMA34" s="16"/>
      <c r="LMB34" s="16"/>
      <c r="LMC34" s="16"/>
      <c r="LMD34" s="16"/>
      <c r="LME34" s="16"/>
      <c r="LMF34" s="16"/>
      <c r="LMG34" s="16"/>
      <c r="LMH34" s="16"/>
      <c r="LMI34" s="16"/>
      <c r="LMJ34" s="16"/>
      <c r="LMK34" s="16"/>
      <c r="LML34" s="16"/>
      <c r="LMM34" s="16"/>
      <c r="LMN34" s="16"/>
      <c r="LMO34" s="16"/>
      <c r="LMP34" s="16"/>
      <c r="LMQ34" s="16"/>
      <c r="LMR34" s="16"/>
      <c r="LMS34" s="16"/>
      <c r="LMT34" s="16"/>
      <c r="LMU34" s="16"/>
      <c r="LMV34" s="16"/>
      <c r="LMW34" s="16"/>
      <c r="LMX34" s="16"/>
      <c r="LMY34" s="16"/>
      <c r="LMZ34" s="16"/>
      <c r="LNA34" s="16"/>
      <c r="LNB34" s="16"/>
      <c r="LNC34" s="16"/>
      <c r="LND34" s="16"/>
      <c r="LNE34" s="16"/>
      <c r="LNF34" s="16"/>
      <c r="LNG34" s="16"/>
      <c r="LNH34" s="16"/>
      <c r="LNI34" s="16"/>
      <c r="LNJ34" s="16"/>
      <c r="LNK34" s="16"/>
      <c r="LNL34" s="16"/>
      <c r="LNM34" s="16"/>
      <c r="LNN34" s="16"/>
      <c r="LNO34" s="16"/>
      <c r="LNP34" s="16"/>
      <c r="LNQ34" s="16"/>
      <c r="LNR34" s="16"/>
      <c r="LNS34" s="16"/>
      <c r="LNT34" s="16"/>
      <c r="LNU34" s="16"/>
      <c r="LNV34" s="16"/>
      <c r="LNW34" s="16"/>
      <c r="LNX34" s="16"/>
      <c r="LNY34" s="16"/>
      <c r="LNZ34" s="16"/>
      <c r="LOA34" s="16"/>
      <c r="LOB34" s="16"/>
      <c r="LOC34" s="16"/>
      <c r="LOD34" s="16"/>
      <c r="LOE34" s="16"/>
      <c r="LOF34" s="16"/>
      <c r="LOG34" s="16"/>
      <c r="LOH34" s="16"/>
      <c r="LOI34" s="16"/>
      <c r="LOJ34" s="16"/>
      <c r="LOK34" s="16"/>
      <c r="LOL34" s="16"/>
      <c r="LOM34" s="16"/>
      <c r="LON34" s="16"/>
      <c r="LOO34" s="16"/>
      <c r="LOP34" s="16"/>
      <c r="LOQ34" s="16"/>
      <c r="LOR34" s="16"/>
      <c r="LOS34" s="16"/>
      <c r="LOT34" s="16"/>
      <c r="LOU34" s="16"/>
      <c r="LOV34" s="16"/>
      <c r="LOW34" s="16"/>
      <c r="LOX34" s="16"/>
      <c r="LOY34" s="16"/>
      <c r="LOZ34" s="16"/>
      <c r="LPA34" s="16"/>
      <c r="LPB34" s="16"/>
      <c r="LPC34" s="16"/>
      <c r="LPD34" s="16"/>
      <c r="LPE34" s="16"/>
      <c r="LPF34" s="16"/>
      <c r="LPG34" s="16"/>
      <c r="LPH34" s="16"/>
      <c r="LPI34" s="16"/>
      <c r="LPJ34" s="16"/>
      <c r="LPK34" s="16"/>
      <c r="LPL34" s="16"/>
      <c r="LPM34" s="16"/>
      <c r="LPN34" s="16"/>
      <c r="LPO34" s="16"/>
      <c r="LPP34" s="16"/>
      <c r="LPQ34" s="16"/>
      <c r="LPR34" s="16"/>
      <c r="LPS34" s="16"/>
      <c r="LPT34" s="16"/>
      <c r="LPU34" s="16"/>
      <c r="LPV34" s="16"/>
      <c r="LPW34" s="16"/>
      <c r="LPX34" s="16"/>
      <c r="LPY34" s="16"/>
      <c r="LPZ34" s="16"/>
      <c r="LQA34" s="16"/>
      <c r="LQB34" s="16"/>
      <c r="LQC34" s="16"/>
      <c r="LQD34" s="16"/>
      <c r="LQE34" s="16"/>
      <c r="LQF34" s="16"/>
      <c r="LQG34" s="16"/>
      <c r="LQH34" s="16"/>
      <c r="LQI34" s="16"/>
      <c r="LQJ34" s="16"/>
      <c r="LQK34" s="16"/>
      <c r="LQL34" s="16"/>
      <c r="LQM34" s="16"/>
      <c r="LQN34" s="16"/>
      <c r="LQO34" s="16"/>
      <c r="LQP34" s="16"/>
      <c r="LQQ34" s="16"/>
      <c r="LQR34" s="16"/>
      <c r="LQS34" s="16"/>
      <c r="LQT34" s="16"/>
      <c r="LQU34" s="16"/>
      <c r="LQV34" s="16"/>
      <c r="LQW34" s="16"/>
      <c r="LQX34" s="16"/>
      <c r="LQY34" s="16"/>
      <c r="LQZ34" s="16"/>
      <c r="LRA34" s="16"/>
      <c r="LRB34" s="16"/>
      <c r="LRC34" s="16"/>
      <c r="LRD34" s="16"/>
      <c r="LRE34" s="16"/>
      <c r="LRF34" s="16"/>
      <c r="LRG34" s="16"/>
      <c r="LRH34" s="16"/>
      <c r="LRI34" s="16"/>
      <c r="LRJ34" s="16"/>
      <c r="LRK34" s="16"/>
      <c r="LRL34" s="16"/>
      <c r="LRM34" s="16"/>
      <c r="LRN34" s="16"/>
      <c r="LRO34" s="16"/>
      <c r="LRP34" s="16"/>
      <c r="LRQ34" s="16"/>
      <c r="LRR34" s="16"/>
      <c r="LRS34" s="16"/>
      <c r="LRT34" s="16"/>
      <c r="LRU34" s="16"/>
      <c r="LRV34" s="16"/>
      <c r="LRW34" s="16"/>
      <c r="LRX34" s="16"/>
      <c r="LRY34" s="16"/>
      <c r="LRZ34" s="16"/>
      <c r="LSA34" s="16"/>
      <c r="LSB34" s="16"/>
      <c r="LSC34" s="16"/>
      <c r="LSD34" s="16"/>
      <c r="LSE34" s="16"/>
      <c r="LSF34" s="16"/>
      <c r="LSG34" s="16"/>
      <c r="LSH34" s="16"/>
      <c r="LSI34" s="16"/>
      <c r="LSJ34" s="16"/>
      <c r="LSK34" s="16"/>
      <c r="LSL34" s="16"/>
      <c r="LSM34" s="16"/>
      <c r="LSN34" s="16"/>
      <c r="LSO34" s="16"/>
      <c r="LSP34" s="16"/>
      <c r="LSQ34" s="16"/>
      <c r="LSR34" s="16"/>
      <c r="LSS34" s="16"/>
      <c r="LST34" s="16"/>
      <c r="LSU34" s="16"/>
      <c r="LSV34" s="16"/>
      <c r="LSW34" s="16"/>
      <c r="LSX34" s="16"/>
      <c r="LSY34" s="16"/>
      <c r="LSZ34" s="16"/>
      <c r="LTA34" s="16"/>
      <c r="LTB34" s="16"/>
      <c r="LTC34" s="16"/>
      <c r="LTD34" s="16"/>
      <c r="LTE34" s="16"/>
      <c r="LTF34" s="16"/>
      <c r="LTG34" s="16"/>
      <c r="LTH34" s="16"/>
      <c r="LTI34" s="16"/>
      <c r="LTJ34" s="16"/>
      <c r="LTK34" s="16"/>
      <c r="LTL34" s="16"/>
      <c r="LTM34" s="16"/>
      <c r="LTN34" s="16"/>
      <c r="LTO34" s="16"/>
      <c r="LTP34" s="16"/>
      <c r="LTQ34" s="16"/>
      <c r="LTR34" s="16"/>
      <c r="LTS34" s="16"/>
      <c r="LTT34" s="16"/>
      <c r="LTU34" s="16"/>
      <c r="LTV34" s="16"/>
      <c r="LTW34" s="16"/>
      <c r="LTX34" s="16"/>
      <c r="LTY34" s="16"/>
      <c r="LTZ34" s="16"/>
      <c r="LUA34" s="16"/>
      <c r="LUB34" s="16"/>
      <c r="LUC34" s="16"/>
      <c r="LUD34" s="16"/>
      <c r="LUE34" s="16"/>
      <c r="LUF34" s="16"/>
      <c r="LUG34" s="16"/>
      <c r="LUH34" s="16"/>
      <c r="LUI34" s="16"/>
      <c r="LUJ34" s="16"/>
      <c r="LUK34" s="16"/>
      <c r="LUL34" s="16"/>
      <c r="LUM34" s="16"/>
      <c r="LUN34" s="16"/>
      <c r="LUO34" s="16"/>
      <c r="LUP34" s="16"/>
      <c r="LUQ34" s="16"/>
      <c r="LUR34" s="16"/>
      <c r="LUS34" s="16"/>
      <c r="LUT34" s="16"/>
      <c r="LUU34" s="16"/>
      <c r="LUV34" s="16"/>
      <c r="LUW34" s="16"/>
      <c r="LUX34" s="16"/>
      <c r="LUY34" s="16"/>
      <c r="LUZ34" s="16"/>
      <c r="LVA34" s="16"/>
      <c r="LVB34" s="16"/>
      <c r="LVC34" s="16"/>
      <c r="LVD34" s="16"/>
      <c r="LVE34" s="16"/>
      <c r="LVF34" s="16"/>
      <c r="LVG34" s="16"/>
      <c r="LVH34" s="16"/>
      <c r="LVI34" s="16"/>
      <c r="LVJ34" s="16"/>
      <c r="LVK34" s="16"/>
      <c r="LVL34" s="16"/>
      <c r="LVM34" s="16"/>
      <c r="LVN34" s="16"/>
      <c r="LVO34" s="16"/>
      <c r="LVP34" s="16"/>
      <c r="LVQ34" s="16"/>
      <c r="LVR34" s="16"/>
      <c r="LVS34" s="16"/>
      <c r="LVT34" s="16"/>
      <c r="LVU34" s="16"/>
      <c r="LVV34" s="16"/>
      <c r="LVW34" s="16"/>
      <c r="LVX34" s="16"/>
      <c r="LVY34" s="16"/>
      <c r="LVZ34" s="16"/>
      <c r="LWA34" s="16"/>
      <c r="LWB34" s="16"/>
      <c r="LWC34" s="16"/>
      <c r="LWD34" s="16"/>
      <c r="LWE34" s="16"/>
      <c r="LWF34" s="16"/>
      <c r="LWG34" s="16"/>
      <c r="LWH34" s="16"/>
      <c r="LWI34" s="16"/>
      <c r="LWJ34" s="16"/>
      <c r="LWK34" s="16"/>
      <c r="LWL34" s="16"/>
      <c r="LWM34" s="16"/>
      <c r="LWN34" s="16"/>
      <c r="LWO34" s="16"/>
      <c r="LWP34" s="16"/>
      <c r="LWQ34" s="16"/>
      <c r="LWR34" s="16"/>
      <c r="LWS34" s="16"/>
      <c r="LWT34" s="16"/>
      <c r="LWU34" s="16"/>
      <c r="LWV34" s="16"/>
      <c r="LWW34" s="16"/>
      <c r="LWX34" s="16"/>
      <c r="LWY34" s="16"/>
      <c r="LWZ34" s="16"/>
      <c r="LXA34" s="16"/>
      <c r="LXB34" s="16"/>
      <c r="LXC34" s="16"/>
      <c r="LXD34" s="16"/>
      <c r="LXE34" s="16"/>
      <c r="LXF34" s="16"/>
      <c r="LXG34" s="16"/>
      <c r="LXH34" s="16"/>
      <c r="LXI34" s="16"/>
      <c r="LXJ34" s="16"/>
      <c r="LXK34" s="16"/>
      <c r="LXL34" s="16"/>
      <c r="LXM34" s="16"/>
      <c r="LXN34" s="16"/>
      <c r="LXO34" s="16"/>
      <c r="LXP34" s="16"/>
      <c r="LXQ34" s="16"/>
      <c r="LXR34" s="16"/>
      <c r="LXS34" s="16"/>
      <c r="LXT34" s="16"/>
      <c r="LXU34" s="16"/>
      <c r="LXV34" s="16"/>
      <c r="LXW34" s="16"/>
      <c r="LXX34" s="16"/>
      <c r="LXY34" s="16"/>
      <c r="LXZ34" s="16"/>
      <c r="LYA34" s="16"/>
      <c r="LYB34" s="16"/>
      <c r="LYC34" s="16"/>
      <c r="LYD34" s="16"/>
      <c r="LYE34" s="16"/>
      <c r="LYF34" s="16"/>
      <c r="LYG34" s="16"/>
      <c r="LYH34" s="16"/>
      <c r="LYI34" s="16"/>
      <c r="LYJ34" s="16"/>
      <c r="LYK34" s="16"/>
      <c r="LYL34" s="16"/>
      <c r="LYM34" s="16"/>
      <c r="LYN34" s="16"/>
      <c r="LYO34" s="16"/>
      <c r="LYP34" s="16"/>
      <c r="LYQ34" s="16"/>
      <c r="LYR34" s="16"/>
      <c r="LYS34" s="16"/>
      <c r="LYT34" s="16"/>
      <c r="LYU34" s="16"/>
      <c r="LYV34" s="16"/>
      <c r="LYW34" s="16"/>
      <c r="LYX34" s="16"/>
      <c r="LYY34" s="16"/>
      <c r="LYZ34" s="16"/>
      <c r="LZA34" s="16"/>
      <c r="LZB34" s="16"/>
      <c r="LZC34" s="16"/>
      <c r="LZD34" s="16"/>
      <c r="LZE34" s="16"/>
      <c r="LZF34" s="16"/>
      <c r="LZG34" s="16"/>
      <c r="LZH34" s="16"/>
      <c r="LZI34" s="16"/>
      <c r="LZJ34" s="16"/>
      <c r="LZK34" s="16"/>
      <c r="LZL34" s="16"/>
      <c r="LZM34" s="16"/>
      <c r="LZN34" s="16"/>
      <c r="LZO34" s="16"/>
      <c r="LZP34" s="16"/>
      <c r="LZQ34" s="16"/>
      <c r="LZR34" s="16"/>
      <c r="LZS34" s="16"/>
      <c r="LZT34" s="16"/>
      <c r="LZU34" s="16"/>
      <c r="LZV34" s="16"/>
      <c r="LZW34" s="16"/>
      <c r="LZX34" s="16"/>
      <c r="LZY34" s="16"/>
      <c r="LZZ34" s="16"/>
      <c r="MAA34" s="16"/>
      <c r="MAB34" s="16"/>
      <c r="MAC34" s="16"/>
      <c r="MAD34" s="16"/>
      <c r="MAE34" s="16"/>
      <c r="MAF34" s="16"/>
      <c r="MAG34" s="16"/>
      <c r="MAH34" s="16"/>
      <c r="MAI34" s="16"/>
      <c r="MAJ34" s="16"/>
      <c r="MAK34" s="16"/>
      <c r="MAL34" s="16"/>
      <c r="MAM34" s="16"/>
      <c r="MAN34" s="16"/>
      <c r="MAO34" s="16"/>
      <c r="MAP34" s="16"/>
      <c r="MAQ34" s="16"/>
      <c r="MAR34" s="16"/>
      <c r="MAS34" s="16"/>
      <c r="MAT34" s="16"/>
      <c r="MAU34" s="16"/>
      <c r="MAV34" s="16"/>
      <c r="MAW34" s="16"/>
      <c r="MAX34" s="16"/>
      <c r="MAY34" s="16"/>
      <c r="MAZ34" s="16"/>
      <c r="MBA34" s="16"/>
      <c r="MBB34" s="16"/>
      <c r="MBC34" s="16"/>
      <c r="MBD34" s="16"/>
      <c r="MBE34" s="16"/>
      <c r="MBF34" s="16"/>
      <c r="MBG34" s="16"/>
      <c r="MBH34" s="16"/>
      <c r="MBI34" s="16"/>
      <c r="MBJ34" s="16"/>
      <c r="MBK34" s="16"/>
      <c r="MBL34" s="16"/>
      <c r="MBM34" s="16"/>
      <c r="MBN34" s="16"/>
      <c r="MBO34" s="16"/>
      <c r="MBP34" s="16"/>
      <c r="MBQ34" s="16"/>
      <c r="MBR34" s="16"/>
      <c r="MBS34" s="16"/>
      <c r="MBT34" s="16"/>
      <c r="MBU34" s="16"/>
      <c r="MBV34" s="16"/>
      <c r="MBW34" s="16"/>
      <c r="MBX34" s="16"/>
      <c r="MBY34" s="16"/>
      <c r="MBZ34" s="16"/>
      <c r="MCA34" s="16"/>
      <c r="MCB34" s="16"/>
      <c r="MCC34" s="16"/>
      <c r="MCD34" s="16"/>
      <c r="MCE34" s="16"/>
      <c r="MCF34" s="16"/>
      <c r="MCG34" s="16"/>
      <c r="MCH34" s="16"/>
      <c r="MCI34" s="16"/>
      <c r="MCJ34" s="16"/>
      <c r="MCK34" s="16"/>
      <c r="MCL34" s="16"/>
      <c r="MCM34" s="16"/>
      <c r="MCN34" s="16"/>
      <c r="MCO34" s="16"/>
      <c r="MCP34" s="16"/>
      <c r="MCQ34" s="16"/>
      <c r="MCR34" s="16"/>
      <c r="MCS34" s="16"/>
      <c r="MCT34" s="16"/>
      <c r="MCU34" s="16"/>
      <c r="MCV34" s="16"/>
      <c r="MCW34" s="16"/>
      <c r="MCX34" s="16"/>
      <c r="MCY34" s="16"/>
      <c r="MCZ34" s="16"/>
      <c r="MDA34" s="16"/>
      <c r="MDB34" s="16"/>
      <c r="MDC34" s="16"/>
      <c r="MDD34" s="16"/>
      <c r="MDE34" s="16"/>
      <c r="MDF34" s="16"/>
      <c r="MDG34" s="16"/>
      <c r="MDH34" s="16"/>
      <c r="MDI34" s="16"/>
      <c r="MDJ34" s="16"/>
      <c r="MDK34" s="16"/>
      <c r="MDL34" s="16"/>
      <c r="MDM34" s="16"/>
      <c r="MDN34" s="16"/>
      <c r="MDO34" s="16"/>
      <c r="MDP34" s="16"/>
      <c r="MDQ34" s="16"/>
      <c r="MDR34" s="16"/>
      <c r="MDS34" s="16"/>
      <c r="MDT34" s="16"/>
      <c r="MDU34" s="16"/>
      <c r="MDV34" s="16"/>
      <c r="MDW34" s="16"/>
      <c r="MDX34" s="16"/>
      <c r="MDY34" s="16"/>
      <c r="MDZ34" s="16"/>
      <c r="MEA34" s="16"/>
      <c r="MEB34" s="16"/>
      <c r="MEC34" s="16"/>
      <c r="MED34" s="16"/>
      <c r="MEE34" s="16"/>
      <c r="MEF34" s="16"/>
      <c r="MEG34" s="16"/>
      <c r="MEH34" s="16"/>
      <c r="MEI34" s="16"/>
      <c r="MEJ34" s="16"/>
      <c r="MEK34" s="16"/>
      <c r="MEL34" s="16"/>
      <c r="MEM34" s="16"/>
      <c r="MEN34" s="16"/>
      <c r="MEO34" s="16"/>
      <c r="MEP34" s="16"/>
      <c r="MEQ34" s="16"/>
      <c r="MER34" s="16"/>
      <c r="MES34" s="16"/>
      <c r="MET34" s="16"/>
      <c r="MEU34" s="16"/>
      <c r="MEV34" s="16"/>
      <c r="MEW34" s="16"/>
      <c r="MEX34" s="16"/>
      <c r="MEY34" s="16"/>
      <c r="MEZ34" s="16"/>
      <c r="MFA34" s="16"/>
      <c r="MFB34" s="16"/>
      <c r="MFC34" s="16"/>
      <c r="MFD34" s="16"/>
      <c r="MFE34" s="16"/>
      <c r="MFF34" s="16"/>
      <c r="MFG34" s="16"/>
      <c r="MFH34" s="16"/>
      <c r="MFI34" s="16"/>
      <c r="MFJ34" s="16"/>
      <c r="MFK34" s="16"/>
      <c r="MFL34" s="16"/>
      <c r="MFM34" s="16"/>
      <c r="MFN34" s="16"/>
      <c r="MFO34" s="16"/>
      <c r="MFP34" s="16"/>
      <c r="MFQ34" s="16"/>
      <c r="MFR34" s="16"/>
      <c r="MFS34" s="16"/>
      <c r="MFT34" s="16"/>
      <c r="MFU34" s="16"/>
      <c r="MFV34" s="16"/>
      <c r="MFW34" s="16"/>
      <c r="MFX34" s="16"/>
      <c r="MFY34" s="16"/>
      <c r="MFZ34" s="16"/>
      <c r="MGA34" s="16"/>
      <c r="MGB34" s="16"/>
      <c r="MGC34" s="16"/>
      <c r="MGD34" s="16"/>
      <c r="MGE34" s="16"/>
      <c r="MGF34" s="16"/>
      <c r="MGG34" s="16"/>
      <c r="MGH34" s="16"/>
      <c r="MGI34" s="16"/>
      <c r="MGJ34" s="16"/>
      <c r="MGK34" s="16"/>
      <c r="MGL34" s="16"/>
      <c r="MGM34" s="16"/>
      <c r="MGN34" s="16"/>
      <c r="MGO34" s="16"/>
      <c r="MGP34" s="16"/>
      <c r="MGQ34" s="16"/>
      <c r="MGR34" s="16"/>
      <c r="MGS34" s="16"/>
      <c r="MGT34" s="16"/>
      <c r="MGU34" s="16"/>
      <c r="MGV34" s="16"/>
      <c r="MGW34" s="16"/>
      <c r="MGX34" s="16"/>
      <c r="MGY34" s="16"/>
      <c r="MGZ34" s="16"/>
      <c r="MHA34" s="16"/>
      <c r="MHB34" s="16"/>
      <c r="MHC34" s="16"/>
      <c r="MHD34" s="16"/>
      <c r="MHE34" s="16"/>
      <c r="MHF34" s="16"/>
      <c r="MHG34" s="16"/>
      <c r="MHH34" s="16"/>
      <c r="MHI34" s="16"/>
      <c r="MHJ34" s="16"/>
      <c r="MHK34" s="16"/>
      <c r="MHL34" s="16"/>
      <c r="MHM34" s="16"/>
      <c r="MHN34" s="16"/>
      <c r="MHO34" s="16"/>
      <c r="MHP34" s="16"/>
      <c r="MHQ34" s="16"/>
      <c r="MHR34" s="16"/>
      <c r="MHS34" s="16"/>
      <c r="MHT34" s="16"/>
      <c r="MHU34" s="16"/>
      <c r="MHV34" s="16"/>
      <c r="MHW34" s="16"/>
      <c r="MHX34" s="16"/>
      <c r="MHY34" s="16"/>
      <c r="MHZ34" s="16"/>
      <c r="MIA34" s="16"/>
      <c r="MIB34" s="16"/>
      <c r="MIC34" s="16"/>
      <c r="MID34" s="16"/>
      <c r="MIE34" s="16"/>
      <c r="MIF34" s="16"/>
      <c r="MIG34" s="16"/>
      <c r="MIH34" s="16"/>
      <c r="MII34" s="16"/>
      <c r="MIJ34" s="16"/>
      <c r="MIK34" s="16"/>
      <c r="MIL34" s="16"/>
      <c r="MIM34" s="16"/>
      <c r="MIN34" s="16"/>
      <c r="MIO34" s="16"/>
      <c r="MIP34" s="16"/>
      <c r="MIQ34" s="16"/>
      <c r="MIR34" s="16"/>
      <c r="MIS34" s="16"/>
      <c r="MIT34" s="16"/>
      <c r="MIU34" s="16"/>
      <c r="MIV34" s="16"/>
      <c r="MIW34" s="16"/>
      <c r="MIX34" s="16"/>
      <c r="MIY34" s="16"/>
      <c r="MIZ34" s="16"/>
      <c r="MJA34" s="16"/>
      <c r="MJB34" s="16"/>
      <c r="MJC34" s="16"/>
      <c r="MJD34" s="16"/>
      <c r="MJE34" s="16"/>
      <c r="MJF34" s="16"/>
      <c r="MJG34" s="16"/>
      <c r="MJH34" s="16"/>
      <c r="MJI34" s="16"/>
      <c r="MJJ34" s="16"/>
      <c r="MJK34" s="16"/>
      <c r="MJL34" s="16"/>
      <c r="MJM34" s="16"/>
      <c r="MJN34" s="16"/>
      <c r="MJO34" s="16"/>
      <c r="MJP34" s="16"/>
      <c r="MJQ34" s="16"/>
      <c r="MJR34" s="16"/>
      <c r="MJS34" s="16"/>
      <c r="MJT34" s="16"/>
      <c r="MJU34" s="16"/>
      <c r="MJV34" s="16"/>
      <c r="MJW34" s="16"/>
      <c r="MJX34" s="16"/>
      <c r="MJY34" s="16"/>
      <c r="MJZ34" s="16"/>
      <c r="MKA34" s="16"/>
      <c r="MKB34" s="16"/>
      <c r="MKC34" s="16"/>
      <c r="MKD34" s="16"/>
      <c r="MKE34" s="16"/>
      <c r="MKF34" s="16"/>
      <c r="MKG34" s="16"/>
      <c r="MKH34" s="16"/>
      <c r="MKI34" s="16"/>
      <c r="MKJ34" s="16"/>
      <c r="MKK34" s="16"/>
      <c r="MKL34" s="16"/>
      <c r="MKM34" s="16"/>
      <c r="MKN34" s="16"/>
      <c r="MKO34" s="16"/>
      <c r="MKP34" s="16"/>
      <c r="MKQ34" s="16"/>
      <c r="MKR34" s="16"/>
      <c r="MKS34" s="16"/>
      <c r="MKT34" s="16"/>
      <c r="MKU34" s="16"/>
      <c r="MKV34" s="16"/>
      <c r="MKW34" s="16"/>
      <c r="MKX34" s="16"/>
      <c r="MKY34" s="16"/>
      <c r="MKZ34" s="16"/>
      <c r="MLA34" s="16"/>
      <c r="MLB34" s="16"/>
      <c r="MLC34" s="16"/>
      <c r="MLD34" s="16"/>
      <c r="MLE34" s="16"/>
      <c r="MLF34" s="16"/>
      <c r="MLG34" s="16"/>
      <c r="MLH34" s="16"/>
      <c r="MLI34" s="16"/>
      <c r="MLJ34" s="16"/>
      <c r="MLK34" s="16"/>
      <c r="MLL34" s="16"/>
      <c r="MLM34" s="16"/>
      <c r="MLN34" s="16"/>
      <c r="MLO34" s="16"/>
      <c r="MLP34" s="16"/>
      <c r="MLQ34" s="16"/>
      <c r="MLR34" s="16"/>
      <c r="MLS34" s="16"/>
      <c r="MLT34" s="16"/>
      <c r="MLU34" s="16"/>
      <c r="MLV34" s="16"/>
      <c r="MLW34" s="16"/>
      <c r="MLX34" s="16"/>
      <c r="MLY34" s="16"/>
      <c r="MLZ34" s="16"/>
      <c r="MMA34" s="16"/>
      <c r="MMB34" s="16"/>
      <c r="MMC34" s="16"/>
      <c r="MMD34" s="16"/>
      <c r="MME34" s="16"/>
      <c r="MMF34" s="16"/>
      <c r="MMG34" s="16"/>
      <c r="MMH34" s="16"/>
      <c r="MMI34" s="16"/>
      <c r="MMJ34" s="16"/>
      <c r="MMK34" s="16"/>
      <c r="MML34" s="16"/>
      <c r="MMM34" s="16"/>
      <c r="MMN34" s="16"/>
      <c r="MMO34" s="16"/>
      <c r="MMP34" s="16"/>
      <c r="MMQ34" s="16"/>
      <c r="MMR34" s="16"/>
      <c r="MMS34" s="16"/>
      <c r="MMT34" s="16"/>
      <c r="MMU34" s="16"/>
      <c r="MMV34" s="16"/>
      <c r="MMW34" s="16"/>
      <c r="MMX34" s="16"/>
      <c r="MMY34" s="16"/>
      <c r="MMZ34" s="16"/>
      <c r="MNA34" s="16"/>
      <c r="MNB34" s="16"/>
      <c r="MNC34" s="16"/>
      <c r="MND34" s="16"/>
      <c r="MNE34" s="16"/>
      <c r="MNF34" s="16"/>
      <c r="MNG34" s="16"/>
      <c r="MNH34" s="16"/>
      <c r="MNI34" s="16"/>
      <c r="MNJ34" s="16"/>
      <c r="MNK34" s="16"/>
      <c r="MNL34" s="16"/>
      <c r="MNM34" s="16"/>
      <c r="MNN34" s="16"/>
      <c r="MNO34" s="16"/>
      <c r="MNP34" s="16"/>
      <c r="MNQ34" s="16"/>
      <c r="MNR34" s="16"/>
      <c r="MNS34" s="16"/>
      <c r="MNT34" s="16"/>
      <c r="MNU34" s="16"/>
      <c r="MNV34" s="16"/>
      <c r="MNW34" s="16"/>
      <c r="MNX34" s="16"/>
      <c r="MNY34" s="16"/>
      <c r="MNZ34" s="16"/>
      <c r="MOA34" s="16"/>
      <c r="MOB34" s="16"/>
      <c r="MOC34" s="16"/>
      <c r="MOD34" s="16"/>
      <c r="MOE34" s="16"/>
      <c r="MOF34" s="16"/>
      <c r="MOG34" s="16"/>
      <c r="MOH34" s="16"/>
      <c r="MOI34" s="16"/>
      <c r="MOJ34" s="16"/>
      <c r="MOK34" s="16"/>
      <c r="MOL34" s="16"/>
      <c r="MOM34" s="16"/>
      <c r="MON34" s="16"/>
      <c r="MOO34" s="16"/>
      <c r="MOP34" s="16"/>
      <c r="MOQ34" s="16"/>
      <c r="MOR34" s="16"/>
      <c r="MOS34" s="16"/>
      <c r="MOT34" s="16"/>
      <c r="MOU34" s="16"/>
      <c r="MOV34" s="16"/>
      <c r="MOW34" s="16"/>
      <c r="MOX34" s="16"/>
      <c r="MOY34" s="16"/>
      <c r="MOZ34" s="16"/>
      <c r="MPA34" s="16"/>
      <c r="MPB34" s="16"/>
      <c r="MPC34" s="16"/>
      <c r="MPD34" s="16"/>
      <c r="MPE34" s="16"/>
      <c r="MPF34" s="16"/>
      <c r="MPG34" s="16"/>
      <c r="MPH34" s="16"/>
      <c r="MPI34" s="16"/>
      <c r="MPJ34" s="16"/>
      <c r="MPK34" s="16"/>
      <c r="MPL34" s="16"/>
      <c r="MPM34" s="16"/>
      <c r="MPN34" s="16"/>
      <c r="MPO34" s="16"/>
      <c r="MPP34" s="16"/>
      <c r="MPQ34" s="16"/>
      <c r="MPR34" s="16"/>
      <c r="MPS34" s="16"/>
      <c r="MPT34" s="16"/>
      <c r="MPU34" s="16"/>
      <c r="MPV34" s="16"/>
      <c r="MPW34" s="16"/>
      <c r="MPX34" s="16"/>
      <c r="MPY34" s="16"/>
      <c r="MPZ34" s="16"/>
      <c r="MQA34" s="16"/>
      <c r="MQB34" s="16"/>
      <c r="MQC34" s="16"/>
      <c r="MQD34" s="16"/>
      <c r="MQE34" s="16"/>
      <c r="MQF34" s="16"/>
      <c r="MQG34" s="16"/>
      <c r="MQH34" s="16"/>
      <c r="MQI34" s="16"/>
      <c r="MQJ34" s="16"/>
      <c r="MQK34" s="16"/>
      <c r="MQL34" s="16"/>
      <c r="MQM34" s="16"/>
      <c r="MQN34" s="16"/>
      <c r="MQO34" s="16"/>
      <c r="MQP34" s="16"/>
      <c r="MQQ34" s="16"/>
      <c r="MQR34" s="16"/>
      <c r="MQS34" s="16"/>
      <c r="MQT34" s="16"/>
      <c r="MQU34" s="16"/>
      <c r="MQV34" s="16"/>
      <c r="MQW34" s="16"/>
      <c r="MQX34" s="16"/>
      <c r="MQY34" s="16"/>
      <c r="MQZ34" s="16"/>
      <c r="MRA34" s="16"/>
      <c r="MRB34" s="16"/>
      <c r="MRC34" s="16"/>
      <c r="MRD34" s="16"/>
      <c r="MRE34" s="16"/>
      <c r="MRF34" s="16"/>
      <c r="MRG34" s="16"/>
      <c r="MRH34" s="16"/>
      <c r="MRI34" s="16"/>
      <c r="MRJ34" s="16"/>
      <c r="MRK34" s="16"/>
      <c r="MRL34" s="16"/>
      <c r="MRM34" s="16"/>
      <c r="MRN34" s="16"/>
      <c r="MRO34" s="16"/>
      <c r="MRP34" s="16"/>
      <c r="MRQ34" s="16"/>
      <c r="MRR34" s="16"/>
      <c r="MRS34" s="16"/>
      <c r="MRT34" s="16"/>
      <c r="MRU34" s="16"/>
      <c r="MRV34" s="16"/>
      <c r="MRW34" s="16"/>
      <c r="MRX34" s="16"/>
      <c r="MRY34" s="16"/>
      <c r="MRZ34" s="16"/>
      <c r="MSA34" s="16"/>
      <c r="MSB34" s="16"/>
      <c r="MSC34" s="16"/>
      <c r="MSD34" s="16"/>
      <c r="MSE34" s="16"/>
      <c r="MSF34" s="16"/>
      <c r="MSG34" s="16"/>
      <c r="MSH34" s="16"/>
      <c r="MSI34" s="16"/>
      <c r="MSJ34" s="16"/>
      <c r="MSK34" s="16"/>
      <c r="MSL34" s="16"/>
      <c r="MSM34" s="16"/>
      <c r="MSN34" s="16"/>
      <c r="MSO34" s="16"/>
      <c r="MSP34" s="16"/>
      <c r="MSQ34" s="16"/>
      <c r="MSR34" s="16"/>
      <c r="MSS34" s="16"/>
      <c r="MST34" s="16"/>
      <c r="MSU34" s="16"/>
      <c r="MSV34" s="16"/>
      <c r="MSW34" s="16"/>
      <c r="MSX34" s="16"/>
      <c r="MSY34" s="16"/>
      <c r="MSZ34" s="16"/>
      <c r="MTA34" s="16"/>
      <c r="MTB34" s="16"/>
      <c r="MTC34" s="16"/>
      <c r="MTD34" s="16"/>
      <c r="MTE34" s="16"/>
      <c r="MTF34" s="16"/>
      <c r="MTG34" s="16"/>
      <c r="MTH34" s="16"/>
      <c r="MTI34" s="16"/>
      <c r="MTJ34" s="16"/>
      <c r="MTK34" s="16"/>
      <c r="MTL34" s="16"/>
      <c r="MTM34" s="16"/>
      <c r="MTN34" s="16"/>
      <c r="MTO34" s="16"/>
      <c r="MTP34" s="16"/>
      <c r="MTQ34" s="16"/>
      <c r="MTR34" s="16"/>
      <c r="MTS34" s="16"/>
      <c r="MTT34" s="16"/>
      <c r="MTU34" s="16"/>
      <c r="MTV34" s="16"/>
      <c r="MTW34" s="16"/>
      <c r="MTX34" s="16"/>
      <c r="MTY34" s="16"/>
      <c r="MTZ34" s="16"/>
      <c r="MUA34" s="16"/>
      <c r="MUB34" s="16"/>
      <c r="MUC34" s="16"/>
      <c r="MUD34" s="16"/>
      <c r="MUE34" s="16"/>
      <c r="MUF34" s="16"/>
      <c r="MUG34" s="16"/>
      <c r="MUH34" s="16"/>
      <c r="MUI34" s="16"/>
      <c r="MUJ34" s="16"/>
      <c r="MUK34" s="16"/>
      <c r="MUL34" s="16"/>
      <c r="MUM34" s="16"/>
      <c r="MUN34" s="16"/>
      <c r="MUO34" s="16"/>
      <c r="MUP34" s="16"/>
      <c r="MUQ34" s="16"/>
      <c r="MUR34" s="16"/>
      <c r="MUS34" s="16"/>
      <c r="MUT34" s="16"/>
      <c r="MUU34" s="16"/>
      <c r="MUV34" s="16"/>
      <c r="MUW34" s="16"/>
      <c r="MUX34" s="16"/>
      <c r="MUY34" s="16"/>
      <c r="MUZ34" s="16"/>
      <c r="MVA34" s="16"/>
      <c r="MVB34" s="16"/>
      <c r="MVC34" s="16"/>
      <c r="MVD34" s="16"/>
      <c r="MVE34" s="16"/>
      <c r="MVF34" s="16"/>
      <c r="MVG34" s="16"/>
      <c r="MVH34" s="16"/>
      <c r="MVI34" s="16"/>
      <c r="MVJ34" s="16"/>
      <c r="MVK34" s="16"/>
      <c r="MVL34" s="16"/>
      <c r="MVM34" s="16"/>
      <c r="MVN34" s="16"/>
      <c r="MVO34" s="16"/>
      <c r="MVP34" s="16"/>
      <c r="MVQ34" s="16"/>
      <c r="MVR34" s="16"/>
      <c r="MVS34" s="16"/>
      <c r="MVT34" s="16"/>
      <c r="MVU34" s="16"/>
      <c r="MVV34" s="16"/>
      <c r="MVW34" s="16"/>
      <c r="MVX34" s="16"/>
      <c r="MVY34" s="16"/>
      <c r="MVZ34" s="16"/>
      <c r="MWA34" s="16"/>
      <c r="MWB34" s="16"/>
      <c r="MWC34" s="16"/>
      <c r="MWD34" s="16"/>
      <c r="MWE34" s="16"/>
      <c r="MWF34" s="16"/>
      <c r="MWG34" s="16"/>
      <c r="MWH34" s="16"/>
      <c r="MWI34" s="16"/>
      <c r="MWJ34" s="16"/>
      <c r="MWK34" s="16"/>
      <c r="MWL34" s="16"/>
      <c r="MWM34" s="16"/>
      <c r="MWN34" s="16"/>
      <c r="MWO34" s="16"/>
      <c r="MWP34" s="16"/>
      <c r="MWQ34" s="16"/>
      <c r="MWR34" s="16"/>
      <c r="MWS34" s="16"/>
      <c r="MWT34" s="16"/>
      <c r="MWU34" s="16"/>
      <c r="MWV34" s="16"/>
      <c r="MWW34" s="16"/>
      <c r="MWX34" s="16"/>
      <c r="MWY34" s="16"/>
      <c r="MWZ34" s="16"/>
      <c r="MXA34" s="16"/>
      <c r="MXB34" s="16"/>
      <c r="MXC34" s="16"/>
      <c r="MXD34" s="16"/>
      <c r="MXE34" s="16"/>
      <c r="MXF34" s="16"/>
      <c r="MXG34" s="16"/>
      <c r="MXH34" s="16"/>
      <c r="MXI34" s="16"/>
      <c r="MXJ34" s="16"/>
      <c r="MXK34" s="16"/>
      <c r="MXL34" s="16"/>
      <c r="MXM34" s="16"/>
      <c r="MXN34" s="16"/>
      <c r="MXO34" s="16"/>
      <c r="MXP34" s="16"/>
      <c r="MXQ34" s="16"/>
      <c r="MXR34" s="16"/>
      <c r="MXS34" s="16"/>
      <c r="MXT34" s="16"/>
      <c r="MXU34" s="16"/>
      <c r="MXV34" s="16"/>
      <c r="MXW34" s="16"/>
      <c r="MXX34" s="16"/>
      <c r="MXY34" s="16"/>
      <c r="MXZ34" s="16"/>
      <c r="MYA34" s="16"/>
      <c r="MYB34" s="16"/>
      <c r="MYC34" s="16"/>
      <c r="MYD34" s="16"/>
      <c r="MYE34" s="16"/>
      <c r="MYF34" s="16"/>
      <c r="MYG34" s="16"/>
      <c r="MYH34" s="16"/>
      <c r="MYI34" s="16"/>
      <c r="MYJ34" s="16"/>
      <c r="MYK34" s="16"/>
      <c r="MYL34" s="16"/>
      <c r="MYM34" s="16"/>
      <c r="MYN34" s="16"/>
      <c r="MYO34" s="16"/>
      <c r="MYP34" s="16"/>
      <c r="MYQ34" s="16"/>
      <c r="MYR34" s="16"/>
      <c r="MYS34" s="16"/>
      <c r="MYT34" s="16"/>
      <c r="MYU34" s="16"/>
      <c r="MYV34" s="16"/>
      <c r="MYW34" s="16"/>
      <c r="MYX34" s="16"/>
      <c r="MYY34" s="16"/>
      <c r="MYZ34" s="16"/>
      <c r="MZA34" s="16"/>
      <c r="MZB34" s="16"/>
      <c r="MZC34" s="16"/>
      <c r="MZD34" s="16"/>
      <c r="MZE34" s="16"/>
      <c r="MZF34" s="16"/>
      <c r="MZG34" s="16"/>
      <c r="MZH34" s="16"/>
      <c r="MZI34" s="16"/>
      <c r="MZJ34" s="16"/>
      <c r="MZK34" s="16"/>
      <c r="MZL34" s="16"/>
      <c r="MZM34" s="16"/>
      <c r="MZN34" s="16"/>
      <c r="MZO34" s="16"/>
      <c r="MZP34" s="16"/>
      <c r="MZQ34" s="16"/>
      <c r="MZR34" s="16"/>
      <c r="MZS34" s="16"/>
      <c r="MZT34" s="16"/>
      <c r="MZU34" s="16"/>
      <c r="MZV34" s="16"/>
      <c r="MZW34" s="16"/>
      <c r="MZX34" s="16"/>
      <c r="MZY34" s="16"/>
      <c r="MZZ34" s="16"/>
      <c r="NAA34" s="16"/>
      <c r="NAB34" s="16"/>
      <c r="NAC34" s="16"/>
      <c r="NAD34" s="16"/>
      <c r="NAE34" s="16"/>
      <c r="NAF34" s="16"/>
      <c r="NAG34" s="16"/>
      <c r="NAH34" s="16"/>
      <c r="NAI34" s="16"/>
      <c r="NAJ34" s="16"/>
      <c r="NAK34" s="16"/>
      <c r="NAL34" s="16"/>
      <c r="NAM34" s="16"/>
      <c r="NAN34" s="16"/>
      <c r="NAO34" s="16"/>
      <c r="NAP34" s="16"/>
      <c r="NAQ34" s="16"/>
      <c r="NAR34" s="16"/>
      <c r="NAS34" s="16"/>
      <c r="NAT34" s="16"/>
      <c r="NAU34" s="16"/>
      <c r="NAV34" s="16"/>
      <c r="NAW34" s="16"/>
      <c r="NAX34" s="16"/>
      <c r="NAY34" s="16"/>
      <c r="NAZ34" s="16"/>
      <c r="NBA34" s="16"/>
      <c r="NBB34" s="16"/>
      <c r="NBC34" s="16"/>
      <c r="NBD34" s="16"/>
      <c r="NBE34" s="16"/>
      <c r="NBF34" s="16"/>
      <c r="NBG34" s="16"/>
      <c r="NBH34" s="16"/>
      <c r="NBI34" s="16"/>
      <c r="NBJ34" s="16"/>
      <c r="NBK34" s="16"/>
      <c r="NBL34" s="16"/>
      <c r="NBM34" s="16"/>
      <c r="NBN34" s="16"/>
      <c r="NBO34" s="16"/>
      <c r="NBP34" s="16"/>
      <c r="NBQ34" s="16"/>
      <c r="NBR34" s="16"/>
      <c r="NBS34" s="16"/>
      <c r="NBT34" s="16"/>
      <c r="NBU34" s="16"/>
      <c r="NBV34" s="16"/>
      <c r="NBW34" s="16"/>
      <c r="NBX34" s="16"/>
      <c r="NBY34" s="16"/>
      <c r="NBZ34" s="16"/>
      <c r="NCA34" s="16"/>
      <c r="NCB34" s="16"/>
      <c r="NCC34" s="16"/>
      <c r="NCD34" s="16"/>
      <c r="NCE34" s="16"/>
      <c r="NCF34" s="16"/>
      <c r="NCG34" s="16"/>
      <c r="NCH34" s="16"/>
      <c r="NCI34" s="16"/>
      <c r="NCJ34" s="16"/>
      <c r="NCK34" s="16"/>
      <c r="NCL34" s="16"/>
      <c r="NCM34" s="16"/>
      <c r="NCN34" s="16"/>
      <c r="NCO34" s="16"/>
      <c r="NCP34" s="16"/>
      <c r="NCQ34" s="16"/>
      <c r="NCR34" s="16"/>
      <c r="NCS34" s="16"/>
      <c r="NCT34" s="16"/>
      <c r="NCU34" s="16"/>
      <c r="NCV34" s="16"/>
      <c r="NCW34" s="16"/>
      <c r="NCX34" s="16"/>
      <c r="NCY34" s="16"/>
      <c r="NCZ34" s="16"/>
      <c r="NDA34" s="16"/>
      <c r="NDB34" s="16"/>
      <c r="NDC34" s="16"/>
      <c r="NDD34" s="16"/>
      <c r="NDE34" s="16"/>
      <c r="NDF34" s="16"/>
      <c r="NDG34" s="16"/>
      <c r="NDH34" s="16"/>
      <c r="NDI34" s="16"/>
      <c r="NDJ34" s="16"/>
      <c r="NDK34" s="16"/>
      <c r="NDL34" s="16"/>
      <c r="NDM34" s="16"/>
      <c r="NDN34" s="16"/>
      <c r="NDO34" s="16"/>
      <c r="NDP34" s="16"/>
      <c r="NDQ34" s="16"/>
      <c r="NDR34" s="16"/>
      <c r="NDS34" s="16"/>
      <c r="NDT34" s="16"/>
      <c r="NDU34" s="16"/>
      <c r="NDV34" s="16"/>
      <c r="NDW34" s="16"/>
      <c r="NDX34" s="16"/>
      <c r="NDY34" s="16"/>
      <c r="NDZ34" s="16"/>
      <c r="NEA34" s="16"/>
      <c r="NEB34" s="16"/>
      <c r="NEC34" s="16"/>
      <c r="NED34" s="16"/>
      <c r="NEE34" s="16"/>
      <c r="NEF34" s="16"/>
      <c r="NEG34" s="16"/>
      <c r="NEH34" s="16"/>
      <c r="NEI34" s="16"/>
      <c r="NEJ34" s="16"/>
      <c r="NEK34" s="16"/>
      <c r="NEL34" s="16"/>
      <c r="NEM34" s="16"/>
      <c r="NEN34" s="16"/>
      <c r="NEO34" s="16"/>
      <c r="NEP34" s="16"/>
      <c r="NEQ34" s="16"/>
      <c r="NER34" s="16"/>
      <c r="NES34" s="16"/>
      <c r="NET34" s="16"/>
      <c r="NEU34" s="16"/>
      <c r="NEV34" s="16"/>
      <c r="NEW34" s="16"/>
      <c r="NEX34" s="16"/>
      <c r="NEY34" s="16"/>
      <c r="NEZ34" s="16"/>
      <c r="NFA34" s="16"/>
      <c r="NFB34" s="16"/>
      <c r="NFC34" s="16"/>
      <c r="NFD34" s="16"/>
      <c r="NFE34" s="16"/>
      <c r="NFF34" s="16"/>
      <c r="NFG34" s="16"/>
      <c r="NFH34" s="16"/>
      <c r="NFI34" s="16"/>
      <c r="NFJ34" s="16"/>
      <c r="NFK34" s="16"/>
      <c r="NFL34" s="16"/>
      <c r="NFM34" s="16"/>
      <c r="NFN34" s="16"/>
      <c r="NFO34" s="16"/>
      <c r="NFP34" s="16"/>
      <c r="NFQ34" s="16"/>
      <c r="NFR34" s="16"/>
      <c r="NFS34" s="16"/>
      <c r="NFT34" s="16"/>
      <c r="NFU34" s="16"/>
      <c r="NFV34" s="16"/>
      <c r="NFW34" s="16"/>
      <c r="NFX34" s="16"/>
      <c r="NFY34" s="16"/>
      <c r="NFZ34" s="16"/>
      <c r="NGA34" s="16"/>
      <c r="NGB34" s="16"/>
      <c r="NGC34" s="16"/>
      <c r="NGD34" s="16"/>
      <c r="NGE34" s="16"/>
      <c r="NGF34" s="16"/>
      <c r="NGG34" s="16"/>
      <c r="NGH34" s="16"/>
      <c r="NGI34" s="16"/>
      <c r="NGJ34" s="16"/>
      <c r="NGK34" s="16"/>
      <c r="NGL34" s="16"/>
      <c r="NGM34" s="16"/>
      <c r="NGN34" s="16"/>
      <c r="NGO34" s="16"/>
      <c r="NGP34" s="16"/>
      <c r="NGQ34" s="16"/>
      <c r="NGR34" s="16"/>
      <c r="NGS34" s="16"/>
      <c r="NGT34" s="16"/>
      <c r="NGU34" s="16"/>
      <c r="NGV34" s="16"/>
      <c r="NGW34" s="16"/>
      <c r="NGX34" s="16"/>
      <c r="NGY34" s="16"/>
      <c r="NGZ34" s="16"/>
      <c r="NHA34" s="16"/>
      <c r="NHB34" s="16"/>
      <c r="NHC34" s="16"/>
      <c r="NHD34" s="16"/>
      <c r="NHE34" s="16"/>
      <c r="NHF34" s="16"/>
      <c r="NHG34" s="16"/>
      <c r="NHH34" s="16"/>
      <c r="NHI34" s="16"/>
      <c r="NHJ34" s="16"/>
      <c r="NHK34" s="16"/>
      <c r="NHL34" s="16"/>
      <c r="NHM34" s="16"/>
      <c r="NHN34" s="16"/>
      <c r="NHO34" s="16"/>
      <c r="NHP34" s="16"/>
      <c r="NHQ34" s="16"/>
      <c r="NHR34" s="16"/>
      <c r="NHS34" s="16"/>
      <c r="NHT34" s="16"/>
      <c r="NHU34" s="16"/>
      <c r="NHV34" s="16"/>
      <c r="NHW34" s="16"/>
      <c r="NHX34" s="16"/>
      <c r="NHY34" s="16"/>
      <c r="NHZ34" s="16"/>
      <c r="NIA34" s="16"/>
      <c r="NIB34" s="16"/>
      <c r="NIC34" s="16"/>
      <c r="NID34" s="16"/>
      <c r="NIE34" s="16"/>
      <c r="NIF34" s="16"/>
      <c r="NIG34" s="16"/>
      <c r="NIH34" s="16"/>
      <c r="NII34" s="16"/>
      <c r="NIJ34" s="16"/>
      <c r="NIK34" s="16"/>
      <c r="NIL34" s="16"/>
      <c r="NIM34" s="16"/>
      <c r="NIN34" s="16"/>
      <c r="NIO34" s="16"/>
      <c r="NIP34" s="16"/>
      <c r="NIQ34" s="16"/>
      <c r="NIR34" s="16"/>
      <c r="NIS34" s="16"/>
      <c r="NIT34" s="16"/>
      <c r="NIU34" s="16"/>
      <c r="NIV34" s="16"/>
      <c r="NIW34" s="16"/>
      <c r="NIX34" s="16"/>
      <c r="NIY34" s="16"/>
      <c r="NIZ34" s="16"/>
      <c r="NJA34" s="16"/>
      <c r="NJB34" s="16"/>
      <c r="NJC34" s="16"/>
      <c r="NJD34" s="16"/>
      <c r="NJE34" s="16"/>
      <c r="NJF34" s="16"/>
      <c r="NJG34" s="16"/>
      <c r="NJH34" s="16"/>
      <c r="NJI34" s="16"/>
      <c r="NJJ34" s="16"/>
      <c r="NJK34" s="16"/>
      <c r="NJL34" s="16"/>
      <c r="NJM34" s="16"/>
      <c r="NJN34" s="16"/>
      <c r="NJO34" s="16"/>
      <c r="NJP34" s="16"/>
      <c r="NJQ34" s="16"/>
      <c r="NJR34" s="16"/>
      <c r="NJS34" s="16"/>
      <c r="NJT34" s="16"/>
      <c r="NJU34" s="16"/>
      <c r="NJV34" s="16"/>
      <c r="NJW34" s="16"/>
      <c r="NJX34" s="16"/>
      <c r="NJY34" s="16"/>
      <c r="NJZ34" s="16"/>
      <c r="NKA34" s="16"/>
      <c r="NKB34" s="16"/>
      <c r="NKC34" s="16"/>
      <c r="NKD34" s="16"/>
      <c r="NKE34" s="16"/>
      <c r="NKF34" s="16"/>
      <c r="NKG34" s="16"/>
      <c r="NKH34" s="16"/>
      <c r="NKI34" s="16"/>
      <c r="NKJ34" s="16"/>
      <c r="NKK34" s="16"/>
      <c r="NKL34" s="16"/>
      <c r="NKM34" s="16"/>
      <c r="NKN34" s="16"/>
      <c r="NKO34" s="16"/>
      <c r="NKP34" s="16"/>
      <c r="NKQ34" s="16"/>
      <c r="NKR34" s="16"/>
      <c r="NKS34" s="16"/>
      <c r="NKT34" s="16"/>
      <c r="NKU34" s="16"/>
      <c r="NKV34" s="16"/>
      <c r="NKW34" s="16"/>
      <c r="NKX34" s="16"/>
      <c r="NKY34" s="16"/>
      <c r="NKZ34" s="16"/>
      <c r="NLA34" s="16"/>
      <c r="NLB34" s="16"/>
      <c r="NLC34" s="16"/>
      <c r="NLD34" s="16"/>
      <c r="NLE34" s="16"/>
      <c r="NLF34" s="16"/>
      <c r="NLG34" s="16"/>
      <c r="NLH34" s="16"/>
      <c r="NLI34" s="16"/>
      <c r="NLJ34" s="16"/>
      <c r="NLK34" s="16"/>
      <c r="NLL34" s="16"/>
      <c r="NLM34" s="16"/>
      <c r="NLN34" s="16"/>
      <c r="NLO34" s="16"/>
      <c r="NLP34" s="16"/>
      <c r="NLQ34" s="16"/>
      <c r="NLR34" s="16"/>
      <c r="NLS34" s="16"/>
      <c r="NLT34" s="16"/>
      <c r="NLU34" s="16"/>
      <c r="NLV34" s="16"/>
      <c r="NLW34" s="16"/>
      <c r="NLX34" s="16"/>
      <c r="NLY34" s="16"/>
      <c r="NLZ34" s="16"/>
      <c r="NMA34" s="16"/>
      <c r="NMB34" s="16"/>
      <c r="NMC34" s="16"/>
      <c r="NMD34" s="16"/>
      <c r="NME34" s="16"/>
      <c r="NMF34" s="16"/>
      <c r="NMG34" s="16"/>
      <c r="NMH34" s="16"/>
      <c r="NMI34" s="16"/>
      <c r="NMJ34" s="16"/>
      <c r="NMK34" s="16"/>
      <c r="NML34" s="16"/>
      <c r="NMM34" s="16"/>
      <c r="NMN34" s="16"/>
      <c r="NMO34" s="16"/>
      <c r="NMP34" s="16"/>
      <c r="NMQ34" s="16"/>
      <c r="NMR34" s="16"/>
      <c r="NMS34" s="16"/>
      <c r="NMT34" s="16"/>
      <c r="NMU34" s="16"/>
      <c r="NMV34" s="16"/>
      <c r="NMW34" s="16"/>
      <c r="NMX34" s="16"/>
      <c r="NMY34" s="16"/>
      <c r="NMZ34" s="16"/>
      <c r="NNA34" s="16"/>
      <c r="NNB34" s="16"/>
      <c r="NNC34" s="16"/>
      <c r="NND34" s="16"/>
      <c r="NNE34" s="16"/>
      <c r="NNF34" s="16"/>
      <c r="NNG34" s="16"/>
      <c r="NNH34" s="16"/>
      <c r="NNI34" s="16"/>
      <c r="NNJ34" s="16"/>
      <c r="NNK34" s="16"/>
      <c r="NNL34" s="16"/>
      <c r="NNM34" s="16"/>
      <c r="NNN34" s="16"/>
      <c r="NNO34" s="16"/>
      <c r="NNP34" s="16"/>
      <c r="NNQ34" s="16"/>
      <c r="NNR34" s="16"/>
      <c r="NNS34" s="16"/>
      <c r="NNT34" s="16"/>
      <c r="NNU34" s="16"/>
      <c r="NNV34" s="16"/>
      <c r="NNW34" s="16"/>
      <c r="NNX34" s="16"/>
      <c r="NNY34" s="16"/>
      <c r="NNZ34" s="16"/>
      <c r="NOA34" s="16"/>
      <c r="NOB34" s="16"/>
      <c r="NOC34" s="16"/>
      <c r="NOD34" s="16"/>
      <c r="NOE34" s="16"/>
      <c r="NOF34" s="16"/>
      <c r="NOG34" s="16"/>
      <c r="NOH34" s="16"/>
      <c r="NOI34" s="16"/>
      <c r="NOJ34" s="16"/>
      <c r="NOK34" s="16"/>
      <c r="NOL34" s="16"/>
      <c r="NOM34" s="16"/>
      <c r="NON34" s="16"/>
      <c r="NOO34" s="16"/>
      <c r="NOP34" s="16"/>
      <c r="NOQ34" s="16"/>
      <c r="NOR34" s="16"/>
      <c r="NOS34" s="16"/>
      <c r="NOT34" s="16"/>
      <c r="NOU34" s="16"/>
      <c r="NOV34" s="16"/>
      <c r="NOW34" s="16"/>
      <c r="NOX34" s="16"/>
      <c r="NOY34" s="16"/>
      <c r="NOZ34" s="16"/>
      <c r="NPA34" s="16"/>
      <c r="NPB34" s="16"/>
      <c r="NPC34" s="16"/>
      <c r="NPD34" s="16"/>
      <c r="NPE34" s="16"/>
      <c r="NPF34" s="16"/>
      <c r="NPG34" s="16"/>
      <c r="NPH34" s="16"/>
      <c r="NPI34" s="16"/>
      <c r="NPJ34" s="16"/>
      <c r="NPK34" s="16"/>
      <c r="NPL34" s="16"/>
      <c r="NPM34" s="16"/>
      <c r="NPN34" s="16"/>
      <c r="NPO34" s="16"/>
      <c r="NPP34" s="16"/>
      <c r="NPQ34" s="16"/>
      <c r="NPR34" s="16"/>
      <c r="NPS34" s="16"/>
      <c r="NPT34" s="16"/>
      <c r="NPU34" s="16"/>
      <c r="NPV34" s="16"/>
      <c r="NPW34" s="16"/>
      <c r="NPX34" s="16"/>
      <c r="NPY34" s="16"/>
      <c r="NPZ34" s="16"/>
      <c r="NQA34" s="16"/>
      <c r="NQB34" s="16"/>
      <c r="NQC34" s="16"/>
      <c r="NQD34" s="16"/>
      <c r="NQE34" s="16"/>
      <c r="NQF34" s="16"/>
      <c r="NQG34" s="16"/>
      <c r="NQH34" s="16"/>
      <c r="NQI34" s="16"/>
      <c r="NQJ34" s="16"/>
      <c r="NQK34" s="16"/>
      <c r="NQL34" s="16"/>
      <c r="NQM34" s="16"/>
      <c r="NQN34" s="16"/>
      <c r="NQO34" s="16"/>
      <c r="NQP34" s="16"/>
      <c r="NQQ34" s="16"/>
      <c r="NQR34" s="16"/>
      <c r="NQS34" s="16"/>
      <c r="NQT34" s="16"/>
      <c r="NQU34" s="16"/>
      <c r="NQV34" s="16"/>
      <c r="NQW34" s="16"/>
      <c r="NQX34" s="16"/>
      <c r="NQY34" s="16"/>
      <c r="NQZ34" s="16"/>
      <c r="NRA34" s="16"/>
      <c r="NRB34" s="16"/>
      <c r="NRC34" s="16"/>
      <c r="NRD34" s="16"/>
      <c r="NRE34" s="16"/>
      <c r="NRF34" s="16"/>
      <c r="NRG34" s="16"/>
      <c r="NRH34" s="16"/>
      <c r="NRI34" s="16"/>
      <c r="NRJ34" s="16"/>
      <c r="NRK34" s="16"/>
      <c r="NRL34" s="16"/>
      <c r="NRM34" s="16"/>
      <c r="NRN34" s="16"/>
      <c r="NRO34" s="16"/>
      <c r="NRP34" s="16"/>
      <c r="NRQ34" s="16"/>
      <c r="NRR34" s="16"/>
      <c r="NRS34" s="16"/>
      <c r="NRT34" s="16"/>
      <c r="NRU34" s="16"/>
      <c r="NRV34" s="16"/>
      <c r="NRW34" s="16"/>
      <c r="NRX34" s="16"/>
      <c r="NRY34" s="16"/>
      <c r="NRZ34" s="16"/>
      <c r="NSA34" s="16"/>
      <c r="NSB34" s="16"/>
      <c r="NSC34" s="16"/>
      <c r="NSD34" s="16"/>
      <c r="NSE34" s="16"/>
      <c r="NSF34" s="16"/>
      <c r="NSG34" s="16"/>
      <c r="NSH34" s="16"/>
      <c r="NSI34" s="16"/>
      <c r="NSJ34" s="16"/>
      <c r="NSK34" s="16"/>
      <c r="NSL34" s="16"/>
      <c r="NSM34" s="16"/>
      <c r="NSN34" s="16"/>
      <c r="NSO34" s="16"/>
      <c r="NSP34" s="16"/>
      <c r="NSQ34" s="16"/>
      <c r="NSR34" s="16"/>
      <c r="NSS34" s="16"/>
      <c r="NST34" s="16"/>
      <c r="NSU34" s="16"/>
      <c r="NSV34" s="16"/>
      <c r="NSW34" s="16"/>
      <c r="NSX34" s="16"/>
      <c r="NSY34" s="16"/>
      <c r="NSZ34" s="16"/>
      <c r="NTA34" s="16"/>
      <c r="NTB34" s="16"/>
      <c r="NTC34" s="16"/>
      <c r="NTD34" s="16"/>
      <c r="NTE34" s="16"/>
      <c r="NTF34" s="16"/>
      <c r="NTG34" s="16"/>
      <c r="NTH34" s="16"/>
      <c r="NTI34" s="16"/>
      <c r="NTJ34" s="16"/>
      <c r="NTK34" s="16"/>
      <c r="NTL34" s="16"/>
      <c r="NTM34" s="16"/>
      <c r="NTN34" s="16"/>
      <c r="NTO34" s="16"/>
      <c r="NTP34" s="16"/>
      <c r="NTQ34" s="16"/>
      <c r="NTR34" s="16"/>
      <c r="NTS34" s="16"/>
      <c r="NTT34" s="16"/>
      <c r="NTU34" s="16"/>
      <c r="NTV34" s="16"/>
      <c r="NTW34" s="16"/>
      <c r="NTX34" s="16"/>
      <c r="NTY34" s="16"/>
      <c r="NTZ34" s="16"/>
      <c r="NUA34" s="16"/>
      <c r="NUB34" s="16"/>
      <c r="NUC34" s="16"/>
      <c r="NUD34" s="16"/>
      <c r="NUE34" s="16"/>
      <c r="NUF34" s="16"/>
      <c r="NUG34" s="16"/>
      <c r="NUH34" s="16"/>
      <c r="NUI34" s="16"/>
      <c r="NUJ34" s="16"/>
      <c r="NUK34" s="16"/>
      <c r="NUL34" s="16"/>
      <c r="NUM34" s="16"/>
      <c r="NUN34" s="16"/>
      <c r="NUO34" s="16"/>
      <c r="NUP34" s="16"/>
      <c r="NUQ34" s="16"/>
      <c r="NUR34" s="16"/>
      <c r="NUS34" s="16"/>
      <c r="NUT34" s="16"/>
      <c r="NUU34" s="16"/>
      <c r="NUV34" s="16"/>
      <c r="NUW34" s="16"/>
      <c r="NUX34" s="16"/>
      <c r="NUY34" s="16"/>
      <c r="NUZ34" s="16"/>
      <c r="NVA34" s="16"/>
      <c r="NVB34" s="16"/>
      <c r="NVC34" s="16"/>
      <c r="NVD34" s="16"/>
      <c r="NVE34" s="16"/>
      <c r="NVF34" s="16"/>
      <c r="NVG34" s="16"/>
      <c r="NVH34" s="16"/>
      <c r="NVI34" s="16"/>
      <c r="NVJ34" s="16"/>
      <c r="NVK34" s="16"/>
      <c r="NVL34" s="16"/>
      <c r="NVM34" s="16"/>
      <c r="NVN34" s="16"/>
      <c r="NVO34" s="16"/>
      <c r="NVP34" s="16"/>
      <c r="NVQ34" s="16"/>
      <c r="NVR34" s="16"/>
      <c r="NVS34" s="16"/>
      <c r="NVT34" s="16"/>
      <c r="NVU34" s="16"/>
      <c r="NVV34" s="16"/>
      <c r="NVW34" s="16"/>
      <c r="NVX34" s="16"/>
      <c r="NVY34" s="16"/>
      <c r="NVZ34" s="16"/>
      <c r="NWA34" s="16"/>
      <c r="NWB34" s="16"/>
      <c r="NWC34" s="16"/>
      <c r="NWD34" s="16"/>
      <c r="NWE34" s="16"/>
      <c r="NWF34" s="16"/>
      <c r="NWG34" s="16"/>
      <c r="NWH34" s="16"/>
      <c r="NWI34" s="16"/>
      <c r="NWJ34" s="16"/>
      <c r="NWK34" s="16"/>
      <c r="NWL34" s="16"/>
      <c r="NWM34" s="16"/>
      <c r="NWN34" s="16"/>
      <c r="NWO34" s="16"/>
      <c r="NWP34" s="16"/>
      <c r="NWQ34" s="16"/>
      <c r="NWR34" s="16"/>
      <c r="NWS34" s="16"/>
      <c r="NWT34" s="16"/>
      <c r="NWU34" s="16"/>
      <c r="NWV34" s="16"/>
      <c r="NWW34" s="16"/>
      <c r="NWX34" s="16"/>
      <c r="NWY34" s="16"/>
      <c r="NWZ34" s="16"/>
      <c r="NXA34" s="16"/>
      <c r="NXB34" s="16"/>
      <c r="NXC34" s="16"/>
      <c r="NXD34" s="16"/>
      <c r="NXE34" s="16"/>
      <c r="NXF34" s="16"/>
      <c r="NXG34" s="16"/>
      <c r="NXH34" s="16"/>
      <c r="NXI34" s="16"/>
      <c r="NXJ34" s="16"/>
      <c r="NXK34" s="16"/>
      <c r="NXL34" s="16"/>
      <c r="NXM34" s="16"/>
      <c r="NXN34" s="16"/>
      <c r="NXO34" s="16"/>
      <c r="NXP34" s="16"/>
      <c r="NXQ34" s="16"/>
      <c r="NXR34" s="16"/>
      <c r="NXS34" s="16"/>
      <c r="NXT34" s="16"/>
      <c r="NXU34" s="16"/>
      <c r="NXV34" s="16"/>
      <c r="NXW34" s="16"/>
      <c r="NXX34" s="16"/>
      <c r="NXY34" s="16"/>
      <c r="NXZ34" s="16"/>
      <c r="NYA34" s="16"/>
      <c r="NYB34" s="16"/>
      <c r="NYC34" s="16"/>
      <c r="NYD34" s="16"/>
      <c r="NYE34" s="16"/>
      <c r="NYF34" s="16"/>
      <c r="NYG34" s="16"/>
      <c r="NYH34" s="16"/>
      <c r="NYI34" s="16"/>
      <c r="NYJ34" s="16"/>
      <c r="NYK34" s="16"/>
      <c r="NYL34" s="16"/>
      <c r="NYM34" s="16"/>
      <c r="NYN34" s="16"/>
      <c r="NYO34" s="16"/>
      <c r="NYP34" s="16"/>
      <c r="NYQ34" s="16"/>
      <c r="NYR34" s="16"/>
      <c r="NYS34" s="16"/>
      <c r="NYT34" s="16"/>
      <c r="NYU34" s="16"/>
      <c r="NYV34" s="16"/>
      <c r="NYW34" s="16"/>
      <c r="NYX34" s="16"/>
      <c r="NYY34" s="16"/>
      <c r="NYZ34" s="16"/>
      <c r="NZA34" s="16"/>
      <c r="NZB34" s="16"/>
      <c r="NZC34" s="16"/>
      <c r="NZD34" s="16"/>
      <c r="NZE34" s="16"/>
      <c r="NZF34" s="16"/>
      <c r="NZG34" s="16"/>
      <c r="NZH34" s="16"/>
      <c r="NZI34" s="16"/>
      <c r="NZJ34" s="16"/>
      <c r="NZK34" s="16"/>
      <c r="NZL34" s="16"/>
      <c r="NZM34" s="16"/>
      <c r="NZN34" s="16"/>
      <c r="NZO34" s="16"/>
      <c r="NZP34" s="16"/>
      <c r="NZQ34" s="16"/>
      <c r="NZR34" s="16"/>
      <c r="NZS34" s="16"/>
      <c r="NZT34" s="16"/>
      <c r="NZU34" s="16"/>
      <c r="NZV34" s="16"/>
      <c r="NZW34" s="16"/>
      <c r="NZX34" s="16"/>
      <c r="NZY34" s="16"/>
      <c r="NZZ34" s="16"/>
      <c r="OAA34" s="16"/>
      <c r="OAB34" s="16"/>
      <c r="OAC34" s="16"/>
      <c r="OAD34" s="16"/>
      <c r="OAE34" s="16"/>
      <c r="OAF34" s="16"/>
      <c r="OAG34" s="16"/>
      <c r="OAH34" s="16"/>
      <c r="OAI34" s="16"/>
      <c r="OAJ34" s="16"/>
      <c r="OAK34" s="16"/>
      <c r="OAL34" s="16"/>
      <c r="OAM34" s="16"/>
      <c r="OAN34" s="16"/>
      <c r="OAO34" s="16"/>
      <c r="OAP34" s="16"/>
      <c r="OAQ34" s="16"/>
      <c r="OAR34" s="16"/>
      <c r="OAS34" s="16"/>
      <c r="OAT34" s="16"/>
      <c r="OAU34" s="16"/>
      <c r="OAV34" s="16"/>
      <c r="OAW34" s="16"/>
      <c r="OAX34" s="16"/>
      <c r="OAY34" s="16"/>
      <c r="OAZ34" s="16"/>
      <c r="OBA34" s="16"/>
      <c r="OBB34" s="16"/>
      <c r="OBC34" s="16"/>
      <c r="OBD34" s="16"/>
      <c r="OBE34" s="16"/>
      <c r="OBF34" s="16"/>
      <c r="OBG34" s="16"/>
      <c r="OBH34" s="16"/>
      <c r="OBI34" s="16"/>
      <c r="OBJ34" s="16"/>
      <c r="OBK34" s="16"/>
      <c r="OBL34" s="16"/>
      <c r="OBM34" s="16"/>
      <c r="OBN34" s="16"/>
      <c r="OBO34" s="16"/>
      <c r="OBP34" s="16"/>
      <c r="OBQ34" s="16"/>
      <c r="OBR34" s="16"/>
      <c r="OBS34" s="16"/>
      <c r="OBT34" s="16"/>
      <c r="OBU34" s="16"/>
      <c r="OBV34" s="16"/>
      <c r="OBW34" s="16"/>
      <c r="OBX34" s="16"/>
      <c r="OBY34" s="16"/>
      <c r="OBZ34" s="16"/>
      <c r="OCA34" s="16"/>
      <c r="OCB34" s="16"/>
      <c r="OCC34" s="16"/>
      <c r="OCD34" s="16"/>
      <c r="OCE34" s="16"/>
      <c r="OCF34" s="16"/>
      <c r="OCG34" s="16"/>
      <c r="OCH34" s="16"/>
      <c r="OCI34" s="16"/>
      <c r="OCJ34" s="16"/>
      <c r="OCK34" s="16"/>
      <c r="OCL34" s="16"/>
      <c r="OCM34" s="16"/>
      <c r="OCN34" s="16"/>
      <c r="OCO34" s="16"/>
      <c r="OCP34" s="16"/>
      <c r="OCQ34" s="16"/>
      <c r="OCR34" s="16"/>
      <c r="OCS34" s="16"/>
      <c r="OCT34" s="16"/>
      <c r="OCU34" s="16"/>
      <c r="OCV34" s="16"/>
      <c r="OCW34" s="16"/>
      <c r="OCX34" s="16"/>
      <c r="OCY34" s="16"/>
      <c r="OCZ34" s="16"/>
      <c r="ODA34" s="16"/>
      <c r="ODB34" s="16"/>
      <c r="ODC34" s="16"/>
      <c r="ODD34" s="16"/>
      <c r="ODE34" s="16"/>
      <c r="ODF34" s="16"/>
      <c r="ODG34" s="16"/>
      <c r="ODH34" s="16"/>
      <c r="ODI34" s="16"/>
      <c r="ODJ34" s="16"/>
      <c r="ODK34" s="16"/>
      <c r="ODL34" s="16"/>
      <c r="ODM34" s="16"/>
      <c r="ODN34" s="16"/>
      <c r="ODO34" s="16"/>
      <c r="ODP34" s="16"/>
      <c r="ODQ34" s="16"/>
      <c r="ODR34" s="16"/>
      <c r="ODS34" s="16"/>
      <c r="ODT34" s="16"/>
      <c r="ODU34" s="16"/>
      <c r="ODV34" s="16"/>
      <c r="ODW34" s="16"/>
      <c r="ODX34" s="16"/>
      <c r="ODY34" s="16"/>
      <c r="ODZ34" s="16"/>
      <c r="OEA34" s="16"/>
      <c r="OEB34" s="16"/>
      <c r="OEC34" s="16"/>
      <c r="OED34" s="16"/>
      <c r="OEE34" s="16"/>
      <c r="OEF34" s="16"/>
      <c r="OEG34" s="16"/>
      <c r="OEH34" s="16"/>
      <c r="OEI34" s="16"/>
      <c r="OEJ34" s="16"/>
      <c r="OEK34" s="16"/>
      <c r="OEL34" s="16"/>
      <c r="OEM34" s="16"/>
      <c r="OEN34" s="16"/>
      <c r="OEO34" s="16"/>
      <c r="OEP34" s="16"/>
      <c r="OEQ34" s="16"/>
      <c r="OER34" s="16"/>
      <c r="OES34" s="16"/>
      <c r="OET34" s="16"/>
      <c r="OEU34" s="16"/>
      <c r="OEV34" s="16"/>
      <c r="OEW34" s="16"/>
      <c r="OEX34" s="16"/>
      <c r="OEY34" s="16"/>
      <c r="OEZ34" s="16"/>
      <c r="OFA34" s="16"/>
      <c r="OFB34" s="16"/>
      <c r="OFC34" s="16"/>
      <c r="OFD34" s="16"/>
      <c r="OFE34" s="16"/>
      <c r="OFF34" s="16"/>
      <c r="OFG34" s="16"/>
      <c r="OFH34" s="16"/>
      <c r="OFI34" s="16"/>
      <c r="OFJ34" s="16"/>
      <c r="OFK34" s="16"/>
      <c r="OFL34" s="16"/>
      <c r="OFM34" s="16"/>
      <c r="OFN34" s="16"/>
      <c r="OFO34" s="16"/>
      <c r="OFP34" s="16"/>
      <c r="OFQ34" s="16"/>
      <c r="OFR34" s="16"/>
      <c r="OFS34" s="16"/>
      <c r="OFT34" s="16"/>
      <c r="OFU34" s="16"/>
      <c r="OFV34" s="16"/>
      <c r="OFW34" s="16"/>
      <c r="OFX34" s="16"/>
      <c r="OFY34" s="16"/>
      <c r="OFZ34" s="16"/>
      <c r="OGA34" s="16"/>
      <c r="OGB34" s="16"/>
      <c r="OGC34" s="16"/>
      <c r="OGD34" s="16"/>
      <c r="OGE34" s="16"/>
      <c r="OGF34" s="16"/>
      <c r="OGG34" s="16"/>
      <c r="OGH34" s="16"/>
      <c r="OGI34" s="16"/>
      <c r="OGJ34" s="16"/>
      <c r="OGK34" s="16"/>
      <c r="OGL34" s="16"/>
      <c r="OGM34" s="16"/>
      <c r="OGN34" s="16"/>
      <c r="OGO34" s="16"/>
      <c r="OGP34" s="16"/>
      <c r="OGQ34" s="16"/>
      <c r="OGR34" s="16"/>
      <c r="OGS34" s="16"/>
      <c r="OGT34" s="16"/>
      <c r="OGU34" s="16"/>
      <c r="OGV34" s="16"/>
      <c r="OGW34" s="16"/>
      <c r="OGX34" s="16"/>
      <c r="OGY34" s="16"/>
      <c r="OGZ34" s="16"/>
      <c r="OHA34" s="16"/>
      <c r="OHB34" s="16"/>
      <c r="OHC34" s="16"/>
      <c r="OHD34" s="16"/>
      <c r="OHE34" s="16"/>
      <c r="OHF34" s="16"/>
      <c r="OHG34" s="16"/>
      <c r="OHH34" s="16"/>
      <c r="OHI34" s="16"/>
      <c r="OHJ34" s="16"/>
      <c r="OHK34" s="16"/>
      <c r="OHL34" s="16"/>
      <c r="OHM34" s="16"/>
      <c r="OHN34" s="16"/>
      <c r="OHO34" s="16"/>
      <c r="OHP34" s="16"/>
      <c r="OHQ34" s="16"/>
      <c r="OHR34" s="16"/>
      <c r="OHS34" s="16"/>
      <c r="OHT34" s="16"/>
      <c r="OHU34" s="16"/>
      <c r="OHV34" s="16"/>
      <c r="OHW34" s="16"/>
      <c r="OHX34" s="16"/>
      <c r="OHY34" s="16"/>
      <c r="OHZ34" s="16"/>
      <c r="OIA34" s="16"/>
      <c r="OIB34" s="16"/>
      <c r="OIC34" s="16"/>
      <c r="OID34" s="16"/>
      <c r="OIE34" s="16"/>
      <c r="OIF34" s="16"/>
      <c r="OIG34" s="16"/>
      <c r="OIH34" s="16"/>
      <c r="OII34" s="16"/>
      <c r="OIJ34" s="16"/>
      <c r="OIK34" s="16"/>
      <c r="OIL34" s="16"/>
      <c r="OIM34" s="16"/>
      <c r="OIN34" s="16"/>
      <c r="OIO34" s="16"/>
      <c r="OIP34" s="16"/>
      <c r="OIQ34" s="16"/>
      <c r="OIR34" s="16"/>
      <c r="OIS34" s="16"/>
      <c r="OIT34" s="16"/>
      <c r="OIU34" s="16"/>
      <c r="OIV34" s="16"/>
      <c r="OIW34" s="16"/>
      <c r="OIX34" s="16"/>
      <c r="OIY34" s="16"/>
      <c r="OIZ34" s="16"/>
      <c r="OJA34" s="16"/>
      <c r="OJB34" s="16"/>
      <c r="OJC34" s="16"/>
      <c r="OJD34" s="16"/>
      <c r="OJE34" s="16"/>
      <c r="OJF34" s="16"/>
      <c r="OJG34" s="16"/>
      <c r="OJH34" s="16"/>
      <c r="OJI34" s="16"/>
      <c r="OJJ34" s="16"/>
      <c r="OJK34" s="16"/>
      <c r="OJL34" s="16"/>
      <c r="OJM34" s="16"/>
      <c r="OJN34" s="16"/>
      <c r="OJO34" s="16"/>
      <c r="OJP34" s="16"/>
      <c r="OJQ34" s="16"/>
      <c r="OJR34" s="16"/>
      <c r="OJS34" s="16"/>
      <c r="OJT34" s="16"/>
      <c r="OJU34" s="16"/>
      <c r="OJV34" s="16"/>
      <c r="OJW34" s="16"/>
      <c r="OJX34" s="16"/>
      <c r="OJY34" s="16"/>
      <c r="OJZ34" s="16"/>
      <c r="OKA34" s="16"/>
      <c r="OKB34" s="16"/>
      <c r="OKC34" s="16"/>
      <c r="OKD34" s="16"/>
      <c r="OKE34" s="16"/>
      <c r="OKF34" s="16"/>
      <c r="OKG34" s="16"/>
      <c r="OKH34" s="16"/>
      <c r="OKI34" s="16"/>
      <c r="OKJ34" s="16"/>
      <c r="OKK34" s="16"/>
      <c r="OKL34" s="16"/>
      <c r="OKM34" s="16"/>
      <c r="OKN34" s="16"/>
      <c r="OKO34" s="16"/>
      <c r="OKP34" s="16"/>
      <c r="OKQ34" s="16"/>
      <c r="OKR34" s="16"/>
      <c r="OKS34" s="16"/>
      <c r="OKT34" s="16"/>
      <c r="OKU34" s="16"/>
      <c r="OKV34" s="16"/>
      <c r="OKW34" s="16"/>
      <c r="OKX34" s="16"/>
      <c r="OKY34" s="16"/>
      <c r="OKZ34" s="16"/>
      <c r="OLA34" s="16"/>
      <c r="OLB34" s="16"/>
      <c r="OLC34" s="16"/>
      <c r="OLD34" s="16"/>
      <c r="OLE34" s="16"/>
      <c r="OLF34" s="16"/>
      <c r="OLG34" s="16"/>
      <c r="OLH34" s="16"/>
      <c r="OLI34" s="16"/>
      <c r="OLJ34" s="16"/>
      <c r="OLK34" s="16"/>
      <c r="OLL34" s="16"/>
      <c r="OLM34" s="16"/>
      <c r="OLN34" s="16"/>
      <c r="OLO34" s="16"/>
      <c r="OLP34" s="16"/>
      <c r="OLQ34" s="16"/>
      <c r="OLR34" s="16"/>
      <c r="OLS34" s="16"/>
      <c r="OLT34" s="16"/>
      <c r="OLU34" s="16"/>
      <c r="OLV34" s="16"/>
      <c r="OLW34" s="16"/>
      <c r="OLX34" s="16"/>
      <c r="OLY34" s="16"/>
      <c r="OLZ34" s="16"/>
      <c r="OMA34" s="16"/>
      <c r="OMB34" s="16"/>
      <c r="OMC34" s="16"/>
      <c r="OMD34" s="16"/>
      <c r="OME34" s="16"/>
      <c r="OMF34" s="16"/>
      <c r="OMG34" s="16"/>
      <c r="OMH34" s="16"/>
      <c r="OMI34" s="16"/>
      <c r="OMJ34" s="16"/>
      <c r="OMK34" s="16"/>
      <c r="OML34" s="16"/>
      <c r="OMM34" s="16"/>
      <c r="OMN34" s="16"/>
      <c r="OMO34" s="16"/>
      <c r="OMP34" s="16"/>
      <c r="OMQ34" s="16"/>
      <c r="OMR34" s="16"/>
      <c r="OMS34" s="16"/>
      <c r="OMT34" s="16"/>
      <c r="OMU34" s="16"/>
      <c r="OMV34" s="16"/>
      <c r="OMW34" s="16"/>
      <c r="OMX34" s="16"/>
      <c r="OMY34" s="16"/>
      <c r="OMZ34" s="16"/>
      <c r="ONA34" s="16"/>
      <c r="ONB34" s="16"/>
      <c r="ONC34" s="16"/>
      <c r="OND34" s="16"/>
      <c r="ONE34" s="16"/>
      <c r="ONF34" s="16"/>
      <c r="ONG34" s="16"/>
      <c r="ONH34" s="16"/>
      <c r="ONI34" s="16"/>
      <c r="ONJ34" s="16"/>
      <c r="ONK34" s="16"/>
      <c r="ONL34" s="16"/>
      <c r="ONM34" s="16"/>
      <c r="ONN34" s="16"/>
      <c r="ONO34" s="16"/>
      <c r="ONP34" s="16"/>
      <c r="ONQ34" s="16"/>
      <c r="ONR34" s="16"/>
      <c r="ONS34" s="16"/>
      <c r="ONT34" s="16"/>
      <c r="ONU34" s="16"/>
      <c r="ONV34" s="16"/>
      <c r="ONW34" s="16"/>
      <c r="ONX34" s="16"/>
      <c r="ONY34" s="16"/>
      <c r="ONZ34" s="16"/>
      <c r="OOA34" s="16"/>
      <c r="OOB34" s="16"/>
      <c r="OOC34" s="16"/>
      <c r="OOD34" s="16"/>
      <c r="OOE34" s="16"/>
      <c r="OOF34" s="16"/>
      <c r="OOG34" s="16"/>
      <c r="OOH34" s="16"/>
      <c r="OOI34" s="16"/>
      <c r="OOJ34" s="16"/>
      <c r="OOK34" s="16"/>
      <c r="OOL34" s="16"/>
      <c r="OOM34" s="16"/>
      <c r="OON34" s="16"/>
      <c r="OOO34" s="16"/>
      <c r="OOP34" s="16"/>
      <c r="OOQ34" s="16"/>
      <c r="OOR34" s="16"/>
      <c r="OOS34" s="16"/>
      <c r="OOT34" s="16"/>
      <c r="OOU34" s="16"/>
      <c r="OOV34" s="16"/>
      <c r="OOW34" s="16"/>
      <c r="OOX34" s="16"/>
      <c r="OOY34" s="16"/>
      <c r="OOZ34" s="16"/>
      <c r="OPA34" s="16"/>
      <c r="OPB34" s="16"/>
      <c r="OPC34" s="16"/>
      <c r="OPD34" s="16"/>
      <c r="OPE34" s="16"/>
      <c r="OPF34" s="16"/>
      <c r="OPG34" s="16"/>
      <c r="OPH34" s="16"/>
      <c r="OPI34" s="16"/>
      <c r="OPJ34" s="16"/>
      <c r="OPK34" s="16"/>
      <c r="OPL34" s="16"/>
      <c r="OPM34" s="16"/>
      <c r="OPN34" s="16"/>
      <c r="OPO34" s="16"/>
      <c r="OPP34" s="16"/>
      <c r="OPQ34" s="16"/>
      <c r="OPR34" s="16"/>
      <c r="OPS34" s="16"/>
      <c r="OPT34" s="16"/>
      <c r="OPU34" s="16"/>
      <c r="OPV34" s="16"/>
      <c r="OPW34" s="16"/>
      <c r="OPX34" s="16"/>
      <c r="OPY34" s="16"/>
      <c r="OPZ34" s="16"/>
      <c r="OQA34" s="16"/>
      <c r="OQB34" s="16"/>
      <c r="OQC34" s="16"/>
      <c r="OQD34" s="16"/>
      <c r="OQE34" s="16"/>
      <c r="OQF34" s="16"/>
      <c r="OQG34" s="16"/>
      <c r="OQH34" s="16"/>
      <c r="OQI34" s="16"/>
      <c r="OQJ34" s="16"/>
      <c r="OQK34" s="16"/>
      <c r="OQL34" s="16"/>
      <c r="OQM34" s="16"/>
      <c r="OQN34" s="16"/>
      <c r="OQO34" s="16"/>
      <c r="OQP34" s="16"/>
      <c r="OQQ34" s="16"/>
      <c r="OQR34" s="16"/>
      <c r="OQS34" s="16"/>
      <c r="OQT34" s="16"/>
      <c r="OQU34" s="16"/>
      <c r="OQV34" s="16"/>
      <c r="OQW34" s="16"/>
      <c r="OQX34" s="16"/>
      <c r="OQY34" s="16"/>
      <c r="OQZ34" s="16"/>
      <c r="ORA34" s="16"/>
      <c r="ORB34" s="16"/>
      <c r="ORC34" s="16"/>
      <c r="ORD34" s="16"/>
      <c r="ORE34" s="16"/>
      <c r="ORF34" s="16"/>
      <c r="ORG34" s="16"/>
      <c r="ORH34" s="16"/>
      <c r="ORI34" s="16"/>
      <c r="ORJ34" s="16"/>
      <c r="ORK34" s="16"/>
      <c r="ORL34" s="16"/>
      <c r="ORM34" s="16"/>
      <c r="ORN34" s="16"/>
      <c r="ORO34" s="16"/>
      <c r="ORP34" s="16"/>
      <c r="ORQ34" s="16"/>
      <c r="ORR34" s="16"/>
      <c r="ORS34" s="16"/>
      <c r="ORT34" s="16"/>
      <c r="ORU34" s="16"/>
      <c r="ORV34" s="16"/>
      <c r="ORW34" s="16"/>
      <c r="ORX34" s="16"/>
      <c r="ORY34" s="16"/>
      <c r="ORZ34" s="16"/>
      <c r="OSA34" s="16"/>
      <c r="OSB34" s="16"/>
      <c r="OSC34" s="16"/>
      <c r="OSD34" s="16"/>
      <c r="OSE34" s="16"/>
      <c r="OSF34" s="16"/>
      <c r="OSG34" s="16"/>
      <c r="OSH34" s="16"/>
      <c r="OSI34" s="16"/>
      <c r="OSJ34" s="16"/>
      <c r="OSK34" s="16"/>
      <c r="OSL34" s="16"/>
      <c r="OSM34" s="16"/>
      <c r="OSN34" s="16"/>
      <c r="OSO34" s="16"/>
      <c r="OSP34" s="16"/>
      <c r="OSQ34" s="16"/>
      <c r="OSR34" s="16"/>
      <c r="OSS34" s="16"/>
      <c r="OST34" s="16"/>
      <c r="OSU34" s="16"/>
      <c r="OSV34" s="16"/>
      <c r="OSW34" s="16"/>
      <c r="OSX34" s="16"/>
      <c r="OSY34" s="16"/>
      <c r="OSZ34" s="16"/>
      <c r="OTA34" s="16"/>
      <c r="OTB34" s="16"/>
      <c r="OTC34" s="16"/>
      <c r="OTD34" s="16"/>
      <c r="OTE34" s="16"/>
      <c r="OTF34" s="16"/>
      <c r="OTG34" s="16"/>
      <c r="OTH34" s="16"/>
      <c r="OTI34" s="16"/>
      <c r="OTJ34" s="16"/>
      <c r="OTK34" s="16"/>
      <c r="OTL34" s="16"/>
      <c r="OTM34" s="16"/>
      <c r="OTN34" s="16"/>
      <c r="OTO34" s="16"/>
      <c r="OTP34" s="16"/>
      <c r="OTQ34" s="16"/>
      <c r="OTR34" s="16"/>
      <c r="OTS34" s="16"/>
      <c r="OTT34" s="16"/>
      <c r="OTU34" s="16"/>
      <c r="OTV34" s="16"/>
      <c r="OTW34" s="16"/>
      <c r="OTX34" s="16"/>
      <c r="OTY34" s="16"/>
      <c r="OTZ34" s="16"/>
      <c r="OUA34" s="16"/>
      <c r="OUB34" s="16"/>
      <c r="OUC34" s="16"/>
      <c r="OUD34" s="16"/>
      <c r="OUE34" s="16"/>
      <c r="OUF34" s="16"/>
      <c r="OUG34" s="16"/>
      <c r="OUH34" s="16"/>
      <c r="OUI34" s="16"/>
      <c r="OUJ34" s="16"/>
      <c r="OUK34" s="16"/>
      <c r="OUL34" s="16"/>
      <c r="OUM34" s="16"/>
      <c r="OUN34" s="16"/>
      <c r="OUO34" s="16"/>
      <c r="OUP34" s="16"/>
      <c r="OUQ34" s="16"/>
      <c r="OUR34" s="16"/>
      <c r="OUS34" s="16"/>
      <c r="OUT34" s="16"/>
      <c r="OUU34" s="16"/>
      <c r="OUV34" s="16"/>
      <c r="OUW34" s="16"/>
      <c r="OUX34" s="16"/>
      <c r="OUY34" s="16"/>
      <c r="OUZ34" s="16"/>
      <c r="OVA34" s="16"/>
      <c r="OVB34" s="16"/>
      <c r="OVC34" s="16"/>
      <c r="OVD34" s="16"/>
      <c r="OVE34" s="16"/>
      <c r="OVF34" s="16"/>
      <c r="OVG34" s="16"/>
      <c r="OVH34" s="16"/>
      <c r="OVI34" s="16"/>
      <c r="OVJ34" s="16"/>
      <c r="OVK34" s="16"/>
      <c r="OVL34" s="16"/>
      <c r="OVM34" s="16"/>
      <c r="OVN34" s="16"/>
      <c r="OVO34" s="16"/>
      <c r="OVP34" s="16"/>
      <c r="OVQ34" s="16"/>
      <c r="OVR34" s="16"/>
      <c r="OVS34" s="16"/>
      <c r="OVT34" s="16"/>
      <c r="OVU34" s="16"/>
      <c r="OVV34" s="16"/>
      <c r="OVW34" s="16"/>
      <c r="OVX34" s="16"/>
      <c r="OVY34" s="16"/>
      <c r="OVZ34" s="16"/>
      <c r="OWA34" s="16"/>
      <c r="OWB34" s="16"/>
      <c r="OWC34" s="16"/>
      <c r="OWD34" s="16"/>
      <c r="OWE34" s="16"/>
      <c r="OWF34" s="16"/>
      <c r="OWG34" s="16"/>
      <c r="OWH34" s="16"/>
      <c r="OWI34" s="16"/>
      <c r="OWJ34" s="16"/>
      <c r="OWK34" s="16"/>
      <c r="OWL34" s="16"/>
      <c r="OWM34" s="16"/>
      <c r="OWN34" s="16"/>
      <c r="OWO34" s="16"/>
      <c r="OWP34" s="16"/>
      <c r="OWQ34" s="16"/>
      <c r="OWR34" s="16"/>
      <c r="OWS34" s="16"/>
      <c r="OWT34" s="16"/>
      <c r="OWU34" s="16"/>
      <c r="OWV34" s="16"/>
      <c r="OWW34" s="16"/>
      <c r="OWX34" s="16"/>
      <c r="OWY34" s="16"/>
      <c r="OWZ34" s="16"/>
      <c r="OXA34" s="16"/>
      <c r="OXB34" s="16"/>
      <c r="OXC34" s="16"/>
      <c r="OXD34" s="16"/>
      <c r="OXE34" s="16"/>
      <c r="OXF34" s="16"/>
      <c r="OXG34" s="16"/>
      <c r="OXH34" s="16"/>
      <c r="OXI34" s="16"/>
      <c r="OXJ34" s="16"/>
      <c r="OXK34" s="16"/>
      <c r="OXL34" s="16"/>
      <c r="OXM34" s="16"/>
      <c r="OXN34" s="16"/>
      <c r="OXO34" s="16"/>
      <c r="OXP34" s="16"/>
      <c r="OXQ34" s="16"/>
      <c r="OXR34" s="16"/>
      <c r="OXS34" s="16"/>
      <c r="OXT34" s="16"/>
      <c r="OXU34" s="16"/>
      <c r="OXV34" s="16"/>
      <c r="OXW34" s="16"/>
      <c r="OXX34" s="16"/>
      <c r="OXY34" s="16"/>
      <c r="OXZ34" s="16"/>
      <c r="OYA34" s="16"/>
      <c r="OYB34" s="16"/>
      <c r="OYC34" s="16"/>
      <c r="OYD34" s="16"/>
      <c r="OYE34" s="16"/>
      <c r="OYF34" s="16"/>
      <c r="OYG34" s="16"/>
      <c r="OYH34" s="16"/>
      <c r="OYI34" s="16"/>
      <c r="OYJ34" s="16"/>
      <c r="OYK34" s="16"/>
      <c r="OYL34" s="16"/>
      <c r="OYM34" s="16"/>
      <c r="OYN34" s="16"/>
      <c r="OYO34" s="16"/>
      <c r="OYP34" s="16"/>
      <c r="OYQ34" s="16"/>
      <c r="OYR34" s="16"/>
      <c r="OYS34" s="16"/>
      <c r="OYT34" s="16"/>
      <c r="OYU34" s="16"/>
      <c r="OYV34" s="16"/>
      <c r="OYW34" s="16"/>
      <c r="OYX34" s="16"/>
      <c r="OYY34" s="16"/>
      <c r="OYZ34" s="16"/>
      <c r="OZA34" s="16"/>
      <c r="OZB34" s="16"/>
      <c r="OZC34" s="16"/>
      <c r="OZD34" s="16"/>
      <c r="OZE34" s="16"/>
      <c r="OZF34" s="16"/>
      <c r="OZG34" s="16"/>
      <c r="OZH34" s="16"/>
      <c r="OZI34" s="16"/>
      <c r="OZJ34" s="16"/>
      <c r="OZK34" s="16"/>
      <c r="OZL34" s="16"/>
      <c r="OZM34" s="16"/>
      <c r="OZN34" s="16"/>
      <c r="OZO34" s="16"/>
      <c r="OZP34" s="16"/>
      <c r="OZQ34" s="16"/>
      <c r="OZR34" s="16"/>
      <c r="OZS34" s="16"/>
      <c r="OZT34" s="16"/>
      <c r="OZU34" s="16"/>
      <c r="OZV34" s="16"/>
      <c r="OZW34" s="16"/>
      <c r="OZX34" s="16"/>
      <c r="OZY34" s="16"/>
      <c r="OZZ34" s="16"/>
      <c r="PAA34" s="16"/>
      <c r="PAB34" s="16"/>
      <c r="PAC34" s="16"/>
      <c r="PAD34" s="16"/>
      <c r="PAE34" s="16"/>
      <c r="PAF34" s="16"/>
      <c r="PAG34" s="16"/>
      <c r="PAH34" s="16"/>
      <c r="PAI34" s="16"/>
      <c r="PAJ34" s="16"/>
      <c r="PAK34" s="16"/>
      <c r="PAL34" s="16"/>
      <c r="PAM34" s="16"/>
      <c r="PAN34" s="16"/>
      <c r="PAO34" s="16"/>
      <c r="PAP34" s="16"/>
      <c r="PAQ34" s="16"/>
      <c r="PAR34" s="16"/>
      <c r="PAS34" s="16"/>
      <c r="PAT34" s="16"/>
      <c r="PAU34" s="16"/>
      <c r="PAV34" s="16"/>
      <c r="PAW34" s="16"/>
      <c r="PAX34" s="16"/>
      <c r="PAY34" s="16"/>
      <c r="PAZ34" s="16"/>
      <c r="PBA34" s="16"/>
      <c r="PBB34" s="16"/>
      <c r="PBC34" s="16"/>
      <c r="PBD34" s="16"/>
      <c r="PBE34" s="16"/>
      <c r="PBF34" s="16"/>
      <c r="PBG34" s="16"/>
      <c r="PBH34" s="16"/>
      <c r="PBI34" s="16"/>
      <c r="PBJ34" s="16"/>
      <c r="PBK34" s="16"/>
      <c r="PBL34" s="16"/>
      <c r="PBM34" s="16"/>
      <c r="PBN34" s="16"/>
      <c r="PBO34" s="16"/>
      <c r="PBP34" s="16"/>
      <c r="PBQ34" s="16"/>
      <c r="PBR34" s="16"/>
      <c r="PBS34" s="16"/>
      <c r="PBT34" s="16"/>
      <c r="PBU34" s="16"/>
      <c r="PBV34" s="16"/>
      <c r="PBW34" s="16"/>
      <c r="PBX34" s="16"/>
      <c r="PBY34" s="16"/>
      <c r="PBZ34" s="16"/>
      <c r="PCA34" s="16"/>
      <c r="PCB34" s="16"/>
      <c r="PCC34" s="16"/>
      <c r="PCD34" s="16"/>
      <c r="PCE34" s="16"/>
      <c r="PCF34" s="16"/>
      <c r="PCG34" s="16"/>
      <c r="PCH34" s="16"/>
      <c r="PCI34" s="16"/>
      <c r="PCJ34" s="16"/>
      <c r="PCK34" s="16"/>
      <c r="PCL34" s="16"/>
      <c r="PCM34" s="16"/>
      <c r="PCN34" s="16"/>
      <c r="PCO34" s="16"/>
      <c r="PCP34" s="16"/>
      <c r="PCQ34" s="16"/>
      <c r="PCR34" s="16"/>
      <c r="PCS34" s="16"/>
      <c r="PCT34" s="16"/>
      <c r="PCU34" s="16"/>
      <c r="PCV34" s="16"/>
      <c r="PCW34" s="16"/>
      <c r="PCX34" s="16"/>
      <c r="PCY34" s="16"/>
      <c r="PCZ34" s="16"/>
      <c r="PDA34" s="16"/>
      <c r="PDB34" s="16"/>
      <c r="PDC34" s="16"/>
      <c r="PDD34" s="16"/>
      <c r="PDE34" s="16"/>
      <c r="PDF34" s="16"/>
      <c r="PDG34" s="16"/>
      <c r="PDH34" s="16"/>
      <c r="PDI34" s="16"/>
      <c r="PDJ34" s="16"/>
      <c r="PDK34" s="16"/>
      <c r="PDL34" s="16"/>
      <c r="PDM34" s="16"/>
      <c r="PDN34" s="16"/>
      <c r="PDO34" s="16"/>
      <c r="PDP34" s="16"/>
      <c r="PDQ34" s="16"/>
      <c r="PDR34" s="16"/>
      <c r="PDS34" s="16"/>
      <c r="PDT34" s="16"/>
      <c r="PDU34" s="16"/>
      <c r="PDV34" s="16"/>
      <c r="PDW34" s="16"/>
      <c r="PDX34" s="16"/>
      <c r="PDY34" s="16"/>
      <c r="PDZ34" s="16"/>
      <c r="PEA34" s="16"/>
      <c r="PEB34" s="16"/>
      <c r="PEC34" s="16"/>
      <c r="PED34" s="16"/>
      <c r="PEE34" s="16"/>
      <c r="PEF34" s="16"/>
      <c r="PEG34" s="16"/>
      <c r="PEH34" s="16"/>
      <c r="PEI34" s="16"/>
      <c r="PEJ34" s="16"/>
      <c r="PEK34" s="16"/>
      <c r="PEL34" s="16"/>
      <c r="PEM34" s="16"/>
      <c r="PEN34" s="16"/>
      <c r="PEO34" s="16"/>
      <c r="PEP34" s="16"/>
      <c r="PEQ34" s="16"/>
      <c r="PER34" s="16"/>
      <c r="PES34" s="16"/>
      <c r="PET34" s="16"/>
      <c r="PEU34" s="16"/>
      <c r="PEV34" s="16"/>
      <c r="PEW34" s="16"/>
      <c r="PEX34" s="16"/>
      <c r="PEY34" s="16"/>
      <c r="PEZ34" s="16"/>
      <c r="PFA34" s="16"/>
      <c r="PFB34" s="16"/>
      <c r="PFC34" s="16"/>
      <c r="PFD34" s="16"/>
      <c r="PFE34" s="16"/>
      <c r="PFF34" s="16"/>
      <c r="PFG34" s="16"/>
      <c r="PFH34" s="16"/>
      <c r="PFI34" s="16"/>
      <c r="PFJ34" s="16"/>
      <c r="PFK34" s="16"/>
      <c r="PFL34" s="16"/>
      <c r="PFM34" s="16"/>
      <c r="PFN34" s="16"/>
      <c r="PFO34" s="16"/>
      <c r="PFP34" s="16"/>
      <c r="PFQ34" s="16"/>
      <c r="PFR34" s="16"/>
      <c r="PFS34" s="16"/>
      <c r="PFT34" s="16"/>
      <c r="PFU34" s="16"/>
      <c r="PFV34" s="16"/>
      <c r="PFW34" s="16"/>
      <c r="PFX34" s="16"/>
      <c r="PFY34" s="16"/>
      <c r="PFZ34" s="16"/>
      <c r="PGA34" s="16"/>
      <c r="PGB34" s="16"/>
      <c r="PGC34" s="16"/>
      <c r="PGD34" s="16"/>
      <c r="PGE34" s="16"/>
      <c r="PGF34" s="16"/>
      <c r="PGG34" s="16"/>
      <c r="PGH34" s="16"/>
      <c r="PGI34" s="16"/>
      <c r="PGJ34" s="16"/>
      <c r="PGK34" s="16"/>
      <c r="PGL34" s="16"/>
      <c r="PGM34" s="16"/>
      <c r="PGN34" s="16"/>
      <c r="PGO34" s="16"/>
      <c r="PGP34" s="16"/>
      <c r="PGQ34" s="16"/>
      <c r="PGR34" s="16"/>
      <c r="PGS34" s="16"/>
      <c r="PGT34" s="16"/>
      <c r="PGU34" s="16"/>
      <c r="PGV34" s="16"/>
      <c r="PGW34" s="16"/>
      <c r="PGX34" s="16"/>
      <c r="PGY34" s="16"/>
      <c r="PGZ34" s="16"/>
      <c r="PHA34" s="16"/>
      <c r="PHB34" s="16"/>
      <c r="PHC34" s="16"/>
      <c r="PHD34" s="16"/>
      <c r="PHE34" s="16"/>
      <c r="PHF34" s="16"/>
      <c r="PHG34" s="16"/>
      <c r="PHH34" s="16"/>
      <c r="PHI34" s="16"/>
      <c r="PHJ34" s="16"/>
      <c r="PHK34" s="16"/>
      <c r="PHL34" s="16"/>
      <c r="PHM34" s="16"/>
      <c r="PHN34" s="16"/>
      <c r="PHO34" s="16"/>
      <c r="PHP34" s="16"/>
      <c r="PHQ34" s="16"/>
      <c r="PHR34" s="16"/>
      <c r="PHS34" s="16"/>
      <c r="PHT34" s="16"/>
      <c r="PHU34" s="16"/>
      <c r="PHV34" s="16"/>
      <c r="PHW34" s="16"/>
      <c r="PHX34" s="16"/>
      <c r="PHY34" s="16"/>
      <c r="PHZ34" s="16"/>
      <c r="PIA34" s="16"/>
      <c r="PIB34" s="16"/>
      <c r="PIC34" s="16"/>
      <c r="PID34" s="16"/>
      <c r="PIE34" s="16"/>
      <c r="PIF34" s="16"/>
      <c r="PIG34" s="16"/>
      <c r="PIH34" s="16"/>
      <c r="PII34" s="16"/>
      <c r="PIJ34" s="16"/>
      <c r="PIK34" s="16"/>
      <c r="PIL34" s="16"/>
      <c r="PIM34" s="16"/>
      <c r="PIN34" s="16"/>
      <c r="PIO34" s="16"/>
      <c r="PIP34" s="16"/>
      <c r="PIQ34" s="16"/>
      <c r="PIR34" s="16"/>
      <c r="PIS34" s="16"/>
      <c r="PIT34" s="16"/>
      <c r="PIU34" s="16"/>
      <c r="PIV34" s="16"/>
      <c r="PIW34" s="16"/>
      <c r="PIX34" s="16"/>
      <c r="PIY34" s="16"/>
      <c r="PIZ34" s="16"/>
      <c r="PJA34" s="16"/>
      <c r="PJB34" s="16"/>
      <c r="PJC34" s="16"/>
      <c r="PJD34" s="16"/>
      <c r="PJE34" s="16"/>
      <c r="PJF34" s="16"/>
      <c r="PJG34" s="16"/>
      <c r="PJH34" s="16"/>
      <c r="PJI34" s="16"/>
      <c r="PJJ34" s="16"/>
      <c r="PJK34" s="16"/>
      <c r="PJL34" s="16"/>
      <c r="PJM34" s="16"/>
      <c r="PJN34" s="16"/>
      <c r="PJO34" s="16"/>
      <c r="PJP34" s="16"/>
      <c r="PJQ34" s="16"/>
      <c r="PJR34" s="16"/>
      <c r="PJS34" s="16"/>
      <c r="PJT34" s="16"/>
      <c r="PJU34" s="16"/>
      <c r="PJV34" s="16"/>
      <c r="PJW34" s="16"/>
      <c r="PJX34" s="16"/>
      <c r="PJY34" s="16"/>
      <c r="PJZ34" s="16"/>
      <c r="PKA34" s="16"/>
      <c r="PKB34" s="16"/>
      <c r="PKC34" s="16"/>
      <c r="PKD34" s="16"/>
      <c r="PKE34" s="16"/>
      <c r="PKF34" s="16"/>
      <c r="PKG34" s="16"/>
      <c r="PKH34" s="16"/>
      <c r="PKI34" s="16"/>
      <c r="PKJ34" s="16"/>
      <c r="PKK34" s="16"/>
      <c r="PKL34" s="16"/>
      <c r="PKM34" s="16"/>
      <c r="PKN34" s="16"/>
      <c r="PKO34" s="16"/>
      <c r="PKP34" s="16"/>
      <c r="PKQ34" s="16"/>
      <c r="PKR34" s="16"/>
      <c r="PKS34" s="16"/>
      <c r="PKT34" s="16"/>
      <c r="PKU34" s="16"/>
      <c r="PKV34" s="16"/>
      <c r="PKW34" s="16"/>
      <c r="PKX34" s="16"/>
      <c r="PKY34" s="16"/>
      <c r="PKZ34" s="16"/>
      <c r="PLA34" s="16"/>
      <c r="PLB34" s="16"/>
      <c r="PLC34" s="16"/>
      <c r="PLD34" s="16"/>
      <c r="PLE34" s="16"/>
      <c r="PLF34" s="16"/>
      <c r="PLG34" s="16"/>
      <c r="PLH34" s="16"/>
      <c r="PLI34" s="16"/>
      <c r="PLJ34" s="16"/>
      <c r="PLK34" s="16"/>
      <c r="PLL34" s="16"/>
      <c r="PLM34" s="16"/>
      <c r="PLN34" s="16"/>
      <c r="PLO34" s="16"/>
      <c r="PLP34" s="16"/>
      <c r="PLQ34" s="16"/>
      <c r="PLR34" s="16"/>
      <c r="PLS34" s="16"/>
      <c r="PLT34" s="16"/>
      <c r="PLU34" s="16"/>
      <c r="PLV34" s="16"/>
      <c r="PLW34" s="16"/>
      <c r="PLX34" s="16"/>
      <c r="PLY34" s="16"/>
      <c r="PLZ34" s="16"/>
      <c r="PMA34" s="16"/>
      <c r="PMB34" s="16"/>
      <c r="PMC34" s="16"/>
      <c r="PMD34" s="16"/>
      <c r="PME34" s="16"/>
      <c r="PMF34" s="16"/>
      <c r="PMG34" s="16"/>
      <c r="PMH34" s="16"/>
      <c r="PMI34" s="16"/>
      <c r="PMJ34" s="16"/>
      <c r="PMK34" s="16"/>
      <c r="PML34" s="16"/>
      <c r="PMM34" s="16"/>
      <c r="PMN34" s="16"/>
      <c r="PMO34" s="16"/>
      <c r="PMP34" s="16"/>
      <c r="PMQ34" s="16"/>
      <c r="PMR34" s="16"/>
      <c r="PMS34" s="16"/>
      <c r="PMT34" s="16"/>
      <c r="PMU34" s="16"/>
      <c r="PMV34" s="16"/>
      <c r="PMW34" s="16"/>
      <c r="PMX34" s="16"/>
      <c r="PMY34" s="16"/>
      <c r="PMZ34" s="16"/>
      <c r="PNA34" s="16"/>
      <c r="PNB34" s="16"/>
      <c r="PNC34" s="16"/>
      <c r="PND34" s="16"/>
      <c r="PNE34" s="16"/>
      <c r="PNF34" s="16"/>
      <c r="PNG34" s="16"/>
      <c r="PNH34" s="16"/>
      <c r="PNI34" s="16"/>
      <c r="PNJ34" s="16"/>
      <c r="PNK34" s="16"/>
      <c r="PNL34" s="16"/>
      <c r="PNM34" s="16"/>
      <c r="PNN34" s="16"/>
      <c r="PNO34" s="16"/>
      <c r="PNP34" s="16"/>
      <c r="PNQ34" s="16"/>
      <c r="PNR34" s="16"/>
      <c r="PNS34" s="16"/>
      <c r="PNT34" s="16"/>
      <c r="PNU34" s="16"/>
      <c r="PNV34" s="16"/>
      <c r="PNW34" s="16"/>
      <c r="PNX34" s="16"/>
      <c r="PNY34" s="16"/>
      <c r="PNZ34" s="16"/>
      <c r="POA34" s="16"/>
      <c r="POB34" s="16"/>
      <c r="POC34" s="16"/>
      <c r="POD34" s="16"/>
      <c r="POE34" s="16"/>
      <c r="POF34" s="16"/>
      <c r="POG34" s="16"/>
      <c r="POH34" s="16"/>
      <c r="POI34" s="16"/>
      <c r="POJ34" s="16"/>
      <c r="POK34" s="16"/>
      <c r="POL34" s="16"/>
      <c r="POM34" s="16"/>
      <c r="PON34" s="16"/>
      <c r="POO34" s="16"/>
      <c r="POP34" s="16"/>
      <c r="POQ34" s="16"/>
      <c r="POR34" s="16"/>
      <c r="POS34" s="16"/>
      <c r="POT34" s="16"/>
      <c r="POU34" s="16"/>
      <c r="POV34" s="16"/>
      <c r="POW34" s="16"/>
      <c r="POX34" s="16"/>
      <c r="POY34" s="16"/>
      <c r="POZ34" s="16"/>
      <c r="PPA34" s="16"/>
      <c r="PPB34" s="16"/>
      <c r="PPC34" s="16"/>
      <c r="PPD34" s="16"/>
      <c r="PPE34" s="16"/>
      <c r="PPF34" s="16"/>
      <c r="PPG34" s="16"/>
      <c r="PPH34" s="16"/>
      <c r="PPI34" s="16"/>
      <c r="PPJ34" s="16"/>
      <c r="PPK34" s="16"/>
      <c r="PPL34" s="16"/>
      <c r="PPM34" s="16"/>
      <c r="PPN34" s="16"/>
      <c r="PPO34" s="16"/>
      <c r="PPP34" s="16"/>
      <c r="PPQ34" s="16"/>
      <c r="PPR34" s="16"/>
      <c r="PPS34" s="16"/>
      <c r="PPT34" s="16"/>
      <c r="PPU34" s="16"/>
      <c r="PPV34" s="16"/>
      <c r="PPW34" s="16"/>
      <c r="PPX34" s="16"/>
      <c r="PPY34" s="16"/>
      <c r="PPZ34" s="16"/>
      <c r="PQA34" s="16"/>
      <c r="PQB34" s="16"/>
      <c r="PQC34" s="16"/>
      <c r="PQD34" s="16"/>
      <c r="PQE34" s="16"/>
      <c r="PQF34" s="16"/>
      <c r="PQG34" s="16"/>
      <c r="PQH34" s="16"/>
      <c r="PQI34" s="16"/>
      <c r="PQJ34" s="16"/>
      <c r="PQK34" s="16"/>
      <c r="PQL34" s="16"/>
      <c r="PQM34" s="16"/>
      <c r="PQN34" s="16"/>
      <c r="PQO34" s="16"/>
      <c r="PQP34" s="16"/>
      <c r="PQQ34" s="16"/>
      <c r="PQR34" s="16"/>
      <c r="PQS34" s="16"/>
      <c r="PQT34" s="16"/>
      <c r="PQU34" s="16"/>
      <c r="PQV34" s="16"/>
      <c r="PQW34" s="16"/>
      <c r="PQX34" s="16"/>
      <c r="PQY34" s="16"/>
      <c r="PQZ34" s="16"/>
      <c r="PRA34" s="16"/>
      <c r="PRB34" s="16"/>
      <c r="PRC34" s="16"/>
      <c r="PRD34" s="16"/>
      <c r="PRE34" s="16"/>
      <c r="PRF34" s="16"/>
      <c r="PRG34" s="16"/>
      <c r="PRH34" s="16"/>
      <c r="PRI34" s="16"/>
      <c r="PRJ34" s="16"/>
      <c r="PRK34" s="16"/>
      <c r="PRL34" s="16"/>
      <c r="PRM34" s="16"/>
      <c r="PRN34" s="16"/>
      <c r="PRO34" s="16"/>
      <c r="PRP34" s="16"/>
      <c r="PRQ34" s="16"/>
      <c r="PRR34" s="16"/>
      <c r="PRS34" s="16"/>
      <c r="PRT34" s="16"/>
      <c r="PRU34" s="16"/>
      <c r="PRV34" s="16"/>
      <c r="PRW34" s="16"/>
      <c r="PRX34" s="16"/>
      <c r="PRY34" s="16"/>
      <c r="PRZ34" s="16"/>
      <c r="PSA34" s="16"/>
      <c r="PSB34" s="16"/>
      <c r="PSC34" s="16"/>
      <c r="PSD34" s="16"/>
      <c r="PSE34" s="16"/>
      <c r="PSF34" s="16"/>
      <c r="PSG34" s="16"/>
      <c r="PSH34" s="16"/>
      <c r="PSI34" s="16"/>
      <c r="PSJ34" s="16"/>
      <c r="PSK34" s="16"/>
      <c r="PSL34" s="16"/>
      <c r="PSM34" s="16"/>
      <c r="PSN34" s="16"/>
      <c r="PSO34" s="16"/>
      <c r="PSP34" s="16"/>
      <c r="PSQ34" s="16"/>
      <c r="PSR34" s="16"/>
      <c r="PSS34" s="16"/>
      <c r="PST34" s="16"/>
      <c r="PSU34" s="16"/>
      <c r="PSV34" s="16"/>
      <c r="PSW34" s="16"/>
      <c r="PSX34" s="16"/>
      <c r="PSY34" s="16"/>
      <c r="PSZ34" s="16"/>
      <c r="PTA34" s="16"/>
      <c r="PTB34" s="16"/>
      <c r="PTC34" s="16"/>
      <c r="PTD34" s="16"/>
      <c r="PTE34" s="16"/>
      <c r="PTF34" s="16"/>
      <c r="PTG34" s="16"/>
      <c r="PTH34" s="16"/>
      <c r="PTI34" s="16"/>
      <c r="PTJ34" s="16"/>
      <c r="PTK34" s="16"/>
      <c r="PTL34" s="16"/>
      <c r="PTM34" s="16"/>
      <c r="PTN34" s="16"/>
      <c r="PTO34" s="16"/>
      <c r="PTP34" s="16"/>
      <c r="PTQ34" s="16"/>
      <c r="PTR34" s="16"/>
      <c r="PTS34" s="16"/>
      <c r="PTT34" s="16"/>
      <c r="PTU34" s="16"/>
      <c r="PTV34" s="16"/>
      <c r="PTW34" s="16"/>
      <c r="PTX34" s="16"/>
      <c r="PTY34" s="16"/>
      <c r="PTZ34" s="16"/>
      <c r="PUA34" s="16"/>
      <c r="PUB34" s="16"/>
      <c r="PUC34" s="16"/>
      <c r="PUD34" s="16"/>
      <c r="PUE34" s="16"/>
      <c r="PUF34" s="16"/>
      <c r="PUG34" s="16"/>
      <c r="PUH34" s="16"/>
      <c r="PUI34" s="16"/>
      <c r="PUJ34" s="16"/>
      <c r="PUK34" s="16"/>
      <c r="PUL34" s="16"/>
      <c r="PUM34" s="16"/>
      <c r="PUN34" s="16"/>
      <c r="PUO34" s="16"/>
      <c r="PUP34" s="16"/>
      <c r="PUQ34" s="16"/>
      <c r="PUR34" s="16"/>
      <c r="PUS34" s="16"/>
      <c r="PUT34" s="16"/>
      <c r="PUU34" s="16"/>
      <c r="PUV34" s="16"/>
      <c r="PUW34" s="16"/>
      <c r="PUX34" s="16"/>
      <c r="PUY34" s="16"/>
      <c r="PUZ34" s="16"/>
      <c r="PVA34" s="16"/>
      <c r="PVB34" s="16"/>
      <c r="PVC34" s="16"/>
      <c r="PVD34" s="16"/>
      <c r="PVE34" s="16"/>
      <c r="PVF34" s="16"/>
      <c r="PVG34" s="16"/>
      <c r="PVH34" s="16"/>
      <c r="PVI34" s="16"/>
      <c r="PVJ34" s="16"/>
      <c r="PVK34" s="16"/>
      <c r="PVL34" s="16"/>
      <c r="PVM34" s="16"/>
      <c r="PVN34" s="16"/>
      <c r="PVO34" s="16"/>
      <c r="PVP34" s="16"/>
      <c r="PVQ34" s="16"/>
      <c r="PVR34" s="16"/>
      <c r="PVS34" s="16"/>
      <c r="PVT34" s="16"/>
      <c r="PVU34" s="16"/>
      <c r="PVV34" s="16"/>
      <c r="PVW34" s="16"/>
      <c r="PVX34" s="16"/>
      <c r="PVY34" s="16"/>
      <c r="PVZ34" s="16"/>
      <c r="PWA34" s="16"/>
      <c r="PWB34" s="16"/>
      <c r="PWC34" s="16"/>
      <c r="PWD34" s="16"/>
      <c r="PWE34" s="16"/>
      <c r="PWF34" s="16"/>
      <c r="PWG34" s="16"/>
      <c r="PWH34" s="16"/>
      <c r="PWI34" s="16"/>
      <c r="PWJ34" s="16"/>
      <c r="PWK34" s="16"/>
      <c r="PWL34" s="16"/>
      <c r="PWM34" s="16"/>
      <c r="PWN34" s="16"/>
      <c r="PWO34" s="16"/>
      <c r="PWP34" s="16"/>
      <c r="PWQ34" s="16"/>
      <c r="PWR34" s="16"/>
      <c r="PWS34" s="16"/>
      <c r="PWT34" s="16"/>
      <c r="PWU34" s="16"/>
      <c r="PWV34" s="16"/>
      <c r="PWW34" s="16"/>
      <c r="PWX34" s="16"/>
      <c r="PWY34" s="16"/>
      <c r="PWZ34" s="16"/>
      <c r="PXA34" s="16"/>
      <c r="PXB34" s="16"/>
      <c r="PXC34" s="16"/>
      <c r="PXD34" s="16"/>
      <c r="PXE34" s="16"/>
      <c r="PXF34" s="16"/>
      <c r="PXG34" s="16"/>
      <c r="PXH34" s="16"/>
      <c r="PXI34" s="16"/>
      <c r="PXJ34" s="16"/>
      <c r="PXK34" s="16"/>
      <c r="PXL34" s="16"/>
      <c r="PXM34" s="16"/>
      <c r="PXN34" s="16"/>
      <c r="PXO34" s="16"/>
      <c r="PXP34" s="16"/>
      <c r="PXQ34" s="16"/>
      <c r="PXR34" s="16"/>
      <c r="PXS34" s="16"/>
      <c r="PXT34" s="16"/>
      <c r="PXU34" s="16"/>
      <c r="PXV34" s="16"/>
      <c r="PXW34" s="16"/>
      <c r="PXX34" s="16"/>
      <c r="PXY34" s="16"/>
      <c r="PXZ34" s="16"/>
      <c r="PYA34" s="16"/>
      <c r="PYB34" s="16"/>
      <c r="PYC34" s="16"/>
      <c r="PYD34" s="16"/>
      <c r="PYE34" s="16"/>
      <c r="PYF34" s="16"/>
      <c r="PYG34" s="16"/>
      <c r="PYH34" s="16"/>
      <c r="PYI34" s="16"/>
      <c r="PYJ34" s="16"/>
      <c r="PYK34" s="16"/>
      <c r="PYL34" s="16"/>
      <c r="PYM34" s="16"/>
      <c r="PYN34" s="16"/>
      <c r="PYO34" s="16"/>
      <c r="PYP34" s="16"/>
      <c r="PYQ34" s="16"/>
      <c r="PYR34" s="16"/>
      <c r="PYS34" s="16"/>
      <c r="PYT34" s="16"/>
      <c r="PYU34" s="16"/>
      <c r="PYV34" s="16"/>
      <c r="PYW34" s="16"/>
      <c r="PYX34" s="16"/>
      <c r="PYY34" s="16"/>
      <c r="PYZ34" s="16"/>
      <c r="PZA34" s="16"/>
      <c r="PZB34" s="16"/>
      <c r="PZC34" s="16"/>
      <c r="PZD34" s="16"/>
      <c r="PZE34" s="16"/>
      <c r="PZF34" s="16"/>
      <c r="PZG34" s="16"/>
      <c r="PZH34" s="16"/>
      <c r="PZI34" s="16"/>
      <c r="PZJ34" s="16"/>
      <c r="PZK34" s="16"/>
      <c r="PZL34" s="16"/>
      <c r="PZM34" s="16"/>
      <c r="PZN34" s="16"/>
      <c r="PZO34" s="16"/>
      <c r="PZP34" s="16"/>
      <c r="PZQ34" s="16"/>
      <c r="PZR34" s="16"/>
      <c r="PZS34" s="16"/>
      <c r="PZT34" s="16"/>
      <c r="PZU34" s="16"/>
      <c r="PZV34" s="16"/>
      <c r="PZW34" s="16"/>
      <c r="PZX34" s="16"/>
      <c r="PZY34" s="16"/>
      <c r="PZZ34" s="16"/>
      <c r="QAA34" s="16"/>
      <c r="QAB34" s="16"/>
      <c r="QAC34" s="16"/>
      <c r="QAD34" s="16"/>
      <c r="QAE34" s="16"/>
      <c r="QAF34" s="16"/>
      <c r="QAG34" s="16"/>
      <c r="QAH34" s="16"/>
      <c r="QAI34" s="16"/>
      <c r="QAJ34" s="16"/>
      <c r="QAK34" s="16"/>
      <c r="QAL34" s="16"/>
      <c r="QAM34" s="16"/>
      <c r="QAN34" s="16"/>
      <c r="QAO34" s="16"/>
      <c r="QAP34" s="16"/>
      <c r="QAQ34" s="16"/>
      <c r="QAR34" s="16"/>
      <c r="QAS34" s="16"/>
      <c r="QAT34" s="16"/>
      <c r="QAU34" s="16"/>
      <c r="QAV34" s="16"/>
      <c r="QAW34" s="16"/>
      <c r="QAX34" s="16"/>
      <c r="QAY34" s="16"/>
      <c r="QAZ34" s="16"/>
      <c r="QBA34" s="16"/>
      <c r="QBB34" s="16"/>
      <c r="QBC34" s="16"/>
      <c r="QBD34" s="16"/>
      <c r="QBE34" s="16"/>
      <c r="QBF34" s="16"/>
      <c r="QBG34" s="16"/>
      <c r="QBH34" s="16"/>
      <c r="QBI34" s="16"/>
      <c r="QBJ34" s="16"/>
      <c r="QBK34" s="16"/>
      <c r="QBL34" s="16"/>
      <c r="QBM34" s="16"/>
      <c r="QBN34" s="16"/>
      <c r="QBO34" s="16"/>
      <c r="QBP34" s="16"/>
      <c r="QBQ34" s="16"/>
      <c r="QBR34" s="16"/>
      <c r="QBS34" s="16"/>
      <c r="QBT34" s="16"/>
      <c r="QBU34" s="16"/>
      <c r="QBV34" s="16"/>
      <c r="QBW34" s="16"/>
      <c r="QBX34" s="16"/>
      <c r="QBY34" s="16"/>
      <c r="QBZ34" s="16"/>
      <c r="QCA34" s="16"/>
      <c r="QCB34" s="16"/>
      <c r="QCC34" s="16"/>
      <c r="QCD34" s="16"/>
      <c r="QCE34" s="16"/>
      <c r="QCF34" s="16"/>
      <c r="QCG34" s="16"/>
      <c r="QCH34" s="16"/>
      <c r="QCI34" s="16"/>
      <c r="QCJ34" s="16"/>
      <c r="QCK34" s="16"/>
      <c r="QCL34" s="16"/>
      <c r="QCM34" s="16"/>
      <c r="QCN34" s="16"/>
      <c r="QCO34" s="16"/>
      <c r="QCP34" s="16"/>
      <c r="QCQ34" s="16"/>
      <c r="QCR34" s="16"/>
      <c r="QCS34" s="16"/>
      <c r="QCT34" s="16"/>
      <c r="QCU34" s="16"/>
      <c r="QCV34" s="16"/>
      <c r="QCW34" s="16"/>
      <c r="QCX34" s="16"/>
      <c r="QCY34" s="16"/>
      <c r="QCZ34" s="16"/>
      <c r="QDA34" s="16"/>
      <c r="QDB34" s="16"/>
      <c r="QDC34" s="16"/>
      <c r="QDD34" s="16"/>
      <c r="QDE34" s="16"/>
      <c r="QDF34" s="16"/>
      <c r="QDG34" s="16"/>
      <c r="QDH34" s="16"/>
      <c r="QDI34" s="16"/>
      <c r="QDJ34" s="16"/>
      <c r="QDK34" s="16"/>
      <c r="QDL34" s="16"/>
      <c r="QDM34" s="16"/>
      <c r="QDN34" s="16"/>
      <c r="QDO34" s="16"/>
      <c r="QDP34" s="16"/>
      <c r="QDQ34" s="16"/>
      <c r="QDR34" s="16"/>
      <c r="QDS34" s="16"/>
      <c r="QDT34" s="16"/>
      <c r="QDU34" s="16"/>
      <c r="QDV34" s="16"/>
      <c r="QDW34" s="16"/>
      <c r="QDX34" s="16"/>
      <c r="QDY34" s="16"/>
      <c r="QDZ34" s="16"/>
      <c r="QEA34" s="16"/>
      <c r="QEB34" s="16"/>
      <c r="QEC34" s="16"/>
      <c r="QED34" s="16"/>
      <c r="QEE34" s="16"/>
      <c r="QEF34" s="16"/>
      <c r="QEG34" s="16"/>
      <c r="QEH34" s="16"/>
      <c r="QEI34" s="16"/>
      <c r="QEJ34" s="16"/>
      <c r="QEK34" s="16"/>
      <c r="QEL34" s="16"/>
      <c r="QEM34" s="16"/>
      <c r="QEN34" s="16"/>
      <c r="QEO34" s="16"/>
      <c r="QEP34" s="16"/>
      <c r="QEQ34" s="16"/>
      <c r="QER34" s="16"/>
      <c r="QES34" s="16"/>
      <c r="QET34" s="16"/>
      <c r="QEU34" s="16"/>
      <c r="QEV34" s="16"/>
      <c r="QEW34" s="16"/>
      <c r="QEX34" s="16"/>
      <c r="QEY34" s="16"/>
      <c r="QEZ34" s="16"/>
      <c r="QFA34" s="16"/>
      <c r="QFB34" s="16"/>
      <c r="QFC34" s="16"/>
      <c r="QFD34" s="16"/>
      <c r="QFE34" s="16"/>
      <c r="QFF34" s="16"/>
      <c r="QFG34" s="16"/>
      <c r="QFH34" s="16"/>
      <c r="QFI34" s="16"/>
      <c r="QFJ34" s="16"/>
      <c r="QFK34" s="16"/>
      <c r="QFL34" s="16"/>
      <c r="QFM34" s="16"/>
      <c r="QFN34" s="16"/>
      <c r="QFO34" s="16"/>
      <c r="QFP34" s="16"/>
      <c r="QFQ34" s="16"/>
      <c r="QFR34" s="16"/>
      <c r="QFS34" s="16"/>
      <c r="QFT34" s="16"/>
      <c r="QFU34" s="16"/>
      <c r="QFV34" s="16"/>
      <c r="QFW34" s="16"/>
      <c r="QFX34" s="16"/>
      <c r="QFY34" s="16"/>
      <c r="QFZ34" s="16"/>
      <c r="QGA34" s="16"/>
      <c r="QGB34" s="16"/>
      <c r="QGC34" s="16"/>
      <c r="QGD34" s="16"/>
      <c r="QGE34" s="16"/>
      <c r="QGF34" s="16"/>
      <c r="QGG34" s="16"/>
      <c r="QGH34" s="16"/>
      <c r="QGI34" s="16"/>
      <c r="QGJ34" s="16"/>
      <c r="QGK34" s="16"/>
      <c r="QGL34" s="16"/>
      <c r="QGM34" s="16"/>
      <c r="QGN34" s="16"/>
      <c r="QGO34" s="16"/>
      <c r="QGP34" s="16"/>
      <c r="QGQ34" s="16"/>
      <c r="QGR34" s="16"/>
      <c r="QGS34" s="16"/>
      <c r="QGT34" s="16"/>
      <c r="QGU34" s="16"/>
      <c r="QGV34" s="16"/>
      <c r="QGW34" s="16"/>
      <c r="QGX34" s="16"/>
      <c r="QGY34" s="16"/>
      <c r="QGZ34" s="16"/>
      <c r="QHA34" s="16"/>
      <c r="QHB34" s="16"/>
      <c r="QHC34" s="16"/>
      <c r="QHD34" s="16"/>
      <c r="QHE34" s="16"/>
      <c r="QHF34" s="16"/>
      <c r="QHG34" s="16"/>
      <c r="QHH34" s="16"/>
      <c r="QHI34" s="16"/>
      <c r="QHJ34" s="16"/>
      <c r="QHK34" s="16"/>
      <c r="QHL34" s="16"/>
      <c r="QHM34" s="16"/>
      <c r="QHN34" s="16"/>
      <c r="QHO34" s="16"/>
      <c r="QHP34" s="16"/>
      <c r="QHQ34" s="16"/>
      <c r="QHR34" s="16"/>
      <c r="QHS34" s="16"/>
      <c r="QHT34" s="16"/>
      <c r="QHU34" s="16"/>
      <c r="QHV34" s="16"/>
      <c r="QHW34" s="16"/>
      <c r="QHX34" s="16"/>
      <c r="QHY34" s="16"/>
      <c r="QHZ34" s="16"/>
      <c r="QIA34" s="16"/>
      <c r="QIB34" s="16"/>
      <c r="QIC34" s="16"/>
      <c r="QID34" s="16"/>
      <c r="QIE34" s="16"/>
      <c r="QIF34" s="16"/>
      <c r="QIG34" s="16"/>
      <c r="QIH34" s="16"/>
      <c r="QII34" s="16"/>
      <c r="QIJ34" s="16"/>
      <c r="QIK34" s="16"/>
      <c r="QIL34" s="16"/>
      <c r="QIM34" s="16"/>
      <c r="QIN34" s="16"/>
      <c r="QIO34" s="16"/>
      <c r="QIP34" s="16"/>
      <c r="QIQ34" s="16"/>
      <c r="QIR34" s="16"/>
      <c r="QIS34" s="16"/>
      <c r="QIT34" s="16"/>
      <c r="QIU34" s="16"/>
      <c r="QIV34" s="16"/>
      <c r="QIW34" s="16"/>
      <c r="QIX34" s="16"/>
      <c r="QIY34" s="16"/>
      <c r="QIZ34" s="16"/>
      <c r="QJA34" s="16"/>
      <c r="QJB34" s="16"/>
      <c r="QJC34" s="16"/>
      <c r="QJD34" s="16"/>
      <c r="QJE34" s="16"/>
      <c r="QJF34" s="16"/>
      <c r="QJG34" s="16"/>
      <c r="QJH34" s="16"/>
      <c r="QJI34" s="16"/>
      <c r="QJJ34" s="16"/>
      <c r="QJK34" s="16"/>
      <c r="QJL34" s="16"/>
      <c r="QJM34" s="16"/>
      <c r="QJN34" s="16"/>
      <c r="QJO34" s="16"/>
      <c r="QJP34" s="16"/>
      <c r="QJQ34" s="16"/>
      <c r="QJR34" s="16"/>
      <c r="QJS34" s="16"/>
      <c r="QJT34" s="16"/>
      <c r="QJU34" s="16"/>
      <c r="QJV34" s="16"/>
      <c r="QJW34" s="16"/>
      <c r="QJX34" s="16"/>
      <c r="QJY34" s="16"/>
      <c r="QJZ34" s="16"/>
      <c r="QKA34" s="16"/>
      <c r="QKB34" s="16"/>
      <c r="QKC34" s="16"/>
      <c r="QKD34" s="16"/>
      <c r="QKE34" s="16"/>
      <c r="QKF34" s="16"/>
      <c r="QKG34" s="16"/>
      <c r="QKH34" s="16"/>
      <c r="QKI34" s="16"/>
      <c r="QKJ34" s="16"/>
      <c r="QKK34" s="16"/>
      <c r="QKL34" s="16"/>
      <c r="QKM34" s="16"/>
      <c r="QKN34" s="16"/>
      <c r="QKO34" s="16"/>
      <c r="QKP34" s="16"/>
      <c r="QKQ34" s="16"/>
      <c r="QKR34" s="16"/>
      <c r="QKS34" s="16"/>
      <c r="QKT34" s="16"/>
      <c r="QKU34" s="16"/>
      <c r="QKV34" s="16"/>
      <c r="QKW34" s="16"/>
      <c r="QKX34" s="16"/>
      <c r="QKY34" s="16"/>
      <c r="QKZ34" s="16"/>
      <c r="QLA34" s="16"/>
      <c r="QLB34" s="16"/>
      <c r="QLC34" s="16"/>
      <c r="QLD34" s="16"/>
      <c r="QLE34" s="16"/>
      <c r="QLF34" s="16"/>
      <c r="QLG34" s="16"/>
      <c r="QLH34" s="16"/>
      <c r="QLI34" s="16"/>
      <c r="QLJ34" s="16"/>
      <c r="QLK34" s="16"/>
      <c r="QLL34" s="16"/>
      <c r="QLM34" s="16"/>
      <c r="QLN34" s="16"/>
      <c r="QLO34" s="16"/>
      <c r="QLP34" s="16"/>
      <c r="QLQ34" s="16"/>
      <c r="QLR34" s="16"/>
      <c r="QLS34" s="16"/>
      <c r="QLT34" s="16"/>
      <c r="QLU34" s="16"/>
      <c r="QLV34" s="16"/>
      <c r="QLW34" s="16"/>
      <c r="QLX34" s="16"/>
      <c r="QLY34" s="16"/>
      <c r="QLZ34" s="16"/>
      <c r="QMA34" s="16"/>
      <c r="QMB34" s="16"/>
      <c r="QMC34" s="16"/>
      <c r="QMD34" s="16"/>
      <c r="QME34" s="16"/>
      <c r="QMF34" s="16"/>
      <c r="QMG34" s="16"/>
      <c r="QMH34" s="16"/>
      <c r="QMI34" s="16"/>
      <c r="QMJ34" s="16"/>
      <c r="QMK34" s="16"/>
      <c r="QML34" s="16"/>
      <c r="QMM34" s="16"/>
      <c r="QMN34" s="16"/>
      <c r="QMO34" s="16"/>
      <c r="QMP34" s="16"/>
      <c r="QMQ34" s="16"/>
      <c r="QMR34" s="16"/>
      <c r="QMS34" s="16"/>
      <c r="QMT34" s="16"/>
      <c r="QMU34" s="16"/>
      <c r="QMV34" s="16"/>
      <c r="QMW34" s="16"/>
      <c r="QMX34" s="16"/>
      <c r="QMY34" s="16"/>
      <c r="QMZ34" s="16"/>
      <c r="QNA34" s="16"/>
      <c r="QNB34" s="16"/>
      <c r="QNC34" s="16"/>
      <c r="QND34" s="16"/>
      <c r="QNE34" s="16"/>
      <c r="QNF34" s="16"/>
      <c r="QNG34" s="16"/>
      <c r="QNH34" s="16"/>
      <c r="QNI34" s="16"/>
      <c r="QNJ34" s="16"/>
      <c r="QNK34" s="16"/>
      <c r="QNL34" s="16"/>
      <c r="QNM34" s="16"/>
      <c r="QNN34" s="16"/>
      <c r="QNO34" s="16"/>
      <c r="QNP34" s="16"/>
      <c r="QNQ34" s="16"/>
      <c r="QNR34" s="16"/>
      <c r="QNS34" s="16"/>
      <c r="QNT34" s="16"/>
      <c r="QNU34" s="16"/>
      <c r="QNV34" s="16"/>
      <c r="QNW34" s="16"/>
      <c r="QNX34" s="16"/>
      <c r="QNY34" s="16"/>
      <c r="QNZ34" s="16"/>
      <c r="QOA34" s="16"/>
      <c r="QOB34" s="16"/>
      <c r="QOC34" s="16"/>
      <c r="QOD34" s="16"/>
      <c r="QOE34" s="16"/>
      <c r="QOF34" s="16"/>
      <c r="QOG34" s="16"/>
      <c r="QOH34" s="16"/>
      <c r="QOI34" s="16"/>
      <c r="QOJ34" s="16"/>
      <c r="QOK34" s="16"/>
      <c r="QOL34" s="16"/>
      <c r="QOM34" s="16"/>
      <c r="QON34" s="16"/>
      <c r="QOO34" s="16"/>
      <c r="QOP34" s="16"/>
      <c r="QOQ34" s="16"/>
      <c r="QOR34" s="16"/>
      <c r="QOS34" s="16"/>
      <c r="QOT34" s="16"/>
      <c r="QOU34" s="16"/>
      <c r="QOV34" s="16"/>
      <c r="QOW34" s="16"/>
      <c r="QOX34" s="16"/>
      <c r="QOY34" s="16"/>
      <c r="QOZ34" s="16"/>
      <c r="QPA34" s="16"/>
      <c r="QPB34" s="16"/>
      <c r="QPC34" s="16"/>
      <c r="QPD34" s="16"/>
      <c r="QPE34" s="16"/>
      <c r="QPF34" s="16"/>
      <c r="QPG34" s="16"/>
      <c r="QPH34" s="16"/>
      <c r="QPI34" s="16"/>
      <c r="QPJ34" s="16"/>
      <c r="QPK34" s="16"/>
      <c r="QPL34" s="16"/>
      <c r="QPM34" s="16"/>
      <c r="QPN34" s="16"/>
      <c r="QPO34" s="16"/>
      <c r="QPP34" s="16"/>
      <c r="QPQ34" s="16"/>
      <c r="QPR34" s="16"/>
      <c r="QPS34" s="16"/>
      <c r="QPT34" s="16"/>
      <c r="QPU34" s="16"/>
      <c r="QPV34" s="16"/>
      <c r="QPW34" s="16"/>
      <c r="QPX34" s="16"/>
      <c r="QPY34" s="16"/>
      <c r="QPZ34" s="16"/>
      <c r="QQA34" s="16"/>
      <c r="QQB34" s="16"/>
      <c r="QQC34" s="16"/>
      <c r="QQD34" s="16"/>
      <c r="QQE34" s="16"/>
      <c r="QQF34" s="16"/>
      <c r="QQG34" s="16"/>
      <c r="QQH34" s="16"/>
      <c r="QQI34" s="16"/>
      <c r="QQJ34" s="16"/>
      <c r="QQK34" s="16"/>
      <c r="QQL34" s="16"/>
      <c r="QQM34" s="16"/>
      <c r="QQN34" s="16"/>
      <c r="QQO34" s="16"/>
      <c r="QQP34" s="16"/>
      <c r="QQQ34" s="16"/>
      <c r="QQR34" s="16"/>
      <c r="QQS34" s="16"/>
      <c r="QQT34" s="16"/>
      <c r="QQU34" s="16"/>
      <c r="QQV34" s="16"/>
      <c r="QQW34" s="16"/>
      <c r="QQX34" s="16"/>
      <c r="QQY34" s="16"/>
      <c r="QQZ34" s="16"/>
      <c r="QRA34" s="16"/>
      <c r="QRB34" s="16"/>
      <c r="QRC34" s="16"/>
      <c r="QRD34" s="16"/>
      <c r="QRE34" s="16"/>
      <c r="QRF34" s="16"/>
      <c r="QRG34" s="16"/>
      <c r="QRH34" s="16"/>
      <c r="QRI34" s="16"/>
      <c r="QRJ34" s="16"/>
      <c r="QRK34" s="16"/>
      <c r="QRL34" s="16"/>
      <c r="QRM34" s="16"/>
      <c r="QRN34" s="16"/>
      <c r="QRO34" s="16"/>
      <c r="QRP34" s="16"/>
      <c r="QRQ34" s="16"/>
      <c r="QRR34" s="16"/>
      <c r="QRS34" s="16"/>
      <c r="QRT34" s="16"/>
      <c r="QRU34" s="16"/>
      <c r="QRV34" s="16"/>
      <c r="QRW34" s="16"/>
      <c r="QRX34" s="16"/>
      <c r="QRY34" s="16"/>
      <c r="QRZ34" s="16"/>
      <c r="QSA34" s="16"/>
      <c r="QSB34" s="16"/>
      <c r="QSC34" s="16"/>
      <c r="QSD34" s="16"/>
      <c r="QSE34" s="16"/>
      <c r="QSF34" s="16"/>
      <c r="QSG34" s="16"/>
      <c r="QSH34" s="16"/>
      <c r="QSI34" s="16"/>
      <c r="QSJ34" s="16"/>
      <c r="QSK34" s="16"/>
      <c r="QSL34" s="16"/>
      <c r="QSM34" s="16"/>
      <c r="QSN34" s="16"/>
      <c r="QSO34" s="16"/>
      <c r="QSP34" s="16"/>
      <c r="QSQ34" s="16"/>
      <c r="QSR34" s="16"/>
      <c r="QSS34" s="16"/>
      <c r="QST34" s="16"/>
      <c r="QSU34" s="16"/>
      <c r="QSV34" s="16"/>
      <c r="QSW34" s="16"/>
      <c r="QSX34" s="16"/>
      <c r="QSY34" s="16"/>
      <c r="QSZ34" s="16"/>
      <c r="QTA34" s="16"/>
      <c r="QTB34" s="16"/>
      <c r="QTC34" s="16"/>
      <c r="QTD34" s="16"/>
      <c r="QTE34" s="16"/>
      <c r="QTF34" s="16"/>
      <c r="QTG34" s="16"/>
      <c r="QTH34" s="16"/>
      <c r="QTI34" s="16"/>
      <c r="QTJ34" s="16"/>
      <c r="QTK34" s="16"/>
      <c r="QTL34" s="16"/>
      <c r="QTM34" s="16"/>
      <c r="QTN34" s="16"/>
      <c r="QTO34" s="16"/>
      <c r="QTP34" s="16"/>
      <c r="QTQ34" s="16"/>
      <c r="QTR34" s="16"/>
      <c r="QTS34" s="16"/>
      <c r="QTT34" s="16"/>
      <c r="QTU34" s="16"/>
      <c r="QTV34" s="16"/>
      <c r="QTW34" s="16"/>
      <c r="QTX34" s="16"/>
      <c r="QTY34" s="16"/>
      <c r="QTZ34" s="16"/>
      <c r="QUA34" s="16"/>
      <c r="QUB34" s="16"/>
      <c r="QUC34" s="16"/>
      <c r="QUD34" s="16"/>
      <c r="QUE34" s="16"/>
      <c r="QUF34" s="16"/>
      <c r="QUG34" s="16"/>
      <c r="QUH34" s="16"/>
      <c r="QUI34" s="16"/>
      <c r="QUJ34" s="16"/>
      <c r="QUK34" s="16"/>
      <c r="QUL34" s="16"/>
      <c r="QUM34" s="16"/>
      <c r="QUN34" s="16"/>
      <c r="QUO34" s="16"/>
      <c r="QUP34" s="16"/>
      <c r="QUQ34" s="16"/>
      <c r="QUR34" s="16"/>
      <c r="QUS34" s="16"/>
      <c r="QUT34" s="16"/>
      <c r="QUU34" s="16"/>
      <c r="QUV34" s="16"/>
      <c r="QUW34" s="16"/>
      <c r="QUX34" s="16"/>
      <c r="QUY34" s="16"/>
      <c r="QUZ34" s="16"/>
      <c r="QVA34" s="16"/>
      <c r="QVB34" s="16"/>
      <c r="QVC34" s="16"/>
      <c r="QVD34" s="16"/>
      <c r="QVE34" s="16"/>
      <c r="QVF34" s="16"/>
      <c r="QVG34" s="16"/>
      <c r="QVH34" s="16"/>
      <c r="QVI34" s="16"/>
      <c r="QVJ34" s="16"/>
      <c r="QVK34" s="16"/>
      <c r="QVL34" s="16"/>
      <c r="QVM34" s="16"/>
      <c r="QVN34" s="16"/>
      <c r="QVO34" s="16"/>
      <c r="QVP34" s="16"/>
      <c r="QVQ34" s="16"/>
      <c r="QVR34" s="16"/>
      <c r="QVS34" s="16"/>
      <c r="QVT34" s="16"/>
      <c r="QVU34" s="16"/>
      <c r="QVV34" s="16"/>
      <c r="QVW34" s="16"/>
      <c r="QVX34" s="16"/>
      <c r="QVY34" s="16"/>
      <c r="QVZ34" s="16"/>
      <c r="QWA34" s="16"/>
      <c r="QWB34" s="16"/>
      <c r="QWC34" s="16"/>
      <c r="QWD34" s="16"/>
      <c r="QWE34" s="16"/>
      <c r="QWF34" s="16"/>
      <c r="QWG34" s="16"/>
      <c r="QWH34" s="16"/>
      <c r="QWI34" s="16"/>
      <c r="QWJ34" s="16"/>
      <c r="QWK34" s="16"/>
      <c r="QWL34" s="16"/>
      <c r="QWM34" s="16"/>
      <c r="QWN34" s="16"/>
      <c r="QWO34" s="16"/>
      <c r="QWP34" s="16"/>
      <c r="QWQ34" s="16"/>
      <c r="QWR34" s="16"/>
      <c r="QWS34" s="16"/>
      <c r="QWT34" s="16"/>
      <c r="QWU34" s="16"/>
      <c r="QWV34" s="16"/>
      <c r="QWW34" s="16"/>
      <c r="QWX34" s="16"/>
      <c r="QWY34" s="16"/>
      <c r="QWZ34" s="16"/>
      <c r="QXA34" s="16"/>
      <c r="QXB34" s="16"/>
      <c r="QXC34" s="16"/>
      <c r="QXD34" s="16"/>
      <c r="QXE34" s="16"/>
      <c r="QXF34" s="16"/>
      <c r="QXG34" s="16"/>
      <c r="QXH34" s="16"/>
      <c r="QXI34" s="16"/>
      <c r="QXJ34" s="16"/>
      <c r="QXK34" s="16"/>
      <c r="QXL34" s="16"/>
      <c r="QXM34" s="16"/>
      <c r="QXN34" s="16"/>
      <c r="QXO34" s="16"/>
      <c r="QXP34" s="16"/>
      <c r="QXQ34" s="16"/>
      <c r="QXR34" s="16"/>
      <c r="QXS34" s="16"/>
      <c r="QXT34" s="16"/>
      <c r="QXU34" s="16"/>
      <c r="QXV34" s="16"/>
      <c r="QXW34" s="16"/>
      <c r="QXX34" s="16"/>
      <c r="QXY34" s="16"/>
      <c r="QXZ34" s="16"/>
      <c r="QYA34" s="16"/>
      <c r="QYB34" s="16"/>
      <c r="QYC34" s="16"/>
      <c r="QYD34" s="16"/>
      <c r="QYE34" s="16"/>
      <c r="QYF34" s="16"/>
      <c r="QYG34" s="16"/>
      <c r="QYH34" s="16"/>
      <c r="QYI34" s="16"/>
      <c r="QYJ34" s="16"/>
      <c r="QYK34" s="16"/>
      <c r="QYL34" s="16"/>
      <c r="QYM34" s="16"/>
      <c r="QYN34" s="16"/>
      <c r="QYO34" s="16"/>
      <c r="QYP34" s="16"/>
      <c r="QYQ34" s="16"/>
      <c r="QYR34" s="16"/>
      <c r="QYS34" s="16"/>
      <c r="QYT34" s="16"/>
      <c r="QYU34" s="16"/>
      <c r="QYV34" s="16"/>
      <c r="QYW34" s="16"/>
      <c r="QYX34" s="16"/>
      <c r="QYY34" s="16"/>
      <c r="QYZ34" s="16"/>
      <c r="QZA34" s="16"/>
      <c r="QZB34" s="16"/>
      <c r="QZC34" s="16"/>
      <c r="QZD34" s="16"/>
      <c r="QZE34" s="16"/>
      <c r="QZF34" s="16"/>
      <c r="QZG34" s="16"/>
      <c r="QZH34" s="16"/>
      <c r="QZI34" s="16"/>
      <c r="QZJ34" s="16"/>
      <c r="QZK34" s="16"/>
      <c r="QZL34" s="16"/>
      <c r="QZM34" s="16"/>
      <c r="QZN34" s="16"/>
      <c r="QZO34" s="16"/>
      <c r="QZP34" s="16"/>
      <c r="QZQ34" s="16"/>
      <c r="QZR34" s="16"/>
      <c r="QZS34" s="16"/>
      <c r="QZT34" s="16"/>
      <c r="QZU34" s="16"/>
      <c r="QZV34" s="16"/>
      <c r="QZW34" s="16"/>
      <c r="QZX34" s="16"/>
      <c r="QZY34" s="16"/>
      <c r="QZZ34" s="16"/>
      <c r="RAA34" s="16"/>
      <c r="RAB34" s="16"/>
      <c r="RAC34" s="16"/>
      <c r="RAD34" s="16"/>
      <c r="RAE34" s="16"/>
      <c r="RAF34" s="16"/>
      <c r="RAG34" s="16"/>
      <c r="RAH34" s="16"/>
      <c r="RAI34" s="16"/>
      <c r="RAJ34" s="16"/>
      <c r="RAK34" s="16"/>
      <c r="RAL34" s="16"/>
      <c r="RAM34" s="16"/>
      <c r="RAN34" s="16"/>
      <c r="RAO34" s="16"/>
      <c r="RAP34" s="16"/>
      <c r="RAQ34" s="16"/>
      <c r="RAR34" s="16"/>
      <c r="RAS34" s="16"/>
      <c r="RAT34" s="16"/>
      <c r="RAU34" s="16"/>
      <c r="RAV34" s="16"/>
      <c r="RAW34" s="16"/>
      <c r="RAX34" s="16"/>
      <c r="RAY34" s="16"/>
      <c r="RAZ34" s="16"/>
      <c r="RBA34" s="16"/>
      <c r="RBB34" s="16"/>
      <c r="RBC34" s="16"/>
      <c r="RBD34" s="16"/>
      <c r="RBE34" s="16"/>
      <c r="RBF34" s="16"/>
      <c r="RBG34" s="16"/>
      <c r="RBH34" s="16"/>
      <c r="RBI34" s="16"/>
      <c r="RBJ34" s="16"/>
      <c r="RBK34" s="16"/>
      <c r="RBL34" s="16"/>
      <c r="RBM34" s="16"/>
      <c r="RBN34" s="16"/>
      <c r="RBO34" s="16"/>
      <c r="RBP34" s="16"/>
      <c r="RBQ34" s="16"/>
      <c r="RBR34" s="16"/>
      <c r="RBS34" s="16"/>
      <c r="RBT34" s="16"/>
      <c r="RBU34" s="16"/>
      <c r="RBV34" s="16"/>
      <c r="RBW34" s="16"/>
      <c r="RBX34" s="16"/>
      <c r="RBY34" s="16"/>
      <c r="RBZ34" s="16"/>
      <c r="RCA34" s="16"/>
      <c r="RCB34" s="16"/>
      <c r="RCC34" s="16"/>
      <c r="RCD34" s="16"/>
      <c r="RCE34" s="16"/>
      <c r="RCF34" s="16"/>
      <c r="RCG34" s="16"/>
      <c r="RCH34" s="16"/>
      <c r="RCI34" s="16"/>
      <c r="RCJ34" s="16"/>
      <c r="RCK34" s="16"/>
      <c r="RCL34" s="16"/>
      <c r="RCM34" s="16"/>
      <c r="RCN34" s="16"/>
      <c r="RCO34" s="16"/>
      <c r="RCP34" s="16"/>
      <c r="RCQ34" s="16"/>
      <c r="RCR34" s="16"/>
      <c r="RCS34" s="16"/>
      <c r="RCT34" s="16"/>
      <c r="RCU34" s="16"/>
      <c r="RCV34" s="16"/>
      <c r="RCW34" s="16"/>
      <c r="RCX34" s="16"/>
      <c r="RCY34" s="16"/>
      <c r="RCZ34" s="16"/>
      <c r="RDA34" s="16"/>
      <c r="RDB34" s="16"/>
      <c r="RDC34" s="16"/>
      <c r="RDD34" s="16"/>
      <c r="RDE34" s="16"/>
      <c r="RDF34" s="16"/>
      <c r="RDG34" s="16"/>
      <c r="RDH34" s="16"/>
      <c r="RDI34" s="16"/>
      <c r="RDJ34" s="16"/>
      <c r="RDK34" s="16"/>
      <c r="RDL34" s="16"/>
      <c r="RDM34" s="16"/>
      <c r="RDN34" s="16"/>
      <c r="RDO34" s="16"/>
      <c r="RDP34" s="16"/>
      <c r="RDQ34" s="16"/>
      <c r="RDR34" s="16"/>
      <c r="RDS34" s="16"/>
      <c r="RDT34" s="16"/>
      <c r="RDU34" s="16"/>
      <c r="RDV34" s="16"/>
      <c r="RDW34" s="16"/>
      <c r="RDX34" s="16"/>
      <c r="RDY34" s="16"/>
      <c r="RDZ34" s="16"/>
      <c r="REA34" s="16"/>
      <c r="REB34" s="16"/>
      <c r="REC34" s="16"/>
      <c r="RED34" s="16"/>
      <c r="REE34" s="16"/>
      <c r="REF34" s="16"/>
      <c r="REG34" s="16"/>
      <c r="REH34" s="16"/>
      <c r="REI34" s="16"/>
      <c r="REJ34" s="16"/>
      <c r="REK34" s="16"/>
      <c r="REL34" s="16"/>
      <c r="REM34" s="16"/>
      <c r="REN34" s="16"/>
      <c r="REO34" s="16"/>
      <c r="REP34" s="16"/>
      <c r="REQ34" s="16"/>
      <c r="RER34" s="16"/>
      <c r="RES34" s="16"/>
      <c r="RET34" s="16"/>
      <c r="REU34" s="16"/>
      <c r="REV34" s="16"/>
      <c r="REW34" s="16"/>
      <c r="REX34" s="16"/>
      <c r="REY34" s="16"/>
      <c r="REZ34" s="16"/>
      <c r="RFA34" s="16"/>
      <c r="RFB34" s="16"/>
      <c r="RFC34" s="16"/>
      <c r="RFD34" s="16"/>
      <c r="RFE34" s="16"/>
      <c r="RFF34" s="16"/>
      <c r="RFG34" s="16"/>
      <c r="RFH34" s="16"/>
      <c r="RFI34" s="16"/>
      <c r="RFJ34" s="16"/>
      <c r="RFK34" s="16"/>
      <c r="RFL34" s="16"/>
      <c r="RFM34" s="16"/>
      <c r="RFN34" s="16"/>
      <c r="RFO34" s="16"/>
      <c r="RFP34" s="16"/>
      <c r="RFQ34" s="16"/>
      <c r="RFR34" s="16"/>
      <c r="RFS34" s="16"/>
      <c r="RFT34" s="16"/>
      <c r="RFU34" s="16"/>
      <c r="RFV34" s="16"/>
      <c r="RFW34" s="16"/>
      <c r="RFX34" s="16"/>
      <c r="RFY34" s="16"/>
      <c r="RFZ34" s="16"/>
      <c r="RGA34" s="16"/>
      <c r="RGB34" s="16"/>
      <c r="RGC34" s="16"/>
      <c r="RGD34" s="16"/>
      <c r="RGE34" s="16"/>
      <c r="RGF34" s="16"/>
      <c r="RGG34" s="16"/>
      <c r="RGH34" s="16"/>
      <c r="RGI34" s="16"/>
      <c r="RGJ34" s="16"/>
      <c r="RGK34" s="16"/>
      <c r="RGL34" s="16"/>
      <c r="RGM34" s="16"/>
      <c r="RGN34" s="16"/>
      <c r="RGO34" s="16"/>
      <c r="RGP34" s="16"/>
      <c r="RGQ34" s="16"/>
      <c r="RGR34" s="16"/>
      <c r="RGS34" s="16"/>
      <c r="RGT34" s="16"/>
      <c r="RGU34" s="16"/>
      <c r="RGV34" s="16"/>
      <c r="RGW34" s="16"/>
      <c r="RGX34" s="16"/>
      <c r="RGY34" s="16"/>
      <c r="RGZ34" s="16"/>
      <c r="RHA34" s="16"/>
      <c r="RHB34" s="16"/>
      <c r="RHC34" s="16"/>
      <c r="RHD34" s="16"/>
      <c r="RHE34" s="16"/>
      <c r="RHF34" s="16"/>
      <c r="RHG34" s="16"/>
      <c r="RHH34" s="16"/>
      <c r="RHI34" s="16"/>
      <c r="RHJ34" s="16"/>
      <c r="RHK34" s="16"/>
      <c r="RHL34" s="16"/>
      <c r="RHM34" s="16"/>
      <c r="RHN34" s="16"/>
      <c r="RHO34" s="16"/>
      <c r="RHP34" s="16"/>
      <c r="RHQ34" s="16"/>
      <c r="RHR34" s="16"/>
      <c r="RHS34" s="16"/>
      <c r="RHT34" s="16"/>
      <c r="RHU34" s="16"/>
      <c r="RHV34" s="16"/>
      <c r="RHW34" s="16"/>
      <c r="RHX34" s="16"/>
      <c r="RHY34" s="16"/>
      <c r="RHZ34" s="16"/>
      <c r="RIA34" s="16"/>
      <c r="RIB34" s="16"/>
      <c r="RIC34" s="16"/>
      <c r="RID34" s="16"/>
      <c r="RIE34" s="16"/>
      <c r="RIF34" s="16"/>
      <c r="RIG34" s="16"/>
      <c r="RIH34" s="16"/>
      <c r="RII34" s="16"/>
      <c r="RIJ34" s="16"/>
      <c r="RIK34" s="16"/>
      <c r="RIL34" s="16"/>
      <c r="RIM34" s="16"/>
      <c r="RIN34" s="16"/>
      <c r="RIO34" s="16"/>
      <c r="RIP34" s="16"/>
      <c r="RIQ34" s="16"/>
      <c r="RIR34" s="16"/>
      <c r="RIS34" s="16"/>
      <c r="RIT34" s="16"/>
      <c r="RIU34" s="16"/>
      <c r="RIV34" s="16"/>
      <c r="RIW34" s="16"/>
      <c r="RIX34" s="16"/>
      <c r="RIY34" s="16"/>
      <c r="RIZ34" s="16"/>
      <c r="RJA34" s="16"/>
      <c r="RJB34" s="16"/>
      <c r="RJC34" s="16"/>
      <c r="RJD34" s="16"/>
      <c r="RJE34" s="16"/>
      <c r="RJF34" s="16"/>
      <c r="RJG34" s="16"/>
      <c r="RJH34" s="16"/>
      <c r="RJI34" s="16"/>
      <c r="RJJ34" s="16"/>
      <c r="RJK34" s="16"/>
      <c r="RJL34" s="16"/>
      <c r="RJM34" s="16"/>
      <c r="RJN34" s="16"/>
      <c r="RJO34" s="16"/>
      <c r="RJP34" s="16"/>
      <c r="RJQ34" s="16"/>
      <c r="RJR34" s="16"/>
      <c r="RJS34" s="16"/>
      <c r="RJT34" s="16"/>
      <c r="RJU34" s="16"/>
      <c r="RJV34" s="16"/>
      <c r="RJW34" s="16"/>
      <c r="RJX34" s="16"/>
      <c r="RJY34" s="16"/>
      <c r="RJZ34" s="16"/>
      <c r="RKA34" s="16"/>
      <c r="RKB34" s="16"/>
      <c r="RKC34" s="16"/>
      <c r="RKD34" s="16"/>
      <c r="RKE34" s="16"/>
      <c r="RKF34" s="16"/>
      <c r="RKG34" s="16"/>
      <c r="RKH34" s="16"/>
      <c r="RKI34" s="16"/>
      <c r="RKJ34" s="16"/>
      <c r="RKK34" s="16"/>
      <c r="RKL34" s="16"/>
      <c r="RKM34" s="16"/>
      <c r="RKN34" s="16"/>
      <c r="RKO34" s="16"/>
      <c r="RKP34" s="16"/>
      <c r="RKQ34" s="16"/>
      <c r="RKR34" s="16"/>
      <c r="RKS34" s="16"/>
      <c r="RKT34" s="16"/>
      <c r="RKU34" s="16"/>
      <c r="RKV34" s="16"/>
      <c r="RKW34" s="16"/>
      <c r="RKX34" s="16"/>
      <c r="RKY34" s="16"/>
      <c r="RKZ34" s="16"/>
      <c r="RLA34" s="16"/>
      <c r="RLB34" s="16"/>
      <c r="RLC34" s="16"/>
      <c r="RLD34" s="16"/>
      <c r="RLE34" s="16"/>
      <c r="RLF34" s="16"/>
      <c r="RLG34" s="16"/>
      <c r="RLH34" s="16"/>
      <c r="RLI34" s="16"/>
      <c r="RLJ34" s="16"/>
      <c r="RLK34" s="16"/>
      <c r="RLL34" s="16"/>
      <c r="RLM34" s="16"/>
      <c r="RLN34" s="16"/>
      <c r="RLO34" s="16"/>
      <c r="RLP34" s="16"/>
      <c r="RLQ34" s="16"/>
      <c r="RLR34" s="16"/>
      <c r="RLS34" s="16"/>
      <c r="RLT34" s="16"/>
      <c r="RLU34" s="16"/>
      <c r="RLV34" s="16"/>
      <c r="RLW34" s="16"/>
      <c r="RLX34" s="16"/>
      <c r="RLY34" s="16"/>
      <c r="RLZ34" s="16"/>
      <c r="RMA34" s="16"/>
      <c r="RMB34" s="16"/>
      <c r="RMC34" s="16"/>
      <c r="RMD34" s="16"/>
      <c r="RME34" s="16"/>
      <c r="RMF34" s="16"/>
      <c r="RMG34" s="16"/>
      <c r="RMH34" s="16"/>
      <c r="RMI34" s="16"/>
      <c r="RMJ34" s="16"/>
      <c r="RMK34" s="16"/>
      <c r="RML34" s="16"/>
      <c r="RMM34" s="16"/>
      <c r="RMN34" s="16"/>
      <c r="RMO34" s="16"/>
      <c r="RMP34" s="16"/>
      <c r="RMQ34" s="16"/>
      <c r="RMR34" s="16"/>
      <c r="RMS34" s="16"/>
      <c r="RMT34" s="16"/>
      <c r="RMU34" s="16"/>
      <c r="RMV34" s="16"/>
      <c r="RMW34" s="16"/>
      <c r="RMX34" s="16"/>
      <c r="RMY34" s="16"/>
      <c r="RMZ34" s="16"/>
      <c r="RNA34" s="16"/>
      <c r="RNB34" s="16"/>
      <c r="RNC34" s="16"/>
      <c r="RND34" s="16"/>
      <c r="RNE34" s="16"/>
      <c r="RNF34" s="16"/>
      <c r="RNG34" s="16"/>
      <c r="RNH34" s="16"/>
      <c r="RNI34" s="16"/>
      <c r="RNJ34" s="16"/>
      <c r="RNK34" s="16"/>
      <c r="RNL34" s="16"/>
      <c r="RNM34" s="16"/>
      <c r="RNN34" s="16"/>
      <c r="RNO34" s="16"/>
      <c r="RNP34" s="16"/>
      <c r="RNQ34" s="16"/>
      <c r="RNR34" s="16"/>
      <c r="RNS34" s="16"/>
      <c r="RNT34" s="16"/>
      <c r="RNU34" s="16"/>
      <c r="RNV34" s="16"/>
      <c r="RNW34" s="16"/>
      <c r="RNX34" s="16"/>
      <c r="RNY34" s="16"/>
      <c r="RNZ34" s="16"/>
      <c r="ROA34" s="16"/>
      <c r="ROB34" s="16"/>
      <c r="ROC34" s="16"/>
      <c r="ROD34" s="16"/>
      <c r="ROE34" s="16"/>
      <c r="ROF34" s="16"/>
      <c r="ROG34" s="16"/>
      <c r="ROH34" s="16"/>
      <c r="ROI34" s="16"/>
      <c r="ROJ34" s="16"/>
      <c r="ROK34" s="16"/>
      <c r="ROL34" s="16"/>
      <c r="ROM34" s="16"/>
      <c r="RON34" s="16"/>
      <c r="ROO34" s="16"/>
      <c r="ROP34" s="16"/>
      <c r="ROQ34" s="16"/>
      <c r="ROR34" s="16"/>
      <c r="ROS34" s="16"/>
      <c r="ROT34" s="16"/>
      <c r="ROU34" s="16"/>
      <c r="ROV34" s="16"/>
      <c r="ROW34" s="16"/>
      <c r="ROX34" s="16"/>
      <c r="ROY34" s="16"/>
      <c r="ROZ34" s="16"/>
      <c r="RPA34" s="16"/>
      <c r="RPB34" s="16"/>
      <c r="RPC34" s="16"/>
      <c r="RPD34" s="16"/>
      <c r="RPE34" s="16"/>
      <c r="RPF34" s="16"/>
      <c r="RPG34" s="16"/>
      <c r="RPH34" s="16"/>
      <c r="RPI34" s="16"/>
      <c r="RPJ34" s="16"/>
      <c r="RPK34" s="16"/>
      <c r="RPL34" s="16"/>
      <c r="RPM34" s="16"/>
      <c r="RPN34" s="16"/>
      <c r="RPO34" s="16"/>
      <c r="RPP34" s="16"/>
      <c r="RPQ34" s="16"/>
      <c r="RPR34" s="16"/>
      <c r="RPS34" s="16"/>
      <c r="RPT34" s="16"/>
      <c r="RPU34" s="16"/>
      <c r="RPV34" s="16"/>
      <c r="RPW34" s="16"/>
      <c r="RPX34" s="16"/>
      <c r="RPY34" s="16"/>
      <c r="RPZ34" s="16"/>
      <c r="RQA34" s="16"/>
      <c r="RQB34" s="16"/>
      <c r="RQC34" s="16"/>
      <c r="RQD34" s="16"/>
      <c r="RQE34" s="16"/>
      <c r="RQF34" s="16"/>
      <c r="RQG34" s="16"/>
      <c r="RQH34" s="16"/>
      <c r="RQI34" s="16"/>
      <c r="RQJ34" s="16"/>
      <c r="RQK34" s="16"/>
      <c r="RQL34" s="16"/>
      <c r="RQM34" s="16"/>
      <c r="RQN34" s="16"/>
      <c r="RQO34" s="16"/>
      <c r="RQP34" s="16"/>
      <c r="RQQ34" s="16"/>
      <c r="RQR34" s="16"/>
      <c r="RQS34" s="16"/>
      <c r="RQT34" s="16"/>
      <c r="RQU34" s="16"/>
      <c r="RQV34" s="16"/>
      <c r="RQW34" s="16"/>
      <c r="RQX34" s="16"/>
      <c r="RQY34" s="16"/>
      <c r="RQZ34" s="16"/>
      <c r="RRA34" s="16"/>
      <c r="RRB34" s="16"/>
      <c r="RRC34" s="16"/>
      <c r="RRD34" s="16"/>
      <c r="RRE34" s="16"/>
      <c r="RRF34" s="16"/>
      <c r="RRG34" s="16"/>
      <c r="RRH34" s="16"/>
      <c r="RRI34" s="16"/>
      <c r="RRJ34" s="16"/>
      <c r="RRK34" s="16"/>
      <c r="RRL34" s="16"/>
      <c r="RRM34" s="16"/>
      <c r="RRN34" s="16"/>
      <c r="RRO34" s="16"/>
      <c r="RRP34" s="16"/>
      <c r="RRQ34" s="16"/>
      <c r="RRR34" s="16"/>
      <c r="RRS34" s="16"/>
      <c r="RRT34" s="16"/>
      <c r="RRU34" s="16"/>
      <c r="RRV34" s="16"/>
      <c r="RRW34" s="16"/>
      <c r="RRX34" s="16"/>
      <c r="RRY34" s="16"/>
      <c r="RRZ34" s="16"/>
      <c r="RSA34" s="16"/>
      <c r="RSB34" s="16"/>
      <c r="RSC34" s="16"/>
      <c r="RSD34" s="16"/>
      <c r="RSE34" s="16"/>
      <c r="RSF34" s="16"/>
      <c r="RSG34" s="16"/>
      <c r="RSH34" s="16"/>
      <c r="RSI34" s="16"/>
      <c r="RSJ34" s="16"/>
      <c r="RSK34" s="16"/>
      <c r="RSL34" s="16"/>
      <c r="RSM34" s="16"/>
      <c r="RSN34" s="16"/>
      <c r="RSO34" s="16"/>
      <c r="RSP34" s="16"/>
      <c r="RSQ34" s="16"/>
      <c r="RSR34" s="16"/>
      <c r="RSS34" s="16"/>
      <c r="RST34" s="16"/>
      <c r="RSU34" s="16"/>
      <c r="RSV34" s="16"/>
      <c r="RSW34" s="16"/>
      <c r="RSX34" s="16"/>
      <c r="RSY34" s="16"/>
      <c r="RSZ34" s="16"/>
      <c r="RTA34" s="16"/>
      <c r="RTB34" s="16"/>
      <c r="RTC34" s="16"/>
      <c r="RTD34" s="16"/>
      <c r="RTE34" s="16"/>
      <c r="RTF34" s="16"/>
      <c r="RTG34" s="16"/>
      <c r="RTH34" s="16"/>
      <c r="RTI34" s="16"/>
      <c r="RTJ34" s="16"/>
      <c r="RTK34" s="16"/>
      <c r="RTL34" s="16"/>
      <c r="RTM34" s="16"/>
      <c r="RTN34" s="16"/>
      <c r="RTO34" s="16"/>
      <c r="RTP34" s="16"/>
      <c r="RTQ34" s="16"/>
      <c r="RTR34" s="16"/>
      <c r="RTS34" s="16"/>
      <c r="RTT34" s="16"/>
      <c r="RTU34" s="16"/>
      <c r="RTV34" s="16"/>
      <c r="RTW34" s="16"/>
      <c r="RTX34" s="16"/>
      <c r="RTY34" s="16"/>
      <c r="RTZ34" s="16"/>
      <c r="RUA34" s="16"/>
      <c r="RUB34" s="16"/>
      <c r="RUC34" s="16"/>
      <c r="RUD34" s="16"/>
      <c r="RUE34" s="16"/>
      <c r="RUF34" s="16"/>
      <c r="RUG34" s="16"/>
      <c r="RUH34" s="16"/>
      <c r="RUI34" s="16"/>
      <c r="RUJ34" s="16"/>
      <c r="RUK34" s="16"/>
      <c r="RUL34" s="16"/>
      <c r="RUM34" s="16"/>
      <c r="RUN34" s="16"/>
      <c r="RUO34" s="16"/>
      <c r="RUP34" s="16"/>
      <c r="RUQ34" s="16"/>
      <c r="RUR34" s="16"/>
      <c r="RUS34" s="16"/>
      <c r="RUT34" s="16"/>
      <c r="RUU34" s="16"/>
      <c r="RUV34" s="16"/>
      <c r="RUW34" s="16"/>
      <c r="RUX34" s="16"/>
      <c r="RUY34" s="16"/>
      <c r="RUZ34" s="16"/>
      <c r="RVA34" s="16"/>
      <c r="RVB34" s="16"/>
      <c r="RVC34" s="16"/>
      <c r="RVD34" s="16"/>
      <c r="RVE34" s="16"/>
      <c r="RVF34" s="16"/>
      <c r="RVG34" s="16"/>
      <c r="RVH34" s="16"/>
      <c r="RVI34" s="16"/>
      <c r="RVJ34" s="16"/>
      <c r="RVK34" s="16"/>
      <c r="RVL34" s="16"/>
      <c r="RVM34" s="16"/>
      <c r="RVN34" s="16"/>
      <c r="RVO34" s="16"/>
      <c r="RVP34" s="16"/>
      <c r="RVQ34" s="16"/>
      <c r="RVR34" s="16"/>
      <c r="RVS34" s="16"/>
      <c r="RVT34" s="16"/>
      <c r="RVU34" s="16"/>
      <c r="RVV34" s="16"/>
      <c r="RVW34" s="16"/>
      <c r="RVX34" s="16"/>
      <c r="RVY34" s="16"/>
      <c r="RVZ34" s="16"/>
      <c r="RWA34" s="16"/>
      <c r="RWB34" s="16"/>
      <c r="RWC34" s="16"/>
      <c r="RWD34" s="16"/>
      <c r="RWE34" s="16"/>
      <c r="RWF34" s="16"/>
      <c r="RWG34" s="16"/>
      <c r="RWH34" s="16"/>
      <c r="RWI34" s="16"/>
      <c r="RWJ34" s="16"/>
      <c r="RWK34" s="16"/>
      <c r="RWL34" s="16"/>
      <c r="RWM34" s="16"/>
      <c r="RWN34" s="16"/>
      <c r="RWO34" s="16"/>
      <c r="RWP34" s="16"/>
      <c r="RWQ34" s="16"/>
      <c r="RWR34" s="16"/>
      <c r="RWS34" s="16"/>
      <c r="RWT34" s="16"/>
      <c r="RWU34" s="16"/>
      <c r="RWV34" s="16"/>
      <c r="RWW34" s="16"/>
      <c r="RWX34" s="16"/>
      <c r="RWY34" s="16"/>
      <c r="RWZ34" s="16"/>
      <c r="RXA34" s="16"/>
      <c r="RXB34" s="16"/>
      <c r="RXC34" s="16"/>
      <c r="RXD34" s="16"/>
      <c r="RXE34" s="16"/>
      <c r="RXF34" s="16"/>
      <c r="RXG34" s="16"/>
      <c r="RXH34" s="16"/>
      <c r="RXI34" s="16"/>
      <c r="RXJ34" s="16"/>
      <c r="RXK34" s="16"/>
      <c r="RXL34" s="16"/>
      <c r="RXM34" s="16"/>
      <c r="RXN34" s="16"/>
      <c r="RXO34" s="16"/>
      <c r="RXP34" s="16"/>
      <c r="RXQ34" s="16"/>
      <c r="RXR34" s="16"/>
      <c r="RXS34" s="16"/>
      <c r="RXT34" s="16"/>
      <c r="RXU34" s="16"/>
      <c r="RXV34" s="16"/>
      <c r="RXW34" s="16"/>
      <c r="RXX34" s="16"/>
      <c r="RXY34" s="16"/>
      <c r="RXZ34" s="16"/>
      <c r="RYA34" s="16"/>
      <c r="RYB34" s="16"/>
      <c r="RYC34" s="16"/>
      <c r="RYD34" s="16"/>
      <c r="RYE34" s="16"/>
      <c r="RYF34" s="16"/>
      <c r="RYG34" s="16"/>
      <c r="RYH34" s="16"/>
      <c r="RYI34" s="16"/>
      <c r="RYJ34" s="16"/>
      <c r="RYK34" s="16"/>
      <c r="RYL34" s="16"/>
      <c r="RYM34" s="16"/>
      <c r="RYN34" s="16"/>
      <c r="RYO34" s="16"/>
      <c r="RYP34" s="16"/>
      <c r="RYQ34" s="16"/>
      <c r="RYR34" s="16"/>
      <c r="RYS34" s="16"/>
      <c r="RYT34" s="16"/>
      <c r="RYU34" s="16"/>
      <c r="RYV34" s="16"/>
      <c r="RYW34" s="16"/>
      <c r="RYX34" s="16"/>
      <c r="RYY34" s="16"/>
      <c r="RYZ34" s="16"/>
      <c r="RZA34" s="16"/>
      <c r="RZB34" s="16"/>
      <c r="RZC34" s="16"/>
      <c r="RZD34" s="16"/>
      <c r="RZE34" s="16"/>
      <c r="RZF34" s="16"/>
      <c r="RZG34" s="16"/>
      <c r="RZH34" s="16"/>
      <c r="RZI34" s="16"/>
      <c r="RZJ34" s="16"/>
      <c r="RZK34" s="16"/>
      <c r="RZL34" s="16"/>
      <c r="RZM34" s="16"/>
      <c r="RZN34" s="16"/>
      <c r="RZO34" s="16"/>
      <c r="RZP34" s="16"/>
      <c r="RZQ34" s="16"/>
      <c r="RZR34" s="16"/>
      <c r="RZS34" s="16"/>
      <c r="RZT34" s="16"/>
      <c r="RZU34" s="16"/>
      <c r="RZV34" s="16"/>
      <c r="RZW34" s="16"/>
      <c r="RZX34" s="16"/>
      <c r="RZY34" s="16"/>
      <c r="RZZ34" s="16"/>
      <c r="SAA34" s="16"/>
      <c r="SAB34" s="16"/>
      <c r="SAC34" s="16"/>
      <c r="SAD34" s="16"/>
      <c r="SAE34" s="16"/>
      <c r="SAF34" s="16"/>
      <c r="SAG34" s="16"/>
      <c r="SAH34" s="16"/>
      <c r="SAI34" s="16"/>
      <c r="SAJ34" s="16"/>
      <c r="SAK34" s="16"/>
      <c r="SAL34" s="16"/>
      <c r="SAM34" s="16"/>
      <c r="SAN34" s="16"/>
      <c r="SAO34" s="16"/>
      <c r="SAP34" s="16"/>
      <c r="SAQ34" s="16"/>
      <c r="SAR34" s="16"/>
      <c r="SAS34" s="16"/>
      <c r="SAT34" s="16"/>
      <c r="SAU34" s="16"/>
      <c r="SAV34" s="16"/>
      <c r="SAW34" s="16"/>
      <c r="SAX34" s="16"/>
      <c r="SAY34" s="16"/>
      <c r="SAZ34" s="16"/>
      <c r="SBA34" s="16"/>
      <c r="SBB34" s="16"/>
      <c r="SBC34" s="16"/>
      <c r="SBD34" s="16"/>
      <c r="SBE34" s="16"/>
      <c r="SBF34" s="16"/>
      <c r="SBG34" s="16"/>
      <c r="SBH34" s="16"/>
      <c r="SBI34" s="16"/>
      <c r="SBJ34" s="16"/>
      <c r="SBK34" s="16"/>
      <c r="SBL34" s="16"/>
      <c r="SBM34" s="16"/>
      <c r="SBN34" s="16"/>
      <c r="SBO34" s="16"/>
      <c r="SBP34" s="16"/>
      <c r="SBQ34" s="16"/>
      <c r="SBR34" s="16"/>
      <c r="SBS34" s="16"/>
      <c r="SBT34" s="16"/>
      <c r="SBU34" s="16"/>
      <c r="SBV34" s="16"/>
      <c r="SBW34" s="16"/>
      <c r="SBX34" s="16"/>
      <c r="SBY34" s="16"/>
      <c r="SBZ34" s="16"/>
      <c r="SCA34" s="16"/>
      <c r="SCB34" s="16"/>
      <c r="SCC34" s="16"/>
      <c r="SCD34" s="16"/>
      <c r="SCE34" s="16"/>
      <c r="SCF34" s="16"/>
      <c r="SCG34" s="16"/>
      <c r="SCH34" s="16"/>
      <c r="SCI34" s="16"/>
      <c r="SCJ34" s="16"/>
      <c r="SCK34" s="16"/>
      <c r="SCL34" s="16"/>
      <c r="SCM34" s="16"/>
      <c r="SCN34" s="16"/>
      <c r="SCO34" s="16"/>
      <c r="SCP34" s="16"/>
      <c r="SCQ34" s="16"/>
      <c r="SCR34" s="16"/>
      <c r="SCS34" s="16"/>
      <c r="SCT34" s="16"/>
      <c r="SCU34" s="16"/>
      <c r="SCV34" s="16"/>
      <c r="SCW34" s="16"/>
      <c r="SCX34" s="16"/>
      <c r="SCY34" s="16"/>
      <c r="SCZ34" s="16"/>
      <c r="SDA34" s="16"/>
      <c r="SDB34" s="16"/>
      <c r="SDC34" s="16"/>
      <c r="SDD34" s="16"/>
      <c r="SDE34" s="16"/>
      <c r="SDF34" s="16"/>
      <c r="SDG34" s="16"/>
      <c r="SDH34" s="16"/>
      <c r="SDI34" s="16"/>
      <c r="SDJ34" s="16"/>
      <c r="SDK34" s="16"/>
      <c r="SDL34" s="16"/>
      <c r="SDM34" s="16"/>
      <c r="SDN34" s="16"/>
      <c r="SDO34" s="16"/>
      <c r="SDP34" s="16"/>
      <c r="SDQ34" s="16"/>
      <c r="SDR34" s="16"/>
      <c r="SDS34" s="16"/>
      <c r="SDT34" s="16"/>
      <c r="SDU34" s="16"/>
      <c r="SDV34" s="16"/>
      <c r="SDW34" s="16"/>
      <c r="SDX34" s="16"/>
      <c r="SDY34" s="16"/>
      <c r="SDZ34" s="16"/>
      <c r="SEA34" s="16"/>
      <c r="SEB34" s="16"/>
      <c r="SEC34" s="16"/>
      <c r="SED34" s="16"/>
      <c r="SEE34" s="16"/>
      <c r="SEF34" s="16"/>
      <c r="SEG34" s="16"/>
      <c r="SEH34" s="16"/>
      <c r="SEI34" s="16"/>
      <c r="SEJ34" s="16"/>
      <c r="SEK34" s="16"/>
      <c r="SEL34" s="16"/>
      <c r="SEM34" s="16"/>
      <c r="SEN34" s="16"/>
      <c r="SEO34" s="16"/>
      <c r="SEP34" s="16"/>
      <c r="SEQ34" s="16"/>
      <c r="SER34" s="16"/>
      <c r="SES34" s="16"/>
      <c r="SET34" s="16"/>
      <c r="SEU34" s="16"/>
      <c r="SEV34" s="16"/>
      <c r="SEW34" s="16"/>
      <c r="SEX34" s="16"/>
      <c r="SEY34" s="16"/>
      <c r="SEZ34" s="16"/>
      <c r="SFA34" s="16"/>
      <c r="SFB34" s="16"/>
      <c r="SFC34" s="16"/>
      <c r="SFD34" s="16"/>
      <c r="SFE34" s="16"/>
      <c r="SFF34" s="16"/>
      <c r="SFG34" s="16"/>
      <c r="SFH34" s="16"/>
      <c r="SFI34" s="16"/>
      <c r="SFJ34" s="16"/>
      <c r="SFK34" s="16"/>
      <c r="SFL34" s="16"/>
      <c r="SFM34" s="16"/>
      <c r="SFN34" s="16"/>
      <c r="SFO34" s="16"/>
      <c r="SFP34" s="16"/>
      <c r="SFQ34" s="16"/>
      <c r="SFR34" s="16"/>
      <c r="SFS34" s="16"/>
      <c r="SFT34" s="16"/>
      <c r="SFU34" s="16"/>
      <c r="SFV34" s="16"/>
      <c r="SFW34" s="16"/>
      <c r="SFX34" s="16"/>
      <c r="SFY34" s="16"/>
      <c r="SFZ34" s="16"/>
      <c r="SGA34" s="16"/>
      <c r="SGB34" s="16"/>
      <c r="SGC34" s="16"/>
      <c r="SGD34" s="16"/>
      <c r="SGE34" s="16"/>
      <c r="SGF34" s="16"/>
      <c r="SGG34" s="16"/>
      <c r="SGH34" s="16"/>
      <c r="SGI34" s="16"/>
      <c r="SGJ34" s="16"/>
      <c r="SGK34" s="16"/>
      <c r="SGL34" s="16"/>
      <c r="SGM34" s="16"/>
      <c r="SGN34" s="16"/>
      <c r="SGO34" s="16"/>
      <c r="SGP34" s="16"/>
      <c r="SGQ34" s="16"/>
      <c r="SGR34" s="16"/>
      <c r="SGS34" s="16"/>
      <c r="SGT34" s="16"/>
      <c r="SGU34" s="16"/>
      <c r="SGV34" s="16"/>
      <c r="SGW34" s="16"/>
      <c r="SGX34" s="16"/>
      <c r="SGY34" s="16"/>
      <c r="SGZ34" s="16"/>
      <c r="SHA34" s="16"/>
      <c r="SHB34" s="16"/>
      <c r="SHC34" s="16"/>
      <c r="SHD34" s="16"/>
      <c r="SHE34" s="16"/>
      <c r="SHF34" s="16"/>
      <c r="SHG34" s="16"/>
      <c r="SHH34" s="16"/>
      <c r="SHI34" s="16"/>
      <c r="SHJ34" s="16"/>
      <c r="SHK34" s="16"/>
      <c r="SHL34" s="16"/>
      <c r="SHM34" s="16"/>
      <c r="SHN34" s="16"/>
      <c r="SHO34" s="16"/>
      <c r="SHP34" s="16"/>
      <c r="SHQ34" s="16"/>
      <c r="SHR34" s="16"/>
      <c r="SHS34" s="16"/>
      <c r="SHT34" s="16"/>
      <c r="SHU34" s="16"/>
      <c r="SHV34" s="16"/>
      <c r="SHW34" s="16"/>
      <c r="SHX34" s="16"/>
      <c r="SHY34" s="16"/>
      <c r="SHZ34" s="16"/>
      <c r="SIA34" s="16"/>
      <c r="SIB34" s="16"/>
      <c r="SIC34" s="16"/>
      <c r="SID34" s="16"/>
      <c r="SIE34" s="16"/>
      <c r="SIF34" s="16"/>
      <c r="SIG34" s="16"/>
      <c r="SIH34" s="16"/>
      <c r="SII34" s="16"/>
      <c r="SIJ34" s="16"/>
      <c r="SIK34" s="16"/>
      <c r="SIL34" s="16"/>
      <c r="SIM34" s="16"/>
      <c r="SIN34" s="16"/>
      <c r="SIO34" s="16"/>
      <c r="SIP34" s="16"/>
      <c r="SIQ34" s="16"/>
      <c r="SIR34" s="16"/>
      <c r="SIS34" s="16"/>
      <c r="SIT34" s="16"/>
      <c r="SIU34" s="16"/>
      <c r="SIV34" s="16"/>
      <c r="SIW34" s="16"/>
      <c r="SIX34" s="16"/>
      <c r="SIY34" s="16"/>
      <c r="SIZ34" s="16"/>
      <c r="SJA34" s="16"/>
      <c r="SJB34" s="16"/>
      <c r="SJC34" s="16"/>
      <c r="SJD34" s="16"/>
      <c r="SJE34" s="16"/>
      <c r="SJF34" s="16"/>
      <c r="SJG34" s="16"/>
      <c r="SJH34" s="16"/>
      <c r="SJI34" s="16"/>
      <c r="SJJ34" s="16"/>
      <c r="SJK34" s="16"/>
      <c r="SJL34" s="16"/>
      <c r="SJM34" s="16"/>
      <c r="SJN34" s="16"/>
      <c r="SJO34" s="16"/>
      <c r="SJP34" s="16"/>
      <c r="SJQ34" s="16"/>
      <c r="SJR34" s="16"/>
      <c r="SJS34" s="16"/>
      <c r="SJT34" s="16"/>
      <c r="SJU34" s="16"/>
      <c r="SJV34" s="16"/>
      <c r="SJW34" s="16"/>
      <c r="SJX34" s="16"/>
      <c r="SJY34" s="16"/>
      <c r="SJZ34" s="16"/>
      <c r="SKA34" s="16"/>
      <c r="SKB34" s="16"/>
      <c r="SKC34" s="16"/>
      <c r="SKD34" s="16"/>
      <c r="SKE34" s="16"/>
      <c r="SKF34" s="16"/>
      <c r="SKG34" s="16"/>
      <c r="SKH34" s="16"/>
      <c r="SKI34" s="16"/>
      <c r="SKJ34" s="16"/>
      <c r="SKK34" s="16"/>
      <c r="SKL34" s="16"/>
      <c r="SKM34" s="16"/>
      <c r="SKN34" s="16"/>
      <c r="SKO34" s="16"/>
      <c r="SKP34" s="16"/>
      <c r="SKQ34" s="16"/>
      <c r="SKR34" s="16"/>
      <c r="SKS34" s="16"/>
      <c r="SKT34" s="16"/>
      <c r="SKU34" s="16"/>
      <c r="SKV34" s="16"/>
      <c r="SKW34" s="16"/>
      <c r="SKX34" s="16"/>
      <c r="SKY34" s="16"/>
      <c r="SKZ34" s="16"/>
      <c r="SLA34" s="16"/>
      <c r="SLB34" s="16"/>
      <c r="SLC34" s="16"/>
      <c r="SLD34" s="16"/>
      <c r="SLE34" s="16"/>
      <c r="SLF34" s="16"/>
      <c r="SLG34" s="16"/>
      <c r="SLH34" s="16"/>
      <c r="SLI34" s="16"/>
      <c r="SLJ34" s="16"/>
      <c r="SLK34" s="16"/>
      <c r="SLL34" s="16"/>
      <c r="SLM34" s="16"/>
      <c r="SLN34" s="16"/>
      <c r="SLO34" s="16"/>
      <c r="SLP34" s="16"/>
      <c r="SLQ34" s="16"/>
      <c r="SLR34" s="16"/>
      <c r="SLS34" s="16"/>
      <c r="SLT34" s="16"/>
      <c r="SLU34" s="16"/>
      <c r="SLV34" s="16"/>
      <c r="SLW34" s="16"/>
      <c r="SLX34" s="16"/>
      <c r="SLY34" s="16"/>
      <c r="SLZ34" s="16"/>
      <c r="SMA34" s="16"/>
      <c r="SMB34" s="16"/>
      <c r="SMC34" s="16"/>
      <c r="SMD34" s="16"/>
      <c r="SME34" s="16"/>
      <c r="SMF34" s="16"/>
      <c r="SMG34" s="16"/>
      <c r="SMH34" s="16"/>
      <c r="SMI34" s="16"/>
      <c r="SMJ34" s="16"/>
      <c r="SMK34" s="16"/>
      <c r="SML34" s="16"/>
      <c r="SMM34" s="16"/>
      <c r="SMN34" s="16"/>
      <c r="SMO34" s="16"/>
      <c r="SMP34" s="16"/>
      <c r="SMQ34" s="16"/>
      <c r="SMR34" s="16"/>
      <c r="SMS34" s="16"/>
      <c r="SMT34" s="16"/>
      <c r="SMU34" s="16"/>
      <c r="SMV34" s="16"/>
      <c r="SMW34" s="16"/>
      <c r="SMX34" s="16"/>
      <c r="SMY34" s="16"/>
      <c r="SMZ34" s="16"/>
      <c r="SNA34" s="16"/>
      <c r="SNB34" s="16"/>
      <c r="SNC34" s="16"/>
      <c r="SND34" s="16"/>
      <c r="SNE34" s="16"/>
      <c r="SNF34" s="16"/>
      <c r="SNG34" s="16"/>
      <c r="SNH34" s="16"/>
      <c r="SNI34" s="16"/>
      <c r="SNJ34" s="16"/>
      <c r="SNK34" s="16"/>
      <c r="SNL34" s="16"/>
      <c r="SNM34" s="16"/>
      <c r="SNN34" s="16"/>
      <c r="SNO34" s="16"/>
      <c r="SNP34" s="16"/>
      <c r="SNQ34" s="16"/>
      <c r="SNR34" s="16"/>
      <c r="SNS34" s="16"/>
      <c r="SNT34" s="16"/>
      <c r="SNU34" s="16"/>
      <c r="SNV34" s="16"/>
      <c r="SNW34" s="16"/>
      <c r="SNX34" s="16"/>
      <c r="SNY34" s="16"/>
      <c r="SNZ34" s="16"/>
      <c r="SOA34" s="16"/>
      <c r="SOB34" s="16"/>
      <c r="SOC34" s="16"/>
      <c r="SOD34" s="16"/>
      <c r="SOE34" s="16"/>
      <c r="SOF34" s="16"/>
      <c r="SOG34" s="16"/>
      <c r="SOH34" s="16"/>
      <c r="SOI34" s="16"/>
      <c r="SOJ34" s="16"/>
      <c r="SOK34" s="16"/>
      <c r="SOL34" s="16"/>
      <c r="SOM34" s="16"/>
      <c r="SON34" s="16"/>
      <c r="SOO34" s="16"/>
      <c r="SOP34" s="16"/>
      <c r="SOQ34" s="16"/>
      <c r="SOR34" s="16"/>
      <c r="SOS34" s="16"/>
      <c r="SOT34" s="16"/>
      <c r="SOU34" s="16"/>
      <c r="SOV34" s="16"/>
      <c r="SOW34" s="16"/>
      <c r="SOX34" s="16"/>
      <c r="SOY34" s="16"/>
      <c r="SOZ34" s="16"/>
      <c r="SPA34" s="16"/>
      <c r="SPB34" s="16"/>
      <c r="SPC34" s="16"/>
      <c r="SPD34" s="16"/>
      <c r="SPE34" s="16"/>
      <c r="SPF34" s="16"/>
      <c r="SPG34" s="16"/>
      <c r="SPH34" s="16"/>
      <c r="SPI34" s="16"/>
      <c r="SPJ34" s="16"/>
      <c r="SPK34" s="16"/>
      <c r="SPL34" s="16"/>
      <c r="SPM34" s="16"/>
      <c r="SPN34" s="16"/>
      <c r="SPO34" s="16"/>
      <c r="SPP34" s="16"/>
      <c r="SPQ34" s="16"/>
      <c r="SPR34" s="16"/>
      <c r="SPS34" s="16"/>
      <c r="SPT34" s="16"/>
      <c r="SPU34" s="16"/>
      <c r="SPV34" s="16"/>
      <c r="SPW34" s="16"/>
      <c r="SPX34" s="16"/>
      <c r="SPY34" s="16"/>
      <c r="SPZ34" s="16"/>
      <c r="SQA34" s="16"/>
      <c r="SQB34" s="16"/>
      <c r="SQC34" s="16"/>
      <c r="SQD34" s="16"/>
      <c r="SQE34" s="16"/>
      <c r="SQF34" s="16"/>
      <c r="SQG34" s="16"/>
      <c r="SQH34" s="16"/>
      <c r="SQI34" s="16"/>
      <c r="SQJ34" s="16"/>
      <c r="SQK34" s="16"/>
      <c r="SQL34" s="16"/>
      <c r="SQM34" s="16"/>
      <c r="SQN34" s="16"/>
      <c r="SQO34" s="16"/>
      <c r="SQP34" s="16"/>
      <c r="SQQ34" s="16"/>
      <c r="SQR34" s="16"/>
      <c r="SQS34" s="16"/>
      <c r="SQT34" s="16"/>
      <c r="SQU34" s="16"/>
      <c r="SQV34" s="16"/>
      <c r="SQW34" s="16"/>
      <c r="SQX34" s="16"/>
      <c r="SQY34" s="16"/>
      <c r="SQZ34" s="16"/>
      <c r="SRA34" s="16"/>
      <c r="SRB34" s="16"/>
      <c r="SRC34" s="16"/>
      <c r="SRD34" s="16"/>
      <c r="SRE34" s="16"/>
      <c r="SRF34" s="16"/>
      <c r="SRG34" s="16"/>
      <c r="SRH34" s="16"/>
      <c r="SRI34" s="16"/>
      <c r="SRJ34" s="16"/>
      <c r="SRK34" s="16"/>
      <c r="SRL34" s="16"/>
      <c r="SRM34" s="16"/>
      <c r="SRN34" s="16"/>
      <c r="SRO34" s="16"/>
      <c r="SRP34" s="16"/>
      <c r="SRQ34" s="16"/>
      <c r="SRR34" s="16"/>
      <c r="SRS34" s="16"/>
      <c r="SRT34" s="16"/>
      <c r="SRU34" s="16"/>
      <c r="SRV34" s="16"/>
      <c r="SRW34" s="16"/>
      <c r="SRX34" s="16"/>
      <c r="SRY34" s="16"/>
      <c r="SRZ34" s="16"/>
      <c r="SSA34" s="16"/>
      <c r="SSB34" s="16"/>
      <c r="SSC34" s="16"/>
      <c r="SSD34" s="16"/>
      <c r="SSE34" s="16"/>
      <c r="SSF34" s="16"/>
      <c r="SSG34" s="16"/>
      <c r="SSH34" s="16"/>
      <c r="SSI34" s="16"/>
      <c r="SSJ34" s="16"/>
      <c r="SSK34" s="16"/>
      <c r="SSL34" s="16"/>
      <c r="SSM34" s="16"/>
      <c r="SSN34" s="16"/>
      <c r="SSO34" s="16"/>
      <c r="SSP34" s="16"/>
      <c r="SSQ34" s="16"/>
      <c r="SSR34" s="16"/>
      <c r="SSS34" s="16"/>
      <c r="SST34" s="16"/>
      <c r="SSU34" s="16"/>
      <c r="SSV34" s="16"/>
      <c r="SSW34" s="16"/>
      <c r="SSX34" s="16"/>
      <c r="SSY34" s="16"/>
      <c r="SSZ34" s="16"/>
      <c r="STA34" s="16"/>
      <c r="STB34" s="16"/>
      <c r="STC34" s="16"/>
      <c r="STD34" s="16"/>
      <c r="STE34" s="16"/>
      <c r="STF34" s="16"/>
      <c r="STG34" s="16"/>
      <c r="STH34" s="16"/>
      <c r="STI34" s="16"/>
      <c r="STJ34" s="16"/>
      <c r="STK34" s="16"/>
      <c r="STL34" s="16"/>
      <c r="STM34" s="16"/>
      <c r="STN34" s="16"/>
      <c r="STO34" s="16"/>
      <c r="STP34" s="16"/>
      <c r="STQ34" s="16"/>
      <c r="STR34" s="16"/>
      <c r="STS34" s="16"/>
      <c r="STT34" s="16"/>
      <c r="STU34" s="16"/>
      <c r="STV34" s="16"/>
      <c r="STW34" s="16"/>
      <c r="STX34" s="16"/>
      <c r="STY34" s="16"/>
      <c r="STZ34" s="16"/>
      <c r="SUA34" s="16"/>
      <c r="SUB34" s="16"/>
      <c r="SUC34" s="16"/>
      <c r="SUD34" s="16"/>
      <c r="SUE34" s="16"/>
      <c r="SUF34" s="16"/>
      <c r="SUG34" s="16"/>
      <c r="SUH34" s="16"/>
      <c r="SUI34" s="16"/>
      <c r="SUJ34" s="16"/>
      <c r="SUK34" s="16"/>
      <c r="SUL34" s="16"/>
      <c r="SUM34" s="16"/>
      <c r="SUN34" s="16"/>
      <c r="SUO34" s="16"/>
      <c r="SUP34" s="16"/>
      <c r="SUQ34" s="16"/>
      <c r="SUR34" s="16"/>
      <c r="SUS34" s="16"/>
      <c r="SUT34" s="16"/>
      <c r="SUU34" s="16"/>
      <c r="SUV34" s="16"/>
      <c r="SUW34" s="16"/>
      <c r="SUX34" s="16"/>
      <c r="SUY34" s="16"/>
      <c r="SUZ34" s="16"/>
      <c r="SVA34" s="16"/>
      <c r="SVB34" s="16"/>
      <c r="SVC34" s="16"/>
      <c r="SVD34" s="16"/>
      <c r="SVE34" s="16"/>
      <c r="SVF34" s="16"/>
      <c r="SVG34" s="16"/>
      <c r="SVH34" s="16"/>
      <c r="SVI34" s="16"/>
      <c r="SVJ34" s="16"/>
      <c r="SVK34" s="16"/>
      <c r="SVL34" s="16"/>
      <c r="SVM34" s="16"/>
      <c r="SVN34" s="16"/>
      <c r="SVO34" s="16"/>
      <c r="SVP34" s="16"/>
      <c r="SVQ34" s="16"/>
      <c r="SVR34" s="16"/>
      <c r="SVS34" s="16"/>
      <c r="SVT34" s="16"/>
      <c r="SVU34" s="16"/>
      <c r="SVV34" s="16"/>
      <c r="SVW34" s="16"/>
      <c r="SVX34" s="16"/>
      <c r="SVY34" s="16"/>
      <c r="SVZ34" s="16"/>
      <c r="SWA34" s="16"/>
      <c r="SWB34" s="16"/>
      <c r="SWC34" s="16"/>
      <c r="SWD34" s="16"/>
      <c r="SWE34" s="16"/>
      <c r="SWF34" s="16"/>
      <c r="SWG34" s="16"/>
      <c r="SWH34" s="16"/>
      <c r="SWI34" s="16"/>
      <c r="SWJ34" s="16"/>
      <c r="SWK34" s="16"/>
      <c r="SWL34" s="16"/>
      <c r="SWM34" s="16"/>
      <c r="SWN34" s="16"/>
      <c r="SWO34" s="16"/>
      <c r="SWP34" s="16"/>
      <c r="SWQ34" s="16"/>
      <c r="SWR34" s="16"/>
      <c r="SWS34" s="16"/>
      <c r="SWT34" s="16"/>
      <c r="SWU34" s="16"/>
      <c r="SWV34" s="16"/>
      <c r="SWW34" s="16"/>
      <c r="SWX34" s="16"/>
      <c r="SWY34" s="16"/>
      <c r="SWZ34" s="16"/>
      <c r="SXA34" s="16"/>
      <c r="SXB34" s="16"/>
      <c r="SXC34" s="16"/>
      <c r="SXD34" s="16"/>
      <c r="SXE34" s="16"/>
      <c r="SXF34" s="16"/>
      <c r="SXG34" s="16"/>
      <c r="SXH34" s="16"/>
      <c r="SXI34" s="16"/>
      <c r="SXJ34" s="16"/>
      <c r="SXK34" s="16"/>
      <c r="SXL34" s="16"/>
      <c r="SXM34" s="16"/>
      <c r="SXN34" s="16"/>
      <c r="SXO34" s="16"/>
      <c r="SXP34" s="16"/>
      <c r="SXQ34" s="16"/>
      <c r="SXR34" s="16"/>
      <c r="SXS34" s="16"/>
      <c r="SXT34" s="16"/>
      <c r="SXU34" s="16"/>
      <c r="SXV34" s="16"/>
      <c r="SXW34" s="16"/>
      <c r="SXX34" s="16"/>
      <c r="SXY34" s="16"/>
      <c r="SXZ34" s="16"/>
      <c r="SYA34" s="16"/>
      <c r="SYB34" s="16"/>
      <c r="SYC34" s="16"/>
      <c r="SYD34" s="16"/>
      <c r="SYE34" s="16"/>
      <c r="SYF34" s="16"/>
      <c r="SYG34" s="16"/>
      <c r="SYH34" s="16"/>
      <c r="SYI34" s="16"/>
      <c r="SYJ34" s="16"/>
      <c r="SYK34" s="16"/>
      <c r="SYL34" s="16"/>
      <c r="SYM34" s="16"/>
      <c r="SYN34" s="16"/>
      <c r="SYO34" s="16"/>
      <c r="SYP34" s="16"/>
      <c r="SYQ34" s="16"/>
      <c r="SYR34" s="16"/>
      <c r="SYS34" s="16"/>
      <c r="SYT34" s="16"/>
      <c r="SYU34" s="16"/>
      <c r="SYV34" s="16"/>
      <c r="SYW34" s="16"/>
      <c r="SYX34" s="16"/>
      <c r="SYY34" s="16"/>
      <c r="SYZ34" s="16"/>
      <c r="SZA34" s="16"/>
      <c r="SZB34" s="16"/>
      <c r="SZC34" s="16"/>
      <c r="SZD34" s="16"/>
      <c r="SZE34" s="16"/>
      <c r="SZF34" s="16"/>
      <c r="SZG34" s="16"/>
      <c r="SZH34" s="16"/>
      <c r="SZI34" s="16"/>
      <c r="SZJ34" s="16"/>
      <c r="SZK34" s="16"/>
      <c r="SZL34" s="16"/>
      <c r="SZM34" s="16"/>
      <c r="SZN34" s="16"/>
      <c r="SZO34" s="16"/>
      <c r="SZP34" s="16"/>
      <c r="SZQ34" s="16"/>
      <c r="SZR34" s="16"/>
      <c r="SZS34" s="16"/>
      <c r="SZT34" s="16"/>
      <c r="SZU34" s="16"/>
      <c r="SZV34" s="16"/>
      <c r="SZW34" s="16"/>
      <c r="SZX34" s="16"/>
      <c r="SZY34" s="16"/>
      <c r="SZZ34" s="16"/>
      <c r="TAA34" s="16"/>
      <c r="TAB34" s="16"/>
      <c r="TAC34" s="16"/>
      <c r="TAD34" s="16"/>
      <c r="TAE34" s="16"/>
      <c r="TAF34" s="16"/>
      <c r="TAG34" s="16"/>
      <c r="TAH34" s="16"/>
      <c r="TAI34" s="16"/>
      <c r="TAJ34" s="16"/>
      <c r="TAK34" s="16"/>
      <c r="TAL34" s="16"/>
      <c r="TAM34" s="16"/>
      <c r="TAN34" s="16"/>
      <c r="TAO34" s="16"/>
      <c r="TAP34" s="16"/>
      <c r="TAQ34" s="16"/>
      <c r="TAR34" s="16"/>
      <c r="TAS34" s="16"/>
      <c r="TAT34" s="16"/>
      <c r="TAU34" s="16"/>
      <c r="TAV34" s="16"/>
      <c r="TAW34" s="16"/>
      <c r="TAX34" s="16"/>
      <c r="TAY34" s="16"/>
      <c r="TAZ34" s="16"/>
      <c r="TBA34" s="16"/>
      <c r="TBB34" s="16"/>
      <c r="TBC34" s="16"/>
      <c r="TBD34" s="16"/>
      <c r="TBE34" s="16"/>
      <c r="TBF34" s="16"/>
      <c r="TBG34" s="16"/>
      <c r="TBH34" s="16"/>
      <c r="TBI34" s="16"/>
      <c r="TBJ34" s="16"/>
      <c r="TBK34" s="16"/>
      <c r="TBL34" s="16"/>
      <c r="TBM34" s="16"/>
      <c r="TBN34" s="16"/>
      <c r="TBO34" s="16"/>
      <c r="TBP34" s="16"/>
      <c r="TBQ34" s="16"/>
      <c r="TBR34" s="16"/>
      <c r="TBS34" s="16"/>
      <c r="TBT34" s="16"/>
      <c r="TBU34" s="16"/>
      <c r="TBV34" s="16"/>
      <c r="TBW34" s="16"/>
      <c r="TBX34" s="16"/>
      <c r="TBY34" s="16"/>
      <c r="TBZ34" s="16"/>
      <c r="TCA34" s="16"/>
      <c r="TCB34" s="16"/>
      <c r="TCC34" s="16"/>
      <c r="TCD34" s="16"/>
      <c r="TCE34" s="16"/>
      <c r="TCF34" s="16"/>
      <c r="TCG34" s="16"/>
      <c r="TCH34" s="16"/>
      <c r="TCI34" s="16"/>
      <c r="TCJ34" s="16"/>
      <c r="TCK34" s="16"/>
      <c r="TCL34" s="16"/>
      <c r="TCM34" s="16"/>
      <c r="TCN34" s="16"/>
      <c r="TCO34" s="16"/>
      <c r="TCP34" s="16"/>
      <c r="TCQ34" s="16"/>
      <c r="TCR34" s="16"/>
      <c r="TCS34" s="16"/>
      <c r="TCT34" s="16"/>
      <c r="TCU34" s="16"/>
      <c r="TCV34" s="16"/>
      <c r="TCW34" s="16"/>
      <c r="TCX34" s="16"/>
      <c r="TCY34" s="16"/>
      <c r="TCZ34" s="16"/>
      <c r="TDA34" s="16"/>
      <c r="TDB34" s="16"/>
      <c r="TDC34" s="16"/>
      <c r="TDD34" s="16"/>
      <c r="TDE34" s="16"/>
      <c r="TDF34" s="16"/>
      <c r="TDG34" s="16"/>
      <c r="TDH34" s="16"/>
      <c r="TDI34" s="16"/>
      <c r="TDJ34" s="16"/>
      <c r="TDK34" s="16"/>
      <c r="TDL34" s="16"/>
      <c r="TDM34" s="16"/>
      <c r="TDN34" s="16"/>
      <c r="TDO34" s="16"/>
      <c r="TDP34" s="16"/>
      <c r="TDQ34" s="16"/>
      <c r="TDR34" s="16"/>
      <c r="TDS34" s="16"/>
      <c r="TDT34" s="16"/>
      <c r="TDU34" s="16"/>
      <c r="TDV34" s="16"/>
      <c r="TDW34" s="16"/>
      <c r="TDX34" s="16"/>
      <c r="TDY34" s="16"/>
      <c r="TDZ34" s="16"/>
      <c r="TEA34" s="16"/>
      <c r="TEB34" s="16"/>
      <c r="TEC34" s="16"/>
      <c r="TED34" s="16"/>
      <c r="TEE34" s="16"/>
      <c r="TEF34" s="16"/>
      <c r="TEG34" s="16"/>
      <c r="TEH34" s="16"/>
      <c r="TEI34" s="16"/>
      <c r="TEJ34" s="16"/>
      <c r="TEK34" s="16"/>
      <c r="TEL34" s="16"/>
      <c r="TEM34" s="16"/>
      <c r="TEN34" s="16"/>
      <c r="TEO34" s="16"/>
      <c r="TEP34" s="16"/>
      <c r="TEQ34" s="16"/>
      <c r="TER34" s="16"/>
      <c r="TES34" s="16"/>
      <c r="TET34" s="16"/>
      <c r="TEU34" s="16"/>
      <c r="TEV34" s="16"/>
      <c r="TEW34" s="16"/>
      <c r="TEX34" s="16"/>
      <c r="TEY34" s="16"/>
      <c r="TEZ34" s="16"/>
      <c r="TFA34" s="16"/>
      <c r="TFB34" s="16"/>
      <c r="TFC34" s="16"/>
      <c r="TFD34" s="16"/>
      <c r="TFE34" s="16"/>
      <c r="TFF34" s="16"/>
      <c r="TFG34" s="16"/>
      <c r="TFH34" s="16"/>
      <c r="TFI34" s="16"/>
      <c r="TFJ34" s="16"/>
      <c r="TFK34" s="16"/>
      <c r="TFL34" s="16"/>
      <c r="TFM34" s="16"/>
      <c r="TFN34" s="16"/>
      <c r="TFO34" s="16"/>
      <c r="TFP34" s="16"/>
      <c r="TFQ34" s="16"/>
      <c r="TFR34" s="16"/>
      <c r="TFS34" s="16"/>
      <c r="TFT34" s="16"/>
      <c r="TFU34" s="16"/>
      <c r="TFV34" s="16"/>
      <c r="TFW34" s="16"/>
      <c r="TFX34" s="16"/>
      <c r="TFY34" s="16"/>
      <c r="TFZ34" s="16"/>
      <c r="TGA34" s="16"/>
      <c r="TGB34" s="16"/>
      <c r="TGC34" s="16"/>
      <c r="TGD34" s="16"/>
      <c r="TGE34" s="16"/>
      <c r="TGF34" s="16"/>
      <c r="TGG34" s="16"/>
      <c r="TGH34" s="16"/>
      <c r="TGI34" s="16"/>
      <c r="TGJ34" s="16"/>
      <c r="TGK34" s="16"/>
      <c r="TGL34" s="16"/>
      <c r="TGM34" s="16"/>
      <c r="TGN34" s="16"/>
      <c r="TGO34" s="16"/>
      <c r="TGP34" s="16"/>
      <c r="TGQ34" s="16"/>
      <c r="TGR34" s="16"/>
      <c r="TGS34" s="16"/>
      <c r="TGT34" s="16"/>
      <c r="TGU34" s="16"/>
      <c r="TGV34" s="16"/>
      <c r="TGW34" s="16"/>
      <c r="TGX34" s="16"/>
      <c r="TGY34" s="16"/>
      <c r="TGZ34" s="16"/>
      <c r="THA34" s="16"/>
      <c r="THB34" s="16"/>
      <c r="THC34" s="16"/>
      <c r="THD34" s="16"/>
      <c r="THE34" s="16"/>
      <c r="THF34" s="16"/>
      <c r="THG34" s="16"/>
      <c r="THH34" s="16"/>
      <c r="THI34" s="16"/>
      <c r="THJ34" s="16"/>
      <c r="THK34" s="16"/>
      <c r="THL34" s="16"/>
      <c r="THM34" s="16"/>
      <c r="THN34" s="16"/>
      <c r="THO34" s="16"/>
      <c r="THP34" s="16"/>
      <c r="THQ34" s="16"/>
      <c r="THR34" s="16"/>
      <c r="THS34" s="16"/>
      <c r="THT34" s="16"/>
      <c r="THU34" s="16"/>
      <c r="THV34" s="16"/>
      <c r="THW34" s="16"/>
      <c r="THX34" s="16"/>
      <c r="THY34" s="16"/>
      <c r="THZ34" s="16"/>
      <c r="TIA34" s="16"/>
      <c r="TIB34" s="16"/>
      <c r="TIC34" s="16"/>
      <c r="TID34" s="16"/>
      <c r="TIE34" s="16"/>
      <c r="TIF34" s="16"/>
      <c r="TIG34" s="16"/>
      <c r="TIH34" s="16"/>
      <c r="TII34" s="16"/>
      <c r="TIJ34" s="16"/>
      <c r="TIK34" s="16"/>
      <c r="TIL34" s="16"/>
      <c r="TIM34" s="16"/>
      <c r="TIN34" s="16"/>
      <c r="TIO34" s="16"/>
      <c r="TIP34" s="16"/>
      <c r="TIQ34" s="16"/>
      <c r="TIR34" s="16"/>
      <c r="TIS34" s="16"/>
      <c r="TIT34" s="16"/>
      <c r="TIU34" s="16"/>
      <c r="TIV34" s="16"/>
      <c r="TIW34" s="16"/>
      <c r="TIX34" s="16"/>
      <c r="TIY34" s="16"/>
      <c r="TIZ34" s="16"/>
      <c r="TJA34" s="16"/>
      <c r="TJB34" s="16"/>
      <c r="TJC34" s="16"/>
      <c r="TJD34" s="16"/>
      <c r="TJE34" s="16"/>
      <c r="TJF34" s="16"/>
      <c r="TJG34" s="16"/>
      <c r="TJH34" s="16"/>
      <c r="TJI34" s="16"/>
      <c r="TJJ34" s="16"/>
      <c r="TJK34" s="16"/>
      <c r="TJL34" s="16"/>
      <c r="TJM34" s="16"/>
      <c r="TJN34" s="16"/>
      <c r="TJO34" s="16"/>
      <c r="TJP34" s="16"/>
      <c r="TJQ34" s="16"/>
      <c r="TJR34" s="16"/>
      <c r="TJS34" s="16"/>
      <c r="TJT34" s="16"/>
      <c r="TJU34" s="16"/>
      <c r="TJV34" s="16"/>
      <c r="TJW34" s="16"/>
      <c r="TJX34" s="16"/>
      <c r="TJY34" s="16"/>
      <c r="TJZ34" s="16"/>
      <c r="TKA34" s="16"/>
      <c r="TKB34" s="16"/>
      <c r="TKC34" s="16"/>
      <c r="TKD34" s="16"/>
      <c r="TKE34" s="16"/>
      <c r="TKF34" s="16"/>
      <c r="TKG34" s="16"/>
      <c r="TKH34" s="16"/>
      <c r="TKI34" s="16"/>
      <c r="TKJ34" s="16"/>
      <c r="TKK34" s="16"/>
      <c r="TKL34" s="16"/>
      <c r="TKM34" s="16"/>
      <c r="TKN34" s="16"/>
      <c r="TKO34" s="16"/>
      <c r="TKP34" s="16"/>
      <c r="TKQ34" s="16"/>
      <c r="TKR34" s="16"/>
      <c r="TKS34" s="16"/>
      <c r="TKT34" s="16"/>
      <c r="TKU34" s="16"/>
      <c r="TKV34" s="16"/>
      <c r="TKW34" s="16"/>
      <c r="TKX34" s="16"/>
      <c r="TKY34" s="16"/>
      <c r="TKZ34" s="16"/>
      <c r="TLA34" s="16"/>
      <c r="TLB34" s="16"/>
      <c r="TLC34" s="16"/>
      <c r="TLD34" s="16"/>
      <c r="TLE34" s="16"/>
      <c r="TLF34" s="16"/>
      <c r="TLG34" s="16"/>
      <c r="TLH34" s="16"/>
      <c r="TLI34" s="16"/>
      <c r="TLJ34" s="16"/>
      <c r="TLK34" s="16"/>
      <c r="TLL34" s="16"/>
      <c r="TLM34" s="16"/>
      <c r="TLN34" s="16"/>
      <c r="TLO34" s="16"/>
      <c r="TLP34" s="16"/>
      <c r="TLQ34" s="16"/>
      <c r="TLR34" s="16"/>
      <c r="TLS34" s="16"/>
      <c r="TLT34" s="16"/>
      <c r="TLU34" s="16"/>
      <c r="TLV34" s="16"/>
      <c r="TLW34" s="16"/>
      <c r="TLX34" s="16"/>
      <c r="TLY34" s="16"/>
      <c r="TLZ34" s="16"/>
      <c r="TMA34" s="16"/>
      <c r="TMB34" s="16"/>
      <c r="TMC34" s="16"/>
      <c r="TMD34" s="16"/>
      <c r="TME34" s="16"/>
      <c r="TMF34" s="16"/>
      <c r="TMG34" s="16"/>
      <c r="TMH34" s="16"/>
      <c r="TMI34" s="16"/>
      <c r="TMJ34" s="16"/>
      <c r="TMK34" s="16"/>
      <c r="TML34" s="16"/>
      <c r="TMM34" s="16"/>
      <c r="TMN34" s="16"/>
      <c r="TMO34" s="16"/>
      <c r="TMP34" s="16"/>
      <c r="TMQ34" s="16"/>
      <c r="TMR34" s="16"/>
      <c r="TMS34" s="16"/>
      <c r="TMT34" s="16"/>
      <c r="TMU34" s="16"/>
      <c r="TMV34" s="16"/>
      <c r="TMW34" s="16"/>
      <c r="TMX34" s="16"/>
      <c r="TMY34" s="16"/>
      <c r="TMZ34" s="16"/>
      <c r="TNA34" s="16"/>
      <c r="TNB34" s="16"/>
      <c r="TNC34" s="16"/>
      <c r="TND34" s="16"/>
      <c r="TNE34" s="16"/>
      <c r="TNF34" s="16"/>
      <c r="TNG34" s="16"/>
      <c r="TNH34" s="16"/>
      <c r="TNI34" s="16"/>
      <c r="TNJ34" s="16"/>
      <c r="TNK34" s="16"/>
      <c r="TNL34" s="16"/>
      <c r="TNM34" s="16"/>
      <c r="TNN34" s="16"/>
      <c r="TNO34" s="16"/>
      <c r="TNP34" s="16"/>
      <c r="TNQ34" s="16"/>
      <c r="TNR34" s="16"/>
      <c r="TNS34" s="16"/>
      <c r="TNT34" s="16"/>
      <c r="TNU34" s="16"/>
      <c r="TNV34" s="16"/>
      <c r="TNW34" s="16"/>
      <c r="TNX34" s="16"/>
      <c r="TNY34" s="16"/>
      <c r="TNZ34" s="16"/>
      <c r="TOA34" s="16"/>
      <c r="TOB34" s="16"/>
      <c r="TOC34" s="16"/>
      <c r="TOD34" s="16"/>
      <c r="TOE34" s="16"/>
      <c r="TOF34" s="16"/>
      <c r="TOG34" s="16"/>
      <c r="TOH34" s="16"/>
      <c r="TOI34" s="16"/>
      <c r="TOJ34" s="16"/>
      <c r="TOK34" s="16"/>
      <c r="TOL34" s="16"/>
      <c r="TOM34" s="16"/>
      <c r="TON34" s="16"/>
      <c r="TOO34" s="16"/>
      <c r="TOP34" s="16"/>
      <c r="TOQ34" s="16"/>
      <c r="TOR34" s="16"/>
      <c r="TOS34" s="16"/>
      <c r="TOT34" s="16"/>
      <c r="TOU34" s="16"/>
      <c r="TOV34" s="16"/>
      <c r="TOW34" s="16"/>
      <c r="TOX34" s="16"/>
      <c r="TOY34" s="16"/>
      <c r="TOZ34" s="16"/>
      <c r="TPA34" s="16"/>
      <c r="TPB34" s="16"/>
      <c r="TPC34" s="16"/>
      <c r="TPD34" s="16"/>
      <c r="TPE34" s="16"/>
      <c r="TPF34" s="16"/>
      <c r="TPG34" s="16"/>
      <c r="TPH34" s="16"/>
      <c r="TPI34" s="16"/>
      <c r="TPJ34" s="16"/>
      <c r="TPK34" s="16"/>
      <c r="TPL34" s="16"/>
      <c r="TPM34" s="16"/>
      <c r="TPN34" s="16"/>
      <c r="TPO34" s="16"/>
      <c r="TPP34" s="16"/>
      <c r="TPQ34" s="16"/>
      <c r="TPR34" s="16"/>
      <c r="TPS34" s="16"/>
      <c r="TPT34" s="16"/>
      <c r="TPU34" s="16"/>
      <c r="TPV34" s="16"/>
      <c r="TPW34" s="16"/>
      <c r="TPX34" s="16"/>
      <c r="TPY34" s="16"/>
      <c r="TPZ34" s="16"/>
      <c r="TQA34" s="16"/>
      <c r="TQB34" s="16"/>
      <c r="TQC34" s="16"/>
      <c r="TQD34" s="16"/>
      <c r="TQE34" s="16"/>
      <c r="TQF34" s="16"/>
      <c r="TQG34" s="16"/>
      <c r="TQH34" s="16"/>
      <c r="TQI34" s="16"/>
      <c r="TQJ34" s="16"/>
      <c r="TQK34" s="16"/>
      <c r="TQL34" s="16"/>
      <c r="TQM34" s="16"/>
      <c r="TQN34" s="16"/>
      <c r="TQO34" s="16"/>
      <c r="TQP34" s="16"/>
      <c r="TQQ34" s="16"/>
      <c r="TQR34" s="16"/>
      <c r="TQS34" s="16"/>
      <c r="TQT34" s="16"/>
      <c r="TQU34" s="16"/>
      <c r="TQV34" s="16"/>
      <c r="TQW34" s="16"/>
      <c r="TQX34" s="16"/>
      <c r="TQY34" s="16"/>
      <c r="TQZ34" s="16"/>
      <c r="TRA34" s="16"/>
      <c r="TRB34" s="16"/>
      <c r="TRC34" s="16"/>
      <c r="TRD34" s="16"/>
      <c r="TRE34" s="16"/>
      <c r="TRF34" s="16"/>
      <c r="TRG34" s="16"/>
      <c r="TRH34" s="16"/>
      <c r="TRI34" s="16"/>
      <c r="TRJ34" s="16"/>
      <c r="TRK34" s="16"/>
      <c r="TRL34" s="16"/>
      <c r="TRM34" s="16"/>
      <c r="TRN34" s="16"/>
      <c r="TRO34" s="16"/>
      <c r="TRP34" s="16"/>
      <c r="TRQ34" s="16"/>
      <c r="TRR34" s="16"/>
      <c r="TRS34" s="16"/>
      <c r="TRT34" s="16"/>
      <c r="TRU34" s="16"/>
      <c r="TRV34" s="16"/>
      <c r="TRW34" s="16"/>
      <c r="TRX34" s="16"/>
      <c r="TRY34" s="16"/>
      <c r="TRZ34" s="16"/>
      <c r="TSA34" s="16"/>
      <c r="TSB34" s="16"/>
      <c r="TSC34" s="16"/>
      <c r="TSD34" s="16"/>
      <c r="TSE34" s="16"/>
      <c r="TSF34" s="16"/>
      <c r="TSG34" s="16"/>
      <c r="TSH34" s="16"/>
      <c r="TSI34" s="16"/>
      <c r="TSJ34" s="16"/>
      <c r="TSK34" s="16"/>
      <c r="TSL34" s="16"/>
      <c r="TSM34" s="16"/>
      <c r="TSN34" s="16"/>
      <c r="TSO34" s="16"/>
      <c r="TSP34" s="16"/>
      <c r="TSQ34" s="16"/>
      <c r="TSR34" s="16"/>
      <c r="TSS34" s="16"/>
      <c r="TST34" s="16"/>
      <c r="TSU34" s="16"/>
      <c r="TSV34" s="16"/>
      <c r="TSW34" s="16"/>
      <c r="TSX34" s="16"/>
      <c r="TSY34" s="16"/>
      <c r="TSZ34" s="16"/>
      <c r="TTA34" s="16"/>
      <c r="TTB34" s="16"/>
      <c r="TTC34" s="16"/>
      <c r="TTD34" s="16"/>
      <c r="TTE34" s="16"/>
      <c r="TTF34" s="16"/>
      <c r="TTG34" s="16"/>
      <c r="TTH34" s="16"/>
      <c r="TTI34" s="16"/>
      <c r="TTJ34" s="16"/>
      <c r="TTK34" s="16"/>
      <c r="TTL34" s="16"/>
      <c r="TTM34" s="16"/>
      <c r="TTN34" s="16"/>
      <c r="TTO34" s="16"/>
      <c r="TTP34" s="16"/>
      <c r="TTQ34" s="16"/>
      <c r="TTR34" s="16"/>
      <c r="TTS34" s="16"/>
      <c r="TTT34" s="16"/>
      <c r="TTU34" s="16"/>
      <c r="TTV34" s="16"/>
      <c r="TTW34" s="16"/>
      <c r="TTX34" s="16"/>
      <c r="TTY34" s="16"/>
      <c r="TTZ34" s="16"/>
      <c r="TUA34" s="16"/>
      <c r="TUB34" s="16"/>
      <c r="TUC34" s="16"/>
      <c r="TUD34" s="16"/>
      <c r="TUE34" s="16"/>
      <c r="TUF34" s="16"/>
      <c r="TUG34" s="16"/>
      <c r="TUH34" s="16"/>
      <c r="TUI34" s="16"/>
      <c r="TUJ34" s="16"/>
      <c r="TUK34" s="16"/>
      <c r="TUL34" s="16"/>
      <c r="TUM34" s="16"/>
      <c r="TUN34" s="16"/>
      <c r="TUO34" s="16"/>
      <c r="TUP34" s="16"/>
      <c r="TUQ34" s="16"/>
      <c r="TUR34" s="16"/>
      <c r="TUS34" s="16"/>
      <c r="TUT34" s="16"/>
      <c r="TUU34" s="16"/>
      <c r="TUV34" s="16"/>
      <c r="TUW34" s="16"/>
      <c r="TUX34" s="16"/>
      <c r="TUY34" s="16"/>
      <c r="TUZ34" s="16"/>
      <c r="TVA34" s="16"/>
      <c r="TVB34" s="16"/>
      <c r="TVC34" s="16"/>
      <c r="TVD34" s="16"/>
      <c r="TVE34" s="16"/>
      <c r="TVF34" s="16"/>
      <c r="TVG34" s="16"/>
      <c r="TVH34" s="16"/>
      <c r="TVI34" s="16"/>
      <c r="TVJ34" s="16"/>
      <c r="TVK34" s="16"/>
      <c r="TVL34" s="16"/>
      <c r="TVM34" s="16"/>
      <c r="TVN34" s="16"/>
      <c r="TVO34" s="16"/>
      <c r="TVP34" s="16"/>
      <c r="TVQ34" s="16"/>
      <c r="TVR34" s="16"/>
      <c r="TVS34" s="16"/>
      <c r="TVT34" s="16"/>
      <c r="TVU34" s="16"/>
      <c r="TVV34" s="16"/>
      <c r="TVW34" s="16"/>
      <c r="TVX34" s="16"/>
      <c r="TVY34" s="16"/>
      <c r="TVZ34" s="16"/>
      <c r="TWA34" s="16"/>
      <c r="TWB34" s="16"/>
      <c r="TWC34" s="16"/>
      <c r="TWD34" s="16"/>
      <c r="TWE34" s="16"/>
      <c r="TWF34" s="16"/>
      <c r="TWG34" s="16"/>
      <c r="TWH34" s="16"/>
      <c r="TWI34" s="16"/>
      <c r="TWJ34" s="16"/>
      <c r="TWK34" s="16"/>
      <c r="TWL34" s="16"/>
      <c r="TWM34" s="16"/>
      <c r="TWN34" s="16"/>
      <c r="TWO34" s="16"/>
      <c r="TWP34" s="16"/>
      <c r="TWQ34" s="16"/>
      <c r="TWR34" s="16"/>
      <c r="TWS34" s="16"/>
      <c r="TWT34" s="16"/>
      <c r="TWU34" s="16"/>
      <c r="TWV34" s="16"/>
      <c r="TWW34" s="16"/>
      <c r="TWX34" s="16"/>
      <c r="TWY34" s="16"/>
      <c r="TWZ34" s="16"/>
      <c r="TXA34" s="16"/>
      <c r="TXB34" s="16"/>
      <c r="TXC34" s="16"/>
      <c r="TXD34" s="16"/>
      <c r="TXE34" s="16"/>
      <c r="TXF34" s="16"/>
      <c r="TXG34" s="16"/>
      <c r="TXH34" s="16"/>
      <c r="TXI34" s="16"/>
      <c r="TXJ34" s="16"/>
      <c r="TXK34" s="16"/>
      <c r="TXL34" s="16"/>
      <c r="TXM34" s="16"/>
      <c r="TXN34" s="16"/>
      <c r="TXO34" s="16"/>
      <c r="TXP34" s="16"/>
      <c r="TXQ34" s="16"/>
      <c r="TXR34" s="16"/>
      <c r="TXS34" s="16"/>
      <c r="TXT34" s="16"/>
      <c r="TXU34" s="16"/>
      <c r="TXV34" s="16"/>
      <c r="TXW34" s="16"/>
      <c r="TXX34" s="16"/>
      <c r="TXY34" s="16"/>
      <c r="TXZ34" s="16"/>
      <c r="TYA34" s="16"/>
      <c r="TYB34" s="16"/>
      <c r="TYC34" s="16"/>
      <c r="TYD34" s="16"/>
      <c r="TYE34" s="16"/>
      <c r="TYF34" s="16"/>
      <c r="TYG34" s="16"/>
      <c r="TYH34" s="16"/>
      <c r="TYI34" s="16"/>
      <c r="TYJ34" s="16"/>
      <c r="TYK34" s="16"/>
      <c r="TYL34" s="16"/>
      <c r="TYM34" s="16"/>
      <c r="TYN34" s="16"/>
      <c r="TYO34" s="16"/>
      <c r="TYP34" s="16"/>
      <c r="TYQ34" s="16"/>
      <c r="TYR34" s="16"/>
      <c r="TYS34" s="16"/>
      <c r="TYT34" s="16"/>
      <c r="TYU34" s="16"/>
      <c r="TYV34" s="16"/>
      <c r="TYW34" s="16"/>
      <c r="TYX34" s="16"/>
      <c r="TYY34" s="16"/>
      <c r="TYZ34" s="16"/>
      <c r="TZA34" s="16"/>
      <c r="TZB34" s="16"/>
      <c r="TZC34" s="16"/>
      <c r="TZD34" s="16"/>
      <c r="TZE34" s="16"/>
      <c r="TZF34" s="16"/>
      <c r="TZG34" s="16"/>
      <c r="TZH34" s="16"/>
      <c r="TZI34" s="16"/>
      <c r="TZJ34" s="16"/>
      <c r="TZK34" s="16"/>
      <c r="TZL34" s="16"/>
      <c r="TZM34" s="16"/>
      <c r="TZN34" s="16"/>
      <c r="TZO34" s="16"/>
      <c r="TZP34" s="16"/>
      <c r="TZQ34" s="16"/>
      <c r="TZR34" s="16"/>
      <c r="TZS34" s="16"/>
      <c r="TZT34" s="16"/>
      <c r="TZU34" s="16"/>
      <c r="TZV34" s="16"/>
      <c r="TZW34" s="16"/>
      <c r="TZX34" s="16"/>
      <c r="TZY34" s="16"/>
      <c r="TZZ34" s="16"/>
      <c r="UAA34" s="16"/>
      <c r="UAB34" s="16"/>
      <c r="UAC34" s="16"/>
      <c r="UAD34" s="16"/>
      <c r="UAE34" s="16"/>
      <c r="UAF34" s="16"/>
      <c r="UAG34" s="16"/>
      <c r="UAH34" s="16"/>
      <c r="UAI34" s="16"/>
      <c r="UAJ34" s="16"/>
      <c r="UAK34" s="16"/>
      <c r="UAL34" s="16"/>
      <c r="UAM34" s="16"/>
      <c r="UAN34" s="16"/>
      <c r="UAO34" s="16"/>
      <c r="UAP34" s="16"/>
      <c r="UAQ34" s="16"/>
      <c r="UAR34" s="16"/>
      <c r="UAS34" s="16"/>
      <c r="UAT34" s="16"/>
      <c r="UAU34" s="16"/>
      <c r="UAV34" s="16"/>
      <c r="UAW34" s="16"/>
      <c r="UAX34" s="16"/>
      <c r="UAY34" s="16"/>
      <c r="UAZ34" s="16"/>
      <c r="UBA34" s="16"/>
      <c r="UBB34" s="16"/>
      <c r="UBC34" s="16"/>
      <c r="UBD34" s="16"/>
      <c r="UBE34" s="16"/>
      <c r="UBF34" s="16"/>
      <c r="UBG34" s="16"/>
      <c r="UBH34" s="16"/>
      <c r="UBI34" s="16"/>
      <c r="UBJ34" s="16"/>
      <c r="UBK34" s="16"/>
      <c r="UBL34" s="16"/>
      <c r="UBM34" s="16"/>
      <c r="UBN34" s="16"/>
      <c r="UBO34" s="16"/>
      <c r="UBP34" s="16"/>
      <c r="UBQ34" s="16"/>
      <c r="UBR34" s="16"/>
      <c r="UBS34" s="16"/>
      <c r="UBT34" s="16"/>
      <c r="UBU34" s="16"/>
      <c r="UBV34" s="16"/>
      <c r="UBW34" s="16"/>
      <c r="UBX34" s="16"/>
      <c r="UBY34" s="16"/>
      <c r="UBZ34" s="16"/>
      <c r="UCA34" s="16"/>
      <c r="UCB34" s="16"/>
      <c r="UCC34" s="16"/>
      <c r="UCD34" s="16"/>
      <c r="UCE34" s="16"/>
      <c r="UCF34" s="16"/>
      <c r="UCG34" s="16"/>
      <c r="UCH34" s="16"/>
      <c r="UCI34" s="16"/>
      <c r="UCJ34" s="16"/>
      <c r="UCK34" s="16"/>
      <c r="UCL34" s="16"/>
      <c r="UCM34" s="16"/>
      <c r="UCN34" s="16"/>
      <c r="UCO34" s="16"/>
      <c r="UCP34" s="16"/>
      <c r="UCQ34" s="16"/>
      <c r="UCR34" s="16"/>
      <c r="UCS34" s="16"/>
      <c r="UCT34" s="16"/>
      <c r="UCU34" s="16"/>
      <c r="UCV34" s="16"/>
      <c r="UCW34" s="16"/>
      <c r="UCX34" s="16"/>
      <c r="UCY34" s="16"/>
      <c r="UCZ34" s="16"/>
      <c r="UDA34" s="16"/>
      <c r="UDB34" s="16"/>
      <c r="UDC34" s="16"/>
      <c r="UDD34" s="16"/>
      <c r="UDE34" s="16"/>
      <c r="UDF34" s="16"/>
      <c r="UDG34" s="16"/>
      <c r="UDH34" s="16"/>
      <c r="UDI34" s="16"/>
      <c r="UDJ34" s="16"/>
      <c r="UDK34" s="16"/>
      <c r="UDL34" s="16"/>
      <c r="UDM34" s="16"/>
      <c r="UDN34" s="16"/>
      <c r="UDO34" s="16"/>
      <c r="UDP34" s="16"/>
      <c r="UDQ34" s="16"/>
      <c r="UDR34" s="16"/>
      <c r="UDS34" s="16"/>
      <c r="UDT34" s="16"/>
      <c r="UDU34" s="16"/>
      <c r="UDV34" s="16"/>
      <c r="UDW34" s="16"/>
      <c r="UDX34" s="16"/>
      <c r="UDY34" s="16"/>
      <c r="UDZ34" s="16"/>
      <c r="UEA34" s="16"/>
      <c r="UEB34" s="16"/>
      <c r="UEC34" s="16"/>
      <c r="UED34" s="16"/>
      <c r="UEE34" s="16"/>
      <c r="UEF34" s="16"/>
      <c r="UEG34" s="16"/>
      <c r="UEH34" s="16"/>
      <c r="UEI34" s="16"/>
      <c r="UEJ34" s="16"/>
      <c r="UEK34" s="16"/>
      <c r="UEL34" s="16"/>
      <c r="UEM34" s="16"/>
      <c r="UEN34" s="16"/>
      <c r="UEO34" s="16"/>
      <c r="UEP34" s="16"/>
      <c r="UEQ34" s="16"/>
      <c r="UER34" s="16"/>
      <c r="UES34" s="16"/>
      <c r="UET34" s="16"/>
      <c r="UEU34" s="16"/>
      <c r="UEV34" s="16"/>
      <c r="UEW34" s="16"/>
      <c r="UEX34" s="16"/>
      <c r="UEY34" s="16"/>
      <c r="UEZ34" s="16"/>
      <c r="UFA34" s="16"/>
      <c r="UFB34" s="16"/>
      <c r="UFC34" s="16"/>
      <c r="UFD34" s="16"/>
      <c r="UFE34" s="16"/>
      <c r="UFF34" s="16"/>
      <c r="UFG34" s="16"/>
      <c r="UFH34" s="16"/>
      <c r="UFI34" s="16"/>
      <c r="UFJ34" s="16"/>
      <c r="UFK34" s="16"/>
      <c r="UFL34" s="16"/>
      <c r="UFM34" s="16"/>
      <c r="UFN34" s="16"/>
      <c r="UFO34" s="16"/>
      <c r="UFP34" s="16"/>
      <c r="UFQ34" s="16"/>
      <c r="UFR34" s="16"/>
      <c r="UFS34" s="16"/>
      <c r="UFT34" s="16"/>
      <c r="UFU34" s="16"/>
      <c r="UFV34" s="16"/>
      <c r="UFW34" s="16"/>
      <c r="UFX34" s="16"/>
      <c r="UFY34" s="16"/>
      <c r="UFZ34" s="16"/>
      <c r="UGA34" s="16"/>
      <c r="UGB34" s="16"/>
      <c r="UGC34" s="16"/>
      <c r="UGD34" s="16"/>
      <c r="UGE34" s="16"/>
      <c r="UGF34" s="16"/>
      <c r="UGG34" s="16"/>
      <c r="UGH34" s="16"/>
      <c r="UGI34" s="16"/>
      <c r="UGJ34" s="16"/>
      <c r="UGK34" s="16"/>
      <c r="UGL34" s="16"/>
      <c r="UGM34" s="16"/>
      <c r="UGN34" s="16"/>
      <c r="UGO34" s="16"/>
      <c r="UGP34" s="16"/>
      <c r="UGQ34" s="16"/>
      <c r="UGR34" s="16"/>
      <c r="UGS34" s="16"/>
      <c r="UGT34" s="16"/>
      <c r="UGU34" s="16"/>
      <c r="UGV34" s="16"/>
      <c r="UGW34" s="16"/>
      <c r="UGX34" s="16"/>
      <c r="UGY34" s="16"/>
      <c r="UGZ34" s="16"/>
      <c r="UHA34" s="16"/>
      <c r="UHB34" s="16"/>
      <c r="UHC34" s="16"/>
      <c r="UHD34" s="16"/>
      <c r="UHE34" s="16"/>
      <c r="UHF34" s="16"/>
      <c r="UHG34" s="16"/>
      <c r="UHH34" s="16"/>
      <c r="UHI34" s="16"/>
      <c r="UHJ34" s="16"/>
      <c r="UHK34" s="16"/>
      <c r="UHL34" s="16"/>
      <c r="UHM34" s="16"/>
      <c r="UHN34" s="16"/>
      <c r="UHO34" s="16"/>
      <c r="UHP34" s="16"/>
      <c r="UHQ34" s="16"/>
      <c r="UHR34" s="16"/>
      <c r="UHS34" s="16"/>
      <c r="UHT34" s="16"/>
      <c r="UHU34" s="16"/>
      <c r="UHV34" s="16"/>
      <c r="UHW34" s="16"/>
      <c r="UHX34" s="16"/>
      <c r="UHY34" s="16"/>
      <c r="UHZ34" s="16"/>
      <c r="UIA34" s="16"/>
      <c r="UIB34" s="16"/>
      <c r="UIC34" s="16"/>
      <c r="UID34" s="16"/>
      <c r="UIE34" s="16"/>
      <c r="UIF34" s="16"/>
      <c r="UIG34" s="16"/>
      <c r="UIH34" s="16"/>
      <c r="UII34" s="16"/>
      <c r="UIJ34" s="16"/>
      <c r="UIK34" s="16"/>
      <c r="UIL34" s="16"/>
      <c r="UIM34" s="16"/>
      <c r="UIN34" s="16"/>
      <c r="UIO34" s="16"/>
      <c r="UIP34" s="16"/>
      <c r="UIQ34" s="16"/>
      <c r="UIR34" s="16"/>
      <c r="UIS34" s="16"/>
      <c r="UIT34" s="16"/>
      <c r="UIU34" s="16"/>
      <c r="UIV34" s="16"/>
      <c r="UIW34" s="16"/>
      <c r="UIX34" s="16"/>
      <c r="UIY34" s="16"/>
      <c r="UIZ34" s="16"/>
      <c r="UJA34" s="16"/>
      <c r="UJB34" s="16"/>
      <c r="UJC34" s="16"/>
      <c r="UJD34" s="16"/>
      <c r="UJE34" s="16"/>
      <c r="UJF34" s="16"/>
      <c r="UJG34" s="16"/>
      <c r="UJH34" s="16"/>
      <c r="UJI34" s="16"/>
      <c r="UJJ34" s="16"/>
      <c r="UJK34" s="16"/>
      <c r="UJL34" s="16"/>
      <c r="UJM34" s="16"/>
      <c r="UJN34" s="16"/>
      <c r="UJO34" s="16"/>
      <c r="UJP34" s="16"/>
      <c r="UJQ34" s="16"/>
      <c r="UJR34" s="16"/>
      <c r="UJS34" s="16"/>
      <c r="UJT34" s="16"/>
      <c r="UJU34" s="16"/>
      <c r="UJV34" s="16"/>
      <c r="UJW34" s="16"/>
      <c r="UJX34" s="16"/>
      <c r="UJY34" s="16"/>
      <c r="UJZ34" s="16"/>
      <c r="UKA34" s="16"/>
      <c r="UKB34" s="16"/>
      <c r="UKC34" s="16"/>
      <c r="UKD34" s="16"/>
      <c r="UKE34" s="16"/>
      <c r="UKF34" s="16"/>
      <c r="UKG34" s="16"/>
      <c r="UKH34" s="16"/>
      <c r="UKI34" s="16"/>
      <c r="UKJ34" s="16"/>
      <c r="UKK34" s="16"/>
      <c r="UKL34" s="16"/>
      <c r="UKM34" s="16"/>
      <c r="UKN34" s="16"/>
      <c r="UKO34" s="16"/>
      <c r="UKP34" s="16"/>
      <c r="UKQ34" s="16"/>
      <c r="UKR34" s="16"/>
      <c r="UKS34" s="16"/>
      <c r="UKT34" s="16"/>
      <c r="UKU34" s="16"/>
      <c r="UKV34" s="16"/>
      <c r="UKW34" s="16"/>
      <c r="UKX34" s="16"/>
      <c r="UKY34" s="16"/>
      <c r="UKZ34" s="16"/>
      <c r="ULA34" s="16"/>
      <c r="ULB34" s="16"/>
      <c r="ULC34" s="16"/>
      <c r="ULD34" s="16"/>
      <c r="ULE34" s="16"/>
      <c r="ULF34" s="16"/>
      <c r="ULG34" s="16"/>
      <c r="ULH34" s="16"/>
      <c r="ULI34" s="16"/>
      <c r="ULJ34" s="16"/>
      <c r="ULK34" s="16"/>
      <c r="ULL34" s="16"/>
      <c r="ULM34" s="16"/>
      <c r="ULN34" s="16"/>
      <c r="ULO34" s="16"/>
      <c r="ULP34" s="16"/>
      <c r="ULQ34" s="16"/>
      <c r="ULR34" s="16"/>
      <c r="ULS34" s="16"/>
      <c r="ULT34" s="16"/>
      <c r="ULU34" s="16"/>
      <c r="ULV34" s="16"/>
      <c r="ULW34" s="16"/>
      <c r="ULX34" s="16"/>
      <c r="ULY34" s="16"/>
      <c r="ULZ34" s="16"/>
      <c r="UMA34" s="16"/>
      <c r="UMB34" s="16"/>
      <c r="UMC34" s="16"/>
      <c r="UMD34" s="16"/>
      <c r="UME34" s="16"/>
      <c r="UMF34" s="16"/>
      <c r="UMG34" s="16"/>
      <c r="UMH34" s="16"/>
      <c r="UMI34" s="16"/>
      <c r="UMJ34" s="16"/>
      <c r="UMK34" s="16"/>
      <c r="UML34" s="16"/>
      <c r="UMM34" s="16"/>
      <c r="UMN34" s="16"/>
      <c r="UMO34" s="16"/>
      <c r="UMP34" s="16"/>
      <c r="UMQ34" s="16"/>
      <c r="UMR34" s="16"/>
      <c r="UMS34" s="16"/>
      <c r="UMT34" s="16"/>
      <c r="UMU34" s="16"/>
      <c r="UMV34" s="16"/>
      <c r="UMW34" s="16"/>
      <c r="UMX34" s="16"/>
      <c r="UMY34" s="16"/>
      <c r="UMZ34" s="16"/>
      <c r="UNA34" s="16"/>
      <c r="UNB34" s="16"/>
      <c r="UNC34" s="16"/>
      <c r="UND34" s="16"/>
      <c r="UNE34" s="16"/>
      <c r="UNF34" s="16"/>
      <c r="UNG34" s="16"/>
      <c r="UNH34" s="16"/>
      <c r="UNI34" s="16"/>
      <c r="UNJ34" s="16"/>
      <c r="UNK34" s="16"/>
      <c r="UNL34" s="16"/>
      <c r="UNM34" s="16"/>
      <c r="UNN34" s="16"/>
      <c r="UNO34" s="16"/>
      <c r="UNP34" s="16"/>
      <c r="UNQ34" s="16"/>
      <c r="UNR34" s="16"/>
      <c r="UNS34" s="16"/>
      <c r="UNT34" s="16"/>
      <c r="UNU34" s="16"/>
      <c r="UNV34" s="16"/>
      <c r="UNW34" s="16"/>
      <c r="UNX34" s="16"/>
      <c r="UNY34" s="16"/>
      <c r="UNZ34" s="16"/>
      <c r="UOA34" s="16"/>
      <c r="UOB34" s="16"/>
      <c r="UOC34" s="16"/>
      <c r="UOD34" s="16"/>
      <c r="UOE34" s="16"/>
      <c r="UOF34" s="16"/>
      <c r="UOG34" s="16"/>
      <c r="UOH34" s="16"/>
      <c r="UOI34" s="16"/>
      <c r="UOJ34" s="16"/>
      <c r="UOK34" s="16"/>
      <c r="UOL34" s="16"/>
      <c r="UOM34" s="16"/>
      <c r="UON34" s="16"/>
      <c r="UOO34" s="16"/>
      <c r="UOP34" s="16"/>
      <c r="UOQ34" s="16"/>
      <c r="UOR34" s="16"/>
      <c r="UOS34" s="16"/>
      <c r="UOT34" s="16"/>
      <c r="UOU34" s="16"/>
      <c r="UOV34" s="16"/>
      <c r="UOW34" s="16"/>
      <c r="UOX34" s="16"/>
      <c r="UOY34" s="16"/>
      <c r="UOZ34" s="16"/>
      <c r="UPA34" s="16"/>
      <c r="UPB34" s="16"/>
      <c r="UPC34" s="16"/>
      <c r="UPD34" s="16"/>
      <c r="UPE34" s="16"/>
      <c r="UPF34" s="16"/>
      <c r="UPG34" s="16"/>
      <c r="UPH34" s="16"/>
      <c r="UPI34" s="16"/>
      <c r="UPJ34" s="16"/>
      <c r="UPK34" s="16"/>
      <c r="UPL34" s="16"/>
      <c r="UPM34" s="16"/>
      <c r="UPN34" s="16"/>
      <c r="UPO34" s="16"/>
      <c r="UPP34" s="16"/>
      <c r="UPQ34" s="16"/>
      <c r="UPR34" s="16"/>
      <c r="UPS34" s="16"/>
      <c r="UPT34" s="16"/>
      <c r="UPU34" s="16"/>
      <c r="UPV34" s="16"/>
      <c r="UPW34" s="16"/>
      <c r="UPX34" s="16"/>
      <c r="UPY34" s="16"/>
      <c r="UPZ34" s="16"/>
      <c r="UQA34" s="16"/>
      <c r="UQB34" s="16"/>
      <c r="UQC34" s="16"/>
      <c r="UQD34" s="16"/>
      <c r="UQE34" s="16"/>
      <c r="UQF34" s="16"/>
      <c r="UQG34" s="16"/>
      <c r="UQH34" s="16"/>
      <c r="UQI34" s="16"/>
      <c r="UQJ34" s="16"/>
      <c r="UQK34" s="16"/>
      <c r="UQL34" s="16"/>
      <c r="UQM34" s="16"/>
      <c r="UQN34" s="16"/>
      <c r="UQO34" s="16"/>
      <c r="UQP34" s="16"/>
      <c r="UQQ34" s="16"/>
      <c r="UQR34" s="16"/>
      <c r="UQS34" s="16"/>
      <c r="UQT34" s="16"/>
      <c r="UQU34" s="16"/>
      <c r="UQV34" s="16"/>
      <c r="UQW34" s="16"/>
      <c r="UQX34" s="16"/>
      <c r="UQY34" s="16"/>
      <c r="UQZ34" s="16"/>
      <c r="URA34" s="16"/>
      <c r="URB34" s="16"/>
      <c r="URC34" s="16"/>
      <c r="URD34" s="16"/>
      <c r="URE34" s="16"/>
      <c r="URF34" s="16"/>
      <c r="URG34" s="16"/>
      <c r="URH34" s="16"/>
      <c r="URI34" s="16"/>
      <c r="URJ34" s="16"/>
      <c r="URK34" s="16"/>
      <c r="URL34" s="16"/>
      <c r="URM34" s="16"/>
      <c r="URN34" s="16"/>
      <c r="URO34" s="16"/>
      <c r="URP34" s="16"/>
      <c r="URQ34" s="16"/>
      <c r="URR34" s="16"/>
      <c r="URS34" s="16"/>
      <c r="URT34" s="16"/>
      <c r="URU34" s="16"/>
      <c r="URV34" s="16"/>
      <c r="URW34" s="16"/>
      <c r="URX34" s="16"/>
      <c r="URY34" s="16"/>
      <c r="URZ34" s="16"/>
      <c r="USA34" s="16"/>
      <c r="USB34" s="16"/>
      <c r="USC34" s="16"/>
      <c r="USD34" s="16"/>
      <c r="USE34" s="16"/>
      <c r="USF34" s="16"/>
      <c r="USG34" s="16"/>
      <c r="USH34" s="16"/>
      <c r="USI34" s="16"/>
      <c r="USJ34" s="16"/>
      <c r="USK34" s="16"/>
      <c r="USL34" s="16"/>
      <c r="USM34" s="16"/>
      <c r="USN34" s="16"/>
      <c r="USO34" s="16"/>
      <c r="USP34" s="16"/>
      <c r="USQ34" s="16"/>
      <c r="USR34" s="16"/>
      <c r="USS34" s="16"/>
      <c r="UST34" s="16"/>
      <c r="USU34" s="16"/>
      <c r="USV34" s="16"/>
      <c r="USW34" s="16"/>
      <c r="USX34" s="16"/>
      <c r="USY34" s="16"/>
      <c r="USZ34" s="16"/>
      <c r="UTA34" s="16"/>
      <c r="UTB34" s="16"/>
      <c r="UTC34" s="16"/>
      <c r="UTD34" s="16"/>
      <c r="UTE34" s="16"/>
      <c r="UTF34" s="16"/>
      <c r="UTG34" s="16"/>
      <c r="UTH34" s="16"/>
      <c r="UTI34" s="16"/>
      <c r="UTJ34" s="16"/>
      <c r="UTK34" s="16"/>
      <c r="UTL34" s="16"/>
      <c r="UTM34" s="16"/>
      <c r="UTN34" s="16"/>
      <c r="UTO34" s="16"/>
      <c r="UTP34" s="16"/>
      <c r="UTQ34" s="16"/>
      <c r="UTR34" s="16"/>
      <c r="UTS34" s="16"/>
      <c r="UTT34" s="16"/>
      <c r="UTU34" s="16"/>
      <c r="UTV34" s="16"/>
      <c r="UTW34" s="16"/>
      <c r="UTX34" s="16"/>
      <c r="UTY34" s="16"/>
      <c r="UTZ34" s="16"/>
      <c r="UUA34" s="16"/>
      <c r="UUB34" s="16"/>
      <c r="UUC34" s="16"/>
      <c r="UUD34" s="16"/>
      <c r="UUE34" s="16"/>
      <c r="UUF34" s="16"/>
      <c r="UUG34" s="16"/>
      <c r="UUH34" s="16"/>
      <c r="UUI34" s="16"/>
      <c r="UUJ34" s="16"/>
      <c r="UUK34" s="16"/>
      <c r="UUL34" s="16"/>
      <c r="UUM34" s="16"/>
      <c r="UUN34" s="16"/>
      <c r="UUO34" s="16"/>
      <c r="UUP34" s="16"/>
      <c r="UUQ34" s="16"/>
      <c r="UUR34" s="16"/>
      <c r="UUS34" s="16"/>
      <c r="UUT34" s="16"/>
      <c r="UUU34" s="16"/>
      <c r="UUV34" s="16"/>
      <c r="UUW34" s="16"/>
      <c r="UUX34" s="16"/>
      <c r="UUY34" s="16"/>
      <c r="UUZ34" s="16"/>
      <c r="UVA34" s="16"/>
      <c r="UVB34" s="16"/>
      <c r="UVC34" s="16"/>
      <c r="UVD34" s="16"/>
      <c r="UVE34" s="16"/>
      <c r="UVF34" s="16"/>
      <c r="UVG34" s="16"/>
      <c r="UVH34" s="16"/>
      <c r="UVI34" s="16"/>
      <c r="UVJ34" s="16"/>
      <c r="UVK34" s="16"/>
      <c r="UVL34" s="16"/>
      <c r="UVM34" s="16"/>
      <c r="UVN34" s="16"/>
      <c r="UVO34" s="16"/>
      <c r="UVP34" s="16"/>
      <c r="UVQ34" s="16"/>
      <c r="UVR34" s="16"/>
      <c r="UVS34" s="16"/>
      <c r="UVT34" s="16"/>
      <c r="UVU34" s="16"/>
      <c r="UVV34" s="16"/>
      <c r="UVW34" s="16"/>
      <c r="UVX34" s="16"/>
      <c r="UVY34" s="16"/>
      <c r="UVZ34" s="16"/>
      <c r="UWA34" s="16"/>
      <c r="UWB34" s="16"/>
      <c r="UWC34" s="16"/>
      <c r="UWD34" s="16"/>
      <c r="UWE34" s="16"/>
      <c r="UWF34" s="16"/>
      <c r="UWG34" s="16"/>
      <c r="UWH34" s="16"/>
      <c r="UWI34" s="16"/>
      <c r="UWJ34" s="16"/>
      <c r="UWK34" s="16"/>
      <c r="UWL34" s="16"/>
      <c r="UWM34" s="16"/>
      <c r="UWN34" s="16"/>
      <c r="UWO34" s="16"/>
      <c r="UWP34" s="16"/>
      <c r="UWQ34" s="16"/>
      <c r="UWR34" s="16"/>
      <c r="UWS34" s="16"/>
      <c r="UWT34" s="16"/>
      <c r="UWU34" s="16"/>
      <c r="UWV34" s="16"/>
      <c r="UWW34" s="16"/>
      <c r="UWX34" s="16"/>
      <c r="UWY34" s="16"/>
      <c r="UWZ34" s="16"/>
      <c r="UXA34" s="16"/>
      <c r="UXB34" s="16"/>
      <c r="UXC34" s="16"/>
      <c r="UXD34" s="16"/>
      <c r="UXE34" s="16"/>
      <c r="UXF34" s="16"/>
      <c r="UXG34" s="16"/>
      <c r="UXH34" s="16"/>
      <c r="UXI34" s="16"/>
      <c r="UXJ34" s="16"/>
      <c r="UXK34" s="16"/>
      <c r="UXL34" s="16"/>
      <c r="UXM34" s="16"/>
      <c r="UXN34" s="16"/>
      <c r="UXO34" s="16"/>
      <c r="UXP34" s="16"/>
      <c r="UXQ34" s="16"/>
      <c r="UXR34" s="16"/>
      <c r="UXS34" s="16"/>
      <c r="UXT34" s="16"/>
      <c r="UXU34" s="16"/>
      <c r="UXV34" s="16"/>
      <c r="UXW34" s="16"/>
      <c r="UXX34" s="16"/>
      <c r="UXY34" s="16"/>
      <c r="UXZ34" s="16"/>
      <c r="UYA34" s="16"/>
      <c r="UYB34" s="16"/>
      <c r="UYC34" s="16"/>
      <c r="UYD34" s="16"/>
      <c r="UYE34" s="16"/>
      <c r="UYF34" s="16"/>
      <c r="UYG34" s="16"/>
      <c r="UYH34" s="16"/>
      <c r="UYI34" s="16"/>
      <c r="UYJ34" s="16"/>
      <c r="UYK34" s="16"/>
      <c r="UYL34" s="16"/>
      <c r="UYM34" s="16"/>
      <c r="UYN34" s="16"/>
      <c r="UYO34" s="16"/>
      <c r="UYP34" s="16"/>
      <c r="UYQ34" s="16"/>
      <c r="UYR34" s="16"/>
      <c r="UYS34" s="16"/>
      <c r="UYT34" s="16"/>
      <c r="UYU34" s="16"/>
      <c r="UYV34" s="16"/>
      <c r="UYW34" s="16"/>
      <c r="UYX34" s="16"/>
      <c r="UYY34" s="16"/>
      <c r="UYZ34" s="16"/>
      <c r="UZA34" s="16"/>
      <c r="UZB34" s="16"/>
      <c r="UZC34" s="16"/>
      <c r="UZD34" s="16"/>
      <c r="UZE34" s="16"/>
      <c r="UZF34" s="16"/>
      <c r="UZG34" s="16"/>
      <c r="UZH34" s="16"/>
      <c r="UZI34" s="16"/>
      <c r="UZJ34" s="16"/>
      <c r="UZK34" s="16"/>
      <c r="UZL34" s="16"/>
      <c r="UZM34" s="16"/>
      <c r="UZN34" s="16"/>
      <c r="UZO34" s="16"/>
      <c r="UZP34" s="16"/>
      <c r="UZQ34" s="16"/>
      <c r="UZR34" s="16"/>
      <c r="UZS34" s="16"/>
      <c r="UZT34" s="16"/>
      <c r="UZU34" s="16"/>
      <c r="UZV34" s="16"/>
      <c r="UZW34" s="16"/>
      <c r="UZX34" s="16"/>
      <c r="UZY34" s="16"/>
      <c r="UZZ34" s="16"/>
      <c r="VAA34" s="16"/>
      <c r="VAB34" s="16"/>
      <c r="VAC34" s="16"/>
      <c r="VAD34" s="16"/>
      <c r="VAE34" s="16"/>
      <c r="VAF34" s="16"/>
      <c r="VAG34" s="16"/>
      <c r="VAH34" s="16"/>
      <c r="VAI34" s="16"/>
      <c r="VAJ34" s="16"/>
      <c r="VAK34" s="16"/>
      <c r="VAL34" s="16"/>
      <c r="VAM34" s="16"/>
      <c r="VAN34" s="16"/>
      <c r="VAO34" s="16"/>
      <c r="VAP34" s="16"/>
      <c r="VAQ34" s="16"/>
      <c r="VAR34" s="16"/>
      <c r="VAS34" s="16"/>
      <c r="VAT34" s="16"/>
      <c r="VAU34" s="16"/>
      <c r="VAV34" s="16"/>
      <c r="VAW34" s="16"/>
      <c r="VAX34" s="16"/>
      <c r="VAY34" s="16"/>
      <c r="VAZ34" s="16"/>
      <c r="VBA34" s="16"/>
      <c r="VBB34" s="16"/>
      <c r="VBC34" s="16"/>
      <c r="VBD34" s="16"/>
      <c r="VBE34" s="16"/>
      <c r="VBF34" s="16"/>
      <c r="VBG34" s="16"/>
      <c r="VBH34" s="16"/>
      <c r="VBI34" s="16"/>
      <c r="VBJ34" s="16"/>
      <c r="VBK34" s="16"/>
      <c r="VBL34" s="16"/>
      <c r="VBM34" s="16"/>
      <c r="VBN34" s="16"/>
      <c r="VBO34" s="16"/>
    </row>
    <row r="35" spans="1:14939" hidden="1" x14ac:dyDescent="0.25">
      <c r="B35" s="2338"/>
      <c r="C35" s="478" t="s">
        <v>70</v>
      </c>
      <c r="D35" s="495">
        <f>SUM(D36:D37)</f>
        <v>15000</v>
      </c>
      <c r="E35" s="479" t="s">
        <v>14</v>
      </c>
      <c r="F35" s="444">
        <v>0</v>
      </c>
      <c r="G35" s="444">
        <v>0</v>
      </c>
      <c r="H35" s="1516">
        <v>0</v>
      </c>
      <c r="I35" s="444">
        <v>0</v>
      </c>
      <c r="J35" s="444">
        <v>0</v>
      </c>
      <c r="K35" s="444"/>
      <c r="L35" s="444"/>
      <c r="M35" s="444"/>
      <c r="N35" s="444"/>
      <c r="O35" s="444"/>
      <c r="P35" s="444"/>
      <c r="Q35" s="444"/>
      <c r="R35" s="444">
        <f>R36+R37</f>
        <v>0</v>
      </c>
      <c r="S35" s="717"/>
      <c r="T35" s="508">
        <f>T36+T37</f>
        <v>0</v>
      </c>
      <c r="U35" s="672">
        <f>U36+U37</f>
        <v>30647000</v>
      </c>
      <c r="V35" s="769">
        <f>(T35/U35)*100</f>
        <v>0</v>
      </c>
      <c r="W35" s="62"/>
      <c r="X35" s="1"/>
      <c r="Y35" s="62"/>
      <c r="Z35" s="62"/>
      <c r="AA35" s="62"/>
      <c r="AB35" s="62"/>
      <c r="AC35" s="62"/>
      <c r="AD35" s="62"/>
      <c r="AE35" s="62"/>
      <c r="AF35" s="2336"/>
      <c r="AG35" s="2336"/>
      <c r="AH35" s="62"/>
      <c r="AI35" s="62"/>
      <c r="AJ35" s="62"/>
      <c r="AK35" s="62"/>
      <c r="AL35" s="62"/>
      <c r="AM35" s="62"/>
      <c r="AN35" s="62"/>
      <c r="AO35" s="62"/>
      <c r="AP35" s="62"/>
      <c r="AR35" s="62"/>
      <c r="AT35" s="452"/>
      <c r="AU35" s="452"/>
      <c r="AV35" s="1"/>
      <c r="AW35" s="1"/>
      <c r="AX35" s="16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2"/>
      <c r="BY35" s="1"/>
      <c r="DA35" s="1"/>
      <c r="DE35" s="2"/>
      <c r="DF35" s="5"/>
      <c r="DG35" s="141"/>
      <c r="DH35" s="141"/>
      <c r="DI35" s="141"/>
      <c r="DJ35" s="142"/>
      <c r="FM35" s="142"/>
      <c r="JH35" s="142"/>
      <c r="JI35" s="142"/>
      <c r="JJ35" s="142"/>
      <c r="JK35" s="142"/>
      <c r="OO35" s="142"/>
      <c r="OP35" s="142"/>
      <c r="OQ35" s="145"/>
      <c r="OR35" s="142"/>
      <c r="PF35" s="145">
        <f>SUM(PF28:PF33)</f>
        <v>40.247160000000001</v>
      </c>
      <c r="PJ35" s="142"/>
      <c r="RM35" s="145"/>
      <c r="AGV35" s="141"/>
      <c r="AIK35" s="141"/>
      <c r="AIL35" s="141"/>
      <c r="AIM35" s="141"/>
    </row>
    <row r="36" spans="1:14939" hidden="1" x14ac:dyDescent="0.25">
      <c r="B36" s="2338"/>
      <c r="C36" s="478" t="s">
        <v>336</v>
      </c>
      <c r="D36" s="495">
        <v>12000</v>
      </c>
      <c r="E36" s="479" t="s">
        <v>14</v>
      </c>
      <c r="F36" s="444">
        <v>0</v>
      </c>
      <c r="G36" s="444">
        <v>0</v>
      </c>
      <c r="H36" s="1516">
        <v>0</v>
      </c>
      <c r="I36" s="444">
        <v>0</v>
      </c>
      <c r="J36" s="444">
        <v>0</v>
      </c>
      <c r="K36" s="444"/>
      <c r="L36" s="444"/>
      <c r="M36" s="444"/>
      <c r="N36" s="444"/>
      <c r="O36" s="444"/>
      <c r="P36" s="444"/>
      <c r="Q36" s="444"/>
      <c r="R36" s="444">
        <f>'[7]Desember 24'!AL31</f>
        <v>0</v>
      </c>
      <c r="S36" s="717"/>
      <c r="T36" s="510">
        <f>SUM(F36:Q36)</f>
        <v>0</v>
      </c>
      <c r="U36" s="673">
        <v>23002000</v>
      </c>
      <c r="V36" s="769">
        <f>T36/U36*100</f>
        <v>0</v>
      </c>
      <c r="W36" s="62"/>
      <c r="X36" s="5"/>
      <c r="Y36" s="62"/>
      <c r="Z36" s="62"/>
      <c r="AA36" s="62"/>
      <c r="AB36" s="62"/>
      <c r="AC36" s="62"/>
      <c r="AD36" s="62"/>
      <c r="AE36" s="62"/>
      <c r="AF36" s="2336"/>
      <c r="AG36" s="2336"/>
      <c r="AH36" s="2336"/>
      <c r="AI36" s="2336"/>
      <c r="AJ36" s="2336"/>
      <c r="AK36" s="2336"/>
      <c r="AL36" s="2336"/>
      <c r="AM36" s="62"/>
      <c r="AN36" s="62"/>
      <c r="AO36" s="62"/>
      <c r="AP36" s="62"/>
      <c r="AR36" s="62"/>
      <c r="AT36" s="452"/>
      <c r="AU36" s="452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2"/>
      <c r="BY36" s="1"/>
      <c r="DA36" s="1"/>
      <c r="DF36" s="5"/>
      <c r="DG36" s="145"/>
      <c r="DH36" s="145"/>
      <c r="DI36" s="145"/>
      <c r="DJ36" s="142"/>
      <c r="FM36" s="142"/>
      <c r="JH36" s="142"/>
      <c r="JI36" s="142"/>
      <c r="JJ36" s="142"/>
      <c r="JK36" s="142"/>
      <c r="OO36" s="142"/>
      <c r="OP36" s="142"/>
      <c r="OQ36" s="145"/>
      <c r="OR36" s="142"/>
      <c r="PF36" s="145"/>
      <c r="PJ36" s="142"/>
      <c r="RM36" s="145"/>
      <c r="AGV36" s="141"/>
      <c r="AIK36" s="141"/>
      <c r="AIL36" s="141"/>
      <c r="AIM36" s="141"/>
    </row>
    <row r="37" spans="1:14939" hidden="1" x14ac:dyDescent="0.25">
      <c r="B37" s="2338"/>
      <c r="C37" s="441" t="s">
        <v>73</v>
      </c>
      <c r="D37" s="495">
        <v>3000</v>
      </c>
      <c r="E37" s="479" t="s">
        <v>14</v>
      </c>
      <c r="F37" s="444">
        <v>0</v>
      </c>
      <c r="G37" s="444">
        <v>0</v>
      </c>
      <c r="H37" s="1516">
        <v>0</v>
      </c>
      <c r="I37" s="444">
        <v>0</v>
      </c>
      <c r="J37" s="444">
        <v>0</v>
      </c>
      <c r="K37" s="444"/>
      <c r="L37" s="444"/>
      <c r="M37" s="444"/>
      <c r="N37" s="444"/>
      <c r="O37" s="444"/>
      <c r="P37" s="444"/>
      <c r="Q37" s="444"/>
      <c r="R37" s="444">
        <f>'[7]Desember 24'!AL32</f>
        <v>0</v>
      </c>
      <c r="S37" s="717"/>
      <c r="T37" s="508">
        <f>SUM(F37:Q37)</f>
        <v>0</v>
      </c>
      <c r="U37" s="671">
        <v>7645000</v>
      </c>
      <c r="V37" s="769">
        <f>T37/U37*100</f>
        <v>0</v>
      </c>
      <c r="W37" s="62"/>
      <c r="X37" s="819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R37" s="62"/>
      <c r="AT37" s="452"/>
      <c r="AU37" s="452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V37" s="1"/>
      <c r="BW37" s="1"/>
      <c r="BX37" s="142"/>
      <c r="BY37" s="1"/>
      <c r="DA37" s="1"/>
      <c r="DF37" s="5"/>
      <c r="DG37" s="142"/>
      <c r="DH37" s="142"/>
      <c r="DI37" s="142"/>
      <c r="DJ37" s="142"/>
      <c r="FM37" s="142"/>
      <c r="JH37" s="142"/>
      <c r="JI37" s="142"/>
      <c r="JJ37" s="142"/>
      <c r="JK37" s="142"/>
      <c r="OO37" s="142"/>
      <c r="OP37" s="142"/>
      <c r="OR37" s="142"/>
      <c r="PF37" s="145"/>
      <c r="PJ37" s="142"/>
      <c r="RM37" s="145"/>
      <c r="AGV37" s="141"/>
      <c r="AIK37" s="141"/>
      <c r="AIL37" s="141"/>
      <c r="AIM37" s="141"/>
    </row>
    <row r="38" spans="1:14939" s="511" customFormat="1" x14ac:dyDescent="0.25">
      <c r="B38" s="2338"/>
      <c r="C38" s="490" t="s">
        <v>337</v>
      </c>
      <c r="D38" s="512"/>
      <c r="E38" s="513"/>
      <c r="F38" s="514"/>
      <c r="G38" s="514"/>
      <c r="H38" s="1519"/>
      <c r="I38" s="514"/>
      <c r="J38" s="514"/>
      <c r="K38" s="514"/>
      <c r="L38" s="514"/>
      <c r="M38" s="514"/>
      <c r="N38" s="514"/>
      <c r="O38" s="514"/>
      <c r="P38" s="514"/>
      <c r="Q38" s="514"/>
      <c r="R38" s="514"/>
      <c r="S38" s="718"/>
      <c r="T38" s="710" t="s">
        <v>330</v>
      </c>
      <c r="U38" s="670" t="s">
        <v>330</v>
      </c>
      <c r="V38" s="771" t="s">
        <v>330</v>
      </c>
      <c r="W38" s="62"/>
      <c r="X38" s="819"/>
      <c r="Y38" s="80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R38" s="62"/>
      <c r="AT38" s="801"/>
      <c r="AU38" s="801"/>
      <c r="AV38" s="62"/>
      <c r="AW38" s="62"/>
      <c r="AX38" s="1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V38" s="62"/>
      <c r="BW38" s="62"/>
      <c r="BX38" s="143"/>
      <c r="BY38" s="62"/>
      <c r="DA38" s="62"/>
      <c r="DF38" s="515"/>
      <c r="DG38" s="143"/>
      <c r="DH38" s="143"/>
      <c r="DI38" s="143"/>
      <c r="DJ38" s="143"/>
      <c r="FM38" s="143"/>
      <c r="JH38" s="143"/>
      <c r="JI38" s="143"/>
      <c r="JJ38" s="143"/>
      <c r="JK38" s="143"/>
      <c r="OO38" s="143"/>
      <c r="OP38" s="143"/>
      <c r="OR38" s="143"/>
      <c r="PF38" s="152"/>
      <c r="PJ38" s="143"/>
      <c r="RM38" s="152"/>
      <c r="AGV38" s="143"/>
      <c r="AIK38" s="143"/>
      <c r="AIL38" s="143"/>
      <c r="AIM38" s="143"/>
    </row>
    <row r="39" spans="1:14939" x14ac:dyDescent="0.25">
      <c r="B39" s="2338"/>
      <c r="C39" s="478" t="s">
        <v>75</v>
      </c>
      <c r="D39" s="495"/>
      <c r="E39" s="479" t="s">
        <v>14</v>
      </c>
      <c r="F39" s="444">
        <v>0</v>
      </c>
      <c r="G39" s="444">
        <f>G40+G41</f>
        <v>13585776</v>
      </c>
      <c r="H39" s="1516">
        <v>0</v>
      </c>
      <c r="I39" s="444">
        <v>0</v>
      </c>
      <c r="J39" s="444">
        <v>0</v>
      </c>
      <c r="K39" s="444"/>
      <c r="L39" s="444"/>
      <c r="M39" s="444"/>
      <c r="N39" s="444"/>
      <c r="O39" s="444"/>
      <c r="P39" s="57"/>
      <c r="Q39" s="444"/>
      <c r="R39" s="444">
        <f>R40+R41</f>
        <v>0</v>
      </c>
      <c r="S39" s="717"/>
      <c r="T39" s="57">
        <f>T40+T41</f>
        <v>13585776</v>
      </c>
      <c r="U39" s="672">
        <f>U40+U41</f>
        <v>249961000</v>
      </c>
      <c r="V39" s="769">
        <f>T39/U39*100</f>
        <v>5.4351582846924122</v>
      </c>
      <c r="W39" s="62"/>
      <c r="X39" s="819"/>
      <c r="Y39" s="80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R39" s="62"/>
      <c r="AT39" s="452"/>
      <c r="AU39" s="452"/>
      <c r="AV39" s="1"/>
      <c r="AW39" s="1"/>
      <c r="AX39" s="62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2"/>
      <c r="BY39" s="1"/>
      <c r="DA39" s="1"/>
      <c r="DF39" s="5"/>
      <c r="DG39" s="142"/>
      <c r="DH39" s="142"/>
      <c r="DI39" s="142"/>
      <c r="DJ39" s="142"/>
      <c r="FM39" s="142"/>
      <c r="JH39" s="142"/>
      <c r="JI39" s="142"/>
      <c r="JJ39" s="142"/>
      <c r="JK39" s="142"/>
      <c r="OO39" s="142"/>
      <c r="OP39" s="142"/>
      <c r="OR39" s="142"/>
      <c r="PF39" s="145"/>
      <c r="PJ39" s="142"/>
      <c r="RM39" s="145"/>
      <c r="AGV39" s="141"/>
      <c r="AIK39" s="141"/>
      <c r="AIL39" s="141"/>
      <c r="AIM39" s="141"/>
    </row>
    <row r="40" spans="1:14939" x14ac:dyDescent="0.25">
      <c r="B40" s="2338"/>
      <c r="C40" s="478" t="s">
        <v>338</v>
      </c>
      <c r="D40" s="495">
        <v>205714</v>
      </c>
      <c r="E40" s="479" t="s">
        <v>14</v>
      </c>
      <c r="F40" s="444">
        <v>0</v>
      </c>
      <c r="G40" s="1523">
        <f>'[6]FEBUARI 2025'!$AK$45</f>
        <v>10107561</v>
      </c>
      <c r="H40" s="1516">
        <v>0</v>
      </c>
      <c r="I40" s="444">
        <v>0</v>
      </c>
      <c r="J40" s="444">
        <v>0</v>
      </c>
      <c r="K40" s="444"/>
      <c r="L40" s="444"/>
      <c r="M40" s="444"/>
      <c r="N40" s="444"/>
      <c r="O40" s="444"/>
      <c r="P40" s="57"/>
      <c r="Q40" s="444"/>
      <c r="R40" s="444">
        <f>'[7]Desember 24'!AL35</f>
        <v>0</v>
      </c>
      <c r="S40" s="717"/>
      <c r="T40" s="57">
        <f>SUM(F40:Q40)</f>
        <v>10107561</v>
      </c>
      <c r="U40" s="671">
        <v>175000000</v>
      </c>
      <c r="V40" s="769">
        <f>T40/U40*100</f>
        <v>5.7757491428571432</v>
      </c>
      <c r="W40" s="62"/>
      <c r="X40" s="5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R40" s="62"/>
      <c r="AT40" s="452"/>
      <c r="AU40" s="452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2"/>
      <c r="BY40" s="1"/>
      <c r="DA40" s="1"/>
      <c r="DF40" s="5"/>
      <c r="DG40" s="142"/>
      <c r="DH40" s="142"/>
      <c r="DI40" s="142"/>
      <c r="DJ40" s="142"/>
      <c r="FM40" s="142"/>
      <c r="JH40" s="142"/>
      <c r="JI40" s="142"/>
      <c r="JJ40" s="142"/>
      <c r="JK40" s="142"/>
      <c r="OO40" s="142"/>
      <c r="OP40" s="142"/>
      <c r="OR40" s="142"/>
      <c r="PF40" s="145"/>
      <c r="PJ40" s="142"/>
      <c r="RM40" s="145"/>
      <c r="AGV40" s="141"/>
      <c r="AIK40" s="141"/>
      <c r="AIL40" s="141"/>
      <c r="AIM40" s="141"/>
    </row>
    <row r="41" spans="1:14939" x14ac:dyDescent="0.25">
      <c r="B41" s="2338"/>
      <c r="C41" s="478" t="s">
        <v>73</v>
      </c>
      <c r="D41" s="495">
        <v>61714</v>
      </c>
      <c r="E41" s="479" t="s">
        <v>14</v>
      </c>
      <c r="F41" s="444">
        <v>0</v>
      </c>
      <c r="G41" s="1523">
        <f>'[6]FEBUARI 2025'!$AK$46</f>
        <v>3478215</v>
      </c>
      <c r="H41" s="1516">
        <v>0</v>
      </c>
      <c r="I41" s="444">
        <v>0</v>
      </c>
      <c r="J41" s="444">
        <v>0</v>
      </c>
      <c r="K41" s="444"/>
      <c r="L41" s="444"/>
      <c r="M41" s="444"/>
      <c r="N41" s="444"/>
      <c r="O41" s="444"/>
      <c r="P41" s="57"/>
      <c r="Q41" s="444"/>
      <c r="R41" s="444">
        <f>'[7]Desember 24'!AL36</f>
        <v>0</v>
      </c>
      <c r="S41" s="717"/>
      <c r="T41" s="57">
        <f>SUM(F41:Q41)</f>
        <v>3478215</v>
      </c>
      <c r="U41" s="671">
        <v>74961000</v>
      </c>
      <c r="V41" s="769">
        <f>T41/U41*100</f>
        <v>4.6400328170648732</v>
      </c>
      <c r="W41" s="62"/>
      <c r="X41" s="5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R41" s="62"/>
      <c r="AT41" s="452"/>
      <c r="AU41" s="452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2"/>
      <c r="BY41" s="1"/>
      <c r="DA41" s="1"/>
      <c r="DF41" s="5"/>
      <c r="DG41" s="142"/>
      <c r="DH41" s="142"/>
      <c r="DI41" s="142"/>
      <c r="DJ41" s="142"/>
      <c r="FM41" s="142"/>
      <c r="JH41" s="142"/>
      <c r="JI41" s="142"/>
      <c r="JJ41" s="142"/>
      <c r="JK41" s="142"/>
      <c r="OO41" s="142"/>
      <c r="OP41" s="142"/>
      <c r="OR41" s="142"/>
      <c r="PF41" s="145"/>
      <c r="PJ41" s="142"/>
      <c r="RM41" s="145"/>
      <c r="AGV41" s="141"/>
      <c r="AIK41" s="141"/>
      <c r="AIL41" s="141"/>
      <c r="AIM41" s="141"/>
    </row>
    <row r="42" spans="1:14939" hidden="1" x14ac:dyDescent="0.25">
      <c r="B42" s="2338"/>
      <c r="C42" s="715" t="s">
        <v>818</v>
      </c>
      <c r="D42" s="495"/>
      <c r="E42" s="479"/>
      <c r="F42" s="444"/>
      <c r="G42" s="1523"/>
      <c r="H42" s="1516">
        <v>0</v>
      </c>
      <c r="I42" s="444"/>
      <c r="J42" s="444"/>
      <c r="K42" s="444"/>
      <c r="L42" s="444"/>
      <c r="M42" s="444"/>
      <c r="N42" s="444"/>
      <c r="O42" s="444"/>
      <c r="P42" s="444"/>
      <c r="Q42" s="444"/>
      <c r="R42" s="444"/>
      <c r="S42" s="717"/>
      <c r="T42" s="57"/>
      <c r="U42" s="671"/>
      <c r="V42" s="769"/>
      <c r="W42" s="62"/>
      <c r="X42" s="5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R42" s="62"/>
      <c r="AT42" s="452"/>
      <c r="AU42" s="452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2"/>
      <c r="BY42" s="1"/>
      <c r="DA42" s="1"/>
      <c r="DF42" s="5"/>
      <c r="DG42" s="142"/>
      <c r="DH42" s="142"/>
      <c r="DI42" s="142"/>
      <c r="DJ42" s="142"/>
      <c r="FM42" s="142"/>
      <c r="JH42" s="142"/>
      <c r="JI42" s="142"/>
      <c r="JJ42" s="142"/>
      <c r="JK42" s="142"/>
      <c r="OO42" s="142"/>
      <c r="OP42" s="142"/>
      <c r="OR42" s="142"/>
      <c r="PF42" s="145"/>
      <c r="PJ42" s="142"/>
      <c r="RM42" s="145"/>
      <c r="AGV42" s="141"/>
      <c r="AIK42" s="141"/>
      <c r="AIL42" s="141"/>
      <c r="AIM42" s="141"/>
    </row>
    <row r="43" spans="1:14939" hidden="1" x14ac:dyDescent="0.25">
      <c r="B43" s="2338"/>
      <c r="C43" s="71" t="s">
        <v>71</v>
      </c>
      <c r="D43" s="495"/>
      <c r="E43" s="479" t="s">
        <v>14</v>
      </c>
      <c r="F43" s="444"/>
      <c r="G43" s="1523"/>
      <c r="H43" s="1516"/>
      <c r="I43" s="444"/>
      <c r="J43" s="444"/>
      <c r="K43" s="444"/>
      <c r="L43" s="444"/>
      <c r="M43" s="444"/>
      <c r="N43" s="444"/>
      <c r="O43" s="444"/>
      <c r="P43" s="444"/>
      <c r="Q43" s="444"/>
      <c r="R43" s="444"/>
      <c r="S43" s="717"/>
      <c r="T43" s="57"/>
      <c r="U43" s="671"/>
      <c r="V43" s="769"/>
      <c r="W43" s="62"/>
      <c r="X43" s="5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R43" s="62"/>
      <c r="AT43" s="452"/>
      <c r="AU43" s="45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2"/>
      <c r="BY43" s="1"/>
      <c r="DA43" s="1"/>
      <c r="DF43" s="5"/>
      <c r="DG43" s="142"/>
      <c r="DH43" s="142"/>
      <c r="DI43" s="142"/>
      <c r="DJ43" s="142"/>
      <c r="FM43" s="142"/>
      <c r="JH43" s="142"/>
      <c r="JI43" s="142"/>
      <c r="JJ43" s="142"/>
      <c r="JK43" s="142"/>
      <c r="OO43" s="142"/>
      <c r="OP43" s="142"/>
      <c r="OR43" s="142"/>
      <c r="PF43" s="145"/>
      <c r="PJ43" s="142"/>
      <c r="RM43" s="145"/>
      <c r="AGV43" s="141"/>
      <c r="AIK43" s="141"/>
      <c r="AIL43" s="141"/>
      <c r="AIM43" s="141"/>
    </row>
    <row r="44" spans="1:14939" hidden="1" x14ac:dyDescent="0.25">
      <c r="B44" s="2338"/>
      <c r="C44" s="64" t="s">
        <v>75</v>
      </c>
      <c r="D44" s="495"/>
      <c r="E44" s="479" t="s">
        <v>14</v>
      </c>
      <c r="F44" s="444"/>
      <c r="G44" s="1523"/>
      <c r="H44" s="1516"/>
      <c r="I44" s="444"/>
      <c r="J44" s="444"/>
      <c r="K44" s="444"/>
      <c r="L44" s="444"/>
      <c r="M44" s="444"/>
      <c r="N44" s="444"/>
      <c r="O44" s="444"/>
      <c r="P44" s="444"/>
      <c r="Q44" s="444"/>
      <c r="R44" s="444"/>
      <c r="S44" s="717"/>
      <c r="T44" s="57"/>
      <c r="U44" s="671"/>
      <c r="V44" s="769"/>
      <c r="W44" s="62"/>
      <c r="X44" s="5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R44" s="62"/>
      <c r="AT44" s="452"/>
      <c r="AU44" s="452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2"/>
      <c r="BY44" s="1"/>
      <c r="DA44" s="1"/>
      <c r="DF44" s="5"/>
      <c r="DG44" s="142"/>
      <c r="DH44" s="142"/>
      <c r="DI44" s="142"/>
      <c r="DJ44" s="142"/>
      <c r="FM44" s="142"/>
      <c r="JH44" s="142"/>
      <c r="JI44" s="142"/>
      <c r="JJ44" s="142"/>
      <c r="JK44" s="142"/>
      <c r="OO44" s="142"/>
      <c r="OP44" s="142"/>
      <c r="OR44" s="142"/>
      <c r="PF44" s="145"/>
      <c r="PJ44" s="142"/>
      <c r="RM44" s="145"/>
      <c r="AGV44" s="141"/>
      <c r="AIK44" s="141"/>
      <c r="AIL44" s="141"/>
      <c r="AIM44" s="141"/>
    </row>
    <row r="45" spans="1:14939" hidden="1" x14ac:dyDescent="0.25">
      <c r="B45" s="2338"/>
      <c r="C45" s="64" t="s">
        <v>112</v>
      </c>
      <c r="D45" s="495"/>
      <c r="E45" s="479" t="s">
        <v>14</v>
      </c>
      <c r="F45" s="444"/>
      <c r="G45" s="1523"/>
      <c r="H45" s="1516"/>
      <c r="I45" s="444"/>
      <c r="J45" s="444"/>
      <c r="K45" s="444"/>
      <c r="L45" s="444"/>
      <c r="M45" s="444"/>
      <c r="N45" s="444"/>
      <c r="O45" s="444"/>
      <c r="P45" s="444"/>
      <c r="Q45" s="444"/>
      <c r="R45" s="444"/>
      <c r="S45" s="717"/>
      <c r="T45" s="57"/>
      <c r="U45" s="671"/>
      <c r="V45" s="769"/>
      <c r="W45" s="62"/>
      <c r="X45" s="5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R45" s="62"/>
      <c r="AT45" s="452"/>
      <c r="AU45" s="452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2"/>
      <c r="BY45" s="1"/>
      <c r="DA45" s="1"/>
      <c r="DF45" s="5"/>
      <c r="DG45" s="142"/>
      <c r="DH45" s="142"/>
      <c r="DI45" s="142"/>
      <c r="DJ45" s="142"/>
      <c r="FM45" s="142"/>
      <c r="JH45" s="142"/>
      <c r="JI45" s="142"/>
      <c r="JJ45" s="142"/>
      <c r="JK45" s="142"/>
      <c r="OO45" s="142"/>
      <c r="OP45" s="142"/>
      <c r="OR45" s="142"/>
      <c r="PF45" s="145"/>
      <c r="PJ45" s="142"/>
      <c r="RM45" s="145"/>
      <c r="AGV45" s="141"/>
      <c r="AIK45" s="141"/>
      <c r="AIL45" s="141"/>
      <c r="AIM45" s="141"/>
    </row>
    <row r="46" spans="1:14939" hidden="1" x14ac:dyDescent="0.25">
      <c r="B46" s="2338"/>
      <c r="C46" s="64" t="s">
        <v>73</v>
      </c>
      <c r="D46" s="495"/>
      <c r="E46" s="479" t="s">
        <v>14</v>
      </c>
      <c r="F46" s="444"/>
      <c r="G46" s="1523"/>
      <c r="H46" s="1516"/>
      <c r="I46" s="444"/>
      <c r="J46" s="444"/>
      <c r="K46" s="444"/>
      <c r="L46" s="444"/>
      <c r="M46" s="444"/>
      <c r="N46" s="444"/>
      <c r="O46" s="444"/>
      <c r="P46" s="444"/>
      <c r="Q46" s="444"/>
      <c r="R46" s="444"/>
      <c r="S46" s="717"/>
      <c r="T46" s="57"/>
      <c r="U46" s="671"/>
      <c r="V46" s="769"/>
      <c r="W46" s="62"/>
      <c r="X46" s="5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R46" s="62"/>
      <c r="AT46" s="452"/>
      <c r="AU46" s="452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2"/>
      <c r="BY46" s="1"/>
      <c r="DA46" s="1"/>
      <c r="DF46" s="5"/>
      <c r="DG46" s="142"/>
      <c r="DH46" s="142"/>
      <c r="DI46" s="142"/>
      <c r="DJ46" s="142"/>
      <c r="FM46" s="142"/>
      <c r="JH46" s="142"/>
      <c r="JI46" s="142"/>
      <c r="JJ46" s="142"/>
      <c r="JK46" s="142"/>
      <c r="OO46" s="142"/>
      <c r="OP46" s="142"/>
      <c r="OR46" s="142"/>
      <c r="PF46" s="145"/>
      <c r="PJ46" s="142"/>
      <c r="RM46" s="145"/>
      <c r="AGV46" s="141"/>
      <c r="AIK46" s="141"/>
      <c r="AIL46" s="141"/>
      <c r="AIM46" s="141"/>
    </row>
    <row r="47" spans="1:14939" x14ac:dyDescent="0.25">
      <c r="B47" s="2338"/>
      <c r="C47" s="490" t="s">
        <v>72</v>
      </c>
      <c r="D47" s="501"/>
      <c r="E47" s="492"/>
      <c r="F47" s="429"/>
      <c r="G47" s="429"/>
      <c r="H47" s="1515"/>
      <c r="I47" s="429"/>
      <c r="J47" s="429"/>
      <c r="K47" s="429"/>
      <c r="L47" s="429"/>
      <c r="M47" s="429"/>
      <c r="N47" s="429"/>
      <c r="O47" s="429"/>
      <c r="P47" s="429"/>
      <c r="Q47" s="429"/>
      <c r="R47" s="429"/>
      <c r="S47" s="717"/>
      <c r="T47" s="710" t="s">
        <v>61</v>
      </c>
      <c r="U47" s="670" t="s">
        <v>61</v>
      </c>
      <c r="V47" s="771" t="s">
        <v>61</v>
      </c>
      <c r="W47" s="62"/>
      <c r="X47" s="1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R47" s="62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V47" s="1"/>
      <c r="BW47" s="1"/>
      <c r="BX47" s="1"/>
      <c r="BY47" s="1"/>
      <c r="DA47" s="1"/>
    </row>
    <row r="48" spans="1:14939" x14ac:dyDescent="0.25">
      <c r="A48" s="16"/>
      <c r="B48" s="2338"/>
      <c r="C48" s="505" t="s">
        <v>71</v>
      </c>
      <c r="D48" s="506"/>
      <c r="E48" s="507" t="s">
        <v>14</v>
      </c>
      <c r="F48" s="444">
        <v>0</v>
      </c>
      <c r="G48" s="444">
        <v>0</v>
      </c>
      <c r="H48" s="1516">
        <v>0</v>
      </c>
      <c r="I48" s="444">
        <v>0</v>
      </c>
      <c r="J48" s="444">
        <v>0</v>
      </c>
      <c r="K48" s="444"/>
      <c r="L48" s="444"/>
      <c r="M48" s="444"/>
      <c r="N48" s="444"/>
      <c r="O48" s="444"/>
      <c r="P48" s="444"/>
      <c r="Q48" s="444"/>
      <c r="R48" s="444"/>
      <c r="S48" s="719"/>
      <c r="T48" s="57">
        <f>SUM(F48:Q48)</f>
        <v>0</v>
      </c>
      <c r="U48" s="669">
        <f>U49/U57%</f>
        <v>25913272.762786224</v>
      </c>
      <c r="V48" s="769">
        <f>T48/U48*100</f>
        <v>0</v>
      </c>
      <c r="W48" s="806"/>
      <c r="X48" s="16"/>
      <c r="Y48" s="806"/>
      <c r="Z48" s="806"/>
      <c r="AA48" s="806"/>
      <c r="AB48" s="806"/>
      <c r="AC48" s="806"/>
      <c r="AD48" s="806"/>
      <c r="AE48" s="806"/>
      <c r="AF48" s="806"/>
      <c r="AG48" s="806"/>
      <c r="AH48" s="806"/>
      <c r="AI48" s="806"/>
      <c r="AJ48" s="806"/>
      <c r="AK48" s="806"/>
      <c r="AL48" s="806"/>
      <c r="AM48" s="806"/>
      <c r="AN48" s="806"/>
      <c r="AO48" s="806"/>
      <c r="AP48" s="806"/>
      <c r="AQ48" s="806"/>
      <c r="AR48" s="806"/>
      <c r="AS48" s="806"/>
      <c r="AT48" s="808"/>
      <c r="AU48" s="808"/>
      <c r="AV48" s="16"/>
      <c r="AW48" s="16"/>
      <c r="AX48" s="1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V48" s="16"/>
      <c r="BW48" s="16"/>
      <c r="BX48" s="144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516"/>
      <c r="DG48" s="144"/>
      <c r="DH48" s="144"/>
      <c r="DI48" s="144"/>
      <c r="DJ48" s="144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44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44"/>
      <c r="JI48" s="144"/>
      <c r="JJ48" s="144"/>
      <c r="JK48" s="144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44"/>
      <c r="OP48" s="144"/>
      <c r="OQ48" s="16"/>
      <c r="OR48" s="144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509"/>
      <c r="PG48" s="16"/>
      <c r="PH48" s="16"/>
      <c r="PI48" s="16"/>
      <c r="PJ48" s="144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509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44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44"/>
      <c r="AIL48" s="144"/>
      <c r="AIM48" s="144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</row>
    <row r="49" spans="2:923" x14ac:dyDescent="0.25">
      <c r="B49" s="2338"/>
      <c r="C49" s="478" t="s">
        <v>70</v>
      </c>
      <c r="D49" s="495"/>
      <c r="E49" s="479" t="s">
        <v>14</v>
      </c>
      <c r="F49" s="444">
        <v>0</v>
      </c>
      <c r="G49" s="444">
        <f>G51+G52</f>
        <v>138533</v>
      </c>
      <c r="H49" s="1516">
        <v>0</v>
      </c>
      <c r="I49" s="444">
        <v>0</v>
      </c>
      <c r="J49" s="444">
        <v>0</v>
      </c>
      <c r="K49" s="444"/>
      <c r="L49" s="444"/>
      <c r="M49" s="444"/>
      <c r="N49" s="444"/>
      <c r="O49" s="444"/>
      <c r="P49" s="444"/>
      <c r="Q49" s="444"/>
      <c r="R49" s="444"/>
      <c r="S49" s="717"/>
      <c r="T49" s="57">
        <f>T51+T52</f>
        <v>138533</v>
      </c>
      <c r="U49" s="665">
        <f>U51+U52</f>
        <v>24558000</v>
      </c>
      <c r="V49" s="769">
        <f>T49/U49*100</f>
        <v>0.56410538317452563</v>
      </c>
      <c r="W49" s="62"/>
      <c r="X49" s="1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R49" s="62"/>
      <c r="AT49" s="452"/>
      <c r="AU49" s="452"/>
      <c r="AV49" s="1"/>
      <c r="AW49" s="1"/>
      <c r="AX49" s="144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2"/>
      <c r="BY49" s="1"/>
      <c r="DA49" s="1"/>
      <c r="DF49" s="5"/>
      <c r="DG49" s="142">
        <v>2136</v>
      </c>
      <c r="DH49" s="142"/>
      <c r="DI49" s="142"/>
      <c r="DJ49" s="142"/>
      <c r="FM49" s="142"/>
      <c r="JH49" s="142"/>
      <c r="JI49" s="142"/>
      <c r="JJ49" s="142"/>
      <c r="JK49" s="142"/>
      <c r="OO49" s="142"/>
      <c r="OP49" s="142"/>
      <c r="OR49" s="142"/>
      <c r="PF49" s="145"/>
      <c r="PJ49" s="142"/>
      <c r="RM49" s="145"/>
      <c r="AGV49" s="141"/>
      <c r="AIK49" s="141"/>
      <c r="AIL49" s="141"/>
      <c r="AIM49" s="141"/>
    </row>
    <row r="50" spans="2:923" x14ac:dyDescent="0.25">
      <c r="B50" s="2338"/>
      <c r="C50" s="478" t="s">
        <v>69</v>
      </c>
      <c r="D50" s="495"/>
      <c r="E50" s="479" t="s">
        <v>14</v>
      </c>
      <c r="F50" s="444">
        <v>0</v>
      </c>
      <c r="G50" s="444">
        <v>0</v>
      </c>
      <c r="H50" s="1516">
        <v>0</v>
      </c>
      <c r="I50" s="444">
        <v>0</v>
      </c>
      <c r="J50" s="444">
        <v>0</v>
      </c>
      <c r="K50" s="444"/>
      <c r="L50" s="444"/>
      <c r="M50" s="444"/>
      <c r="N50" s="444"/>
      <c r="O50" s="444"/>
      <c r="P50" s="444"/>
      <c r="Q50" s="444"/>
      <c r="R50" s="444"/>
      <c r="S50" s="717"/>
      <c r="T50" s="57">
        <f>SUM(F50:Q50)</f>
        <v>0</v>
      </c>
      <c r="U50" s="669">
        <f>SUM(F50:R50)</f>
        <v>0</v>
      </c>
      <c r="V50" s="772">
        <f>SUM(H50:T50)</f>
        <v>0</v>
      </c>
      <c r="W50" s="62"/>
      <c r="X50" s="1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R50" s="62"/>
      <c r="AT50" s="452"/>
      <c r="AU50" s="452"/>
      <c r="AV50" s="1"/>
      <c r="AW50" s="1"/>
      <c r="AX50" s="144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2"/>
      <c r="BY50" s="1"/>
      <c r="DA50" s="1"/>
      <c r="DF50" s="5"/>
      <c r="DG50" s="142"/>
      <c r="DH50" s="142"/>
      <c r="DI50" s="142"/>
      <c r="DJ50" s="142"/>
      <c r="FM50" s="142"/>
      <c r="JH50" s="142"/>
      <c r="JI50" s="142"/>
      <c r="JJ50" s="142"/>
      <c r="JK50" s="142"/>
      <c r="OO50" s="142"/>
      <c r="OP50" s="142"/>
      <c r="OR50" s="142"/>
      <c r="PF50" s="145"/>
      <c r="PJ50" s="142"/>
      <c r="RM50" s="145"/>
      <c r="AGV50" s="141"/>
      <c r="AIK50" s="141"/>
      <c r="AIL50" s="141"/>
      <c r="AIM50" s="141"/>
    </row>
    <row r="51" spans="2:923" x14ac:dyDescent="0.25">
      <c r="B51" s="2338"/>
      <c r="C51" s="478" t="s">
        <v>68</v>
      </c>
      <c r="D51" s="495">
        <v>25000</v>
      </c>
      <c r="E51" s="479" t="s">
        <v>14</v>
      </c>
      <c r="F51" s="444">
        <v>0</v>
      </c>
      <c r="G51" s="444">
        <f>'[6]FEBUARI 2025'!$AK$55</f>
        <v>85453</v>
      </c>
      <c r="H51" s="1516">
        <v>0</v>
      </c>
      <c r="I51" s="444">
        <v>0</v>
      </c>
      <c r="J51" s="444">
        <v>0</v>
      </c>
      <c r="K51" s="444"/>
      <c r="L51" s="444"/>
      <c r="M51" s="444"/>
      <c r="N51" s="444"/>
      <c r="O51" s="444"/>
      <c r="P51" s="444"/>
      <c r="Q51" s="444"/>
      <c r="R51" s="444"/>
      <c r="S51" s="717"/>
      <c r="T51" s="57">
        <f>SUM(F51:Q51)</f>
        <v>85453</v>
      </c>
      <c r="U51" s="669">
        <v>14736000</v>
      </c>
      <c r="V51" s="769">
        <f>T51/U51*100</f>
        <v>0.57989277958740493</v>
      </c>
      <c r="W51" s="62"/>
      <c r="X51" s="1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R51" s="62"/>
      <c r="AT51" s="452"/>
      <c r="AU51" s="452"/>
      <c r="AV51" s="3"/>
      <c r="AW51" s="1"/>
      <c r="AX51" s="142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2"/>
      <c r="BY51" s="1"/>
      <c r="DA51" s="1"/>
      <c r="DF51" s="5"/>
      <c r="DG51" s="142">
        <v>1796</v>
      </c>
      <c r="DH51" s="142"/>
      <c r="DI51" s="142"/>
      <c r="DJ51" s="142"/>
      <c r="FM51" s="142"/>
      <c r="JH51" s="142"/>
      <c r="JI51" s="142"/>
      <c r="JJ51" s="142"/>
      <c r="JK51" s="142"/>
      <c r="OO51" s="142"/>
      <c r="OP51" s="142"/>
      <c r="OR51" s="142"/>
      <c r="PF51" s="145"/>
      <c r="PJ51" s="142"/>
      <c r="RM51" s="145"/>
      <c r="AGV51" s="141"/>
      <c r="AIK51" s="141"/>
      <c r="AIL51" s="141"/>
      <c r="AIM51" s="141"/>
    </row>
    <row r="52" spans="2:923" x14ac:dyDescent="0.25">
      <c r="B52" s="2338"/>
      <c r="C52" s="478" t="s">
        <v>67</v>
      </c>
      <c r="D52" s="495">
        <v>10000</v>
      </c>
      <c r="E52" s="479" t="s">
        <v>14</v>
      </c>
      <c r="F52" s="444">
        <v>0</v>
      </c>
      <c r="G52" s="444">
        <f>'[6]FEBUARI 2025'!$AK$56</f>
        <v>53080</v>
      </c>
      <c r="H52" s="1516">
        <v>0</v>
      </c>
      <c r="I52" s="444">
        <v>0</v>
      </c>
      <c r="J52" s="444">
        <v>0</v>
      </c>
      <c r="K52" s="444"/>
      <c r="L52" s="444"/>
      <c r="M52" s="444"/>
      <c r="N52" s="444"/>
      <c r="O52" s="444"/>
      <c r="P52" s="444"/>
      <c r="Q52" s="444"/>
      <c r="R52" s="444"/>
      <c r="S52" s="717"/>
      <c r="T52" s="57">
        <f>SUM(F52:Q52)</f>
        <v>53080</v>
      </c>
      <c r="U52" s="669">
        <v>9822000</v>
      </c>
      <c r="V52" s="769">
        <f>T52/U52*100</f>
        <v>0.54041946650376704</v>
      </c>
      <c r="W52" s="62"/>
      <c r="X52" s="1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R52" s="62"/>
      <c r="AT52" s="452"/>
      <c r="AU52" s="452"/>
      <c r="AV52" s="3"/>
      <c r="AW52" s="1"/>
      <c r="AX52" s="146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42"/>
      <c r="BY52" s="1"/>
      <c r="DA52" s="1"/>
      <c r="DF52" s="5"/>
      <c r="DG52" s="142">
        <f>DG49/DG51*100</f>
        <v>118.93095768374164</v>
      </c>
      <c r="DH52" s="142"/>
      <c r="DI52" s="142"/>
      <c r="DJ52" s="142"/>
      <c r="FM52" s="142"/>
      <c r="JH52" s="142"/>
      <c r="JI52" s="142"/>
      <c r="JJ52" s="142"/>
      <c r="JK52" s="142"/>
      <c r="OO52" s="142"/>
      <c r="OP52" s="142"/>
      <c r="OR52" s="142"/>
      <c r="PF52" s="145"/>
      <c r="PJ52" s="142"/>
      <c r="RM52" s="145"/>
      <c r="AGV52" s="141"/>
      <c r="AIK52" s="141"/>
      <c r="AIL52" s="141"/>
      <c r="AIM52" s="141"/>
    </row>
    <row r="53" spans="2:923" s="511" customFormat="1" x14ac:dyDescent="0.25">
      <c r="B53" s="2338"/>
      <c r="C53" s="11" t="s">
        <v>113</v>
      </c>
      <c r="D53" s="512"/>
      <c r="E53" s="513"/>
      <c r="F53" s="1522">
        <v>0</v>
      </c>
      <c r="G53" s="517">
        <v>0</v>
      </c>
      <c r="H53" s="1520">
        <v>0</v>
      </c>
      <c r="I53" s="1522">
        <v>0</v>
      </c>
      <c r="J53" s="1522">
        <v>0</v>
      </c>
      <c r="K53" s="517"/>
      <c r="L53" s="518"/>
      <c r="M53" s="518"/>
      <c r="N53" s="518"/>
      <c r="O53" s="518"/>
      <c r="P53" s="518"/>
      <c r="Q53" s="518"/>
      <c r="R53" s="518"/>
      <c r="S53" s="718"/>
      <c r="T53" s="84">
        <f>+AVERAGE(F53:Q53)</f>
        <v>0</v>
      </c>
      <c r="U53" s="674"/>
      <c r="V53" s="773"/>
      <c r="W53" s="62"/>
      <c r="X53" s="1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R53" s="62"/>
      <c r="AT53" s="801"/>
      <c r="AU53" s="801"/>
      <c r="AV53" s="365"/>
      <c r="AW53" s="62"/>
      <c r="AX53" s="1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V53" s="62"/>
      <c r="BW53" s="62"/>
      <c r="BX53" s="143"/>
      <c r="BY53" s="62"/>
      <c r="DA53" s="62"/>
      <c r="DF53" s="515"/>
      <c r="DG53" s="143"/>
      <c r="DH53" s="143"/>
      <c r="DI53" s="143"/>
      <c r="DJ53" s="143"/>
      <c r="FM53" s="143"/>
      <c r="JH53" s="143"/>
      <c r="JI53" s="143"/>
      <c r="JJ53" s="143"/>
      <c r="JK53" s="143"/>
      <c r="OO53" s="143"/>
      <c r="OP53" s="143"/>
      <c r="OR53" s="143"/>
      <c r="PF53" s="152"/>
      <c r="PJ53" s="143"/>
      <c r="RM53" s="152"/>
      <c r="AGV53" s="143"/>
      <c r="AIK53" s="143"/>
      <c r="AIL53" s="143"/>
      <c r="AIM53" s="143"/>
    </row>
    <row r="54" spans="2:923" s="511" customFormat="1" x14ac:dyDescent="0.25">
      <c r="B54" s="2338"/>
      <c r="C54" s="11" t="s">
        <v>339</v>
      </c>
      <c r="D54" s="512"/>
      <c r="E54" s="513"/>
      <c r="F54" s="517" t="e">
        <f>(F49+F39+F35+F31+F27)/F55*100</f>
        <v>#DIV/0!</v>
      </c>
      <c r="G54" s="517">
        <v>0</v>
      </c>
      <c r="H54" s="1520">
        <v>0</v>
      </c>
      <c r="I54" s="517" t="e">
        <f t="shared" ref="I54:J54" si="4">(I49+I39+I35+I31+I27)/I55*100</f>
        <v>#DIV/0!</v>
      </c>
      <c r="J54" s="517" t="e">
        <f t="shared" si="4"/>
        <v>#DIV/0!</v>
      </c>
      <c r="K54" s="517"/>
      <c r="L54" s="517"/>
      <c r="M54" s="517"/>
      <c r="N54" s="517"/>
      <c r="O54" s="517"/>
      <c r="P54" s="517"/>
      <c r="Q54" s="517"/>
      <c r="R54" s="517"/>
      <c r="S54" s="718"/>
      <c r="T54" s="84" t="e">
        <f>+AVERAGE(F54:Q54)</f>
        <v>#DIV/0!</v>
      </c>
      <c r="U54" s="674"/>
      <c r="V54" s="773"/>
      <c r="W54" s="62"/>
      <c r="X54" s="1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R54" s="62"/>
      <c r="AT54" s="801"/>
      <c r="AU54" s="801"/>
      <c r="AV54" s="365"/>
      <c r="AW54" s="62"/>
      <c r="AX54" s="1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V54" s="62"/>
      <c r="BW54" s="62"/>
      <c r="BX54" s="143"/>
      <c r="BY54" s="62"/>
      <c r="DA54" s="62"/>
      <c r="DF54" s="515"/>
      <c r="DG54" s="143"/>
      <c r="DH54" s="143"/>
      <c r="DI54" s="143"/>
      <c r="DJ54" s="143"/>
      <c r="FM54" s="143"/>
      <c r="JH54" s="143"/>
      <c r="JI54" s="143"/>
      <c r="JJ54" s="143"/>
      <c r="JK54" s="143"/>
      <c r="OO54" s="143"/>
      <c r="OP54" s="143"/>
      <c r="OR54" s="143"/>
      <c r="PF54" s="152"/>
      <c r="PJ54" s="143"/>
      <c r="RM54" s="152"/>
      <c r="AGV54" s="143"/>
      <c r="AIK54" s="143"/>
      <c r="AIL54" s="143"/>
      <c r="AIM54" s="143"/>
    </row>
    <row r="55" spans="2:923" s="511" customFormat="1" x14ac:dyDescent="0.25">
      <c r="B55" s="2338"/>
      <c r="C55" s="11" t="s">
        <v>340</v>
      </c>
      <c r="D55" s="512"/>
      <c r="E55" s="513"/>
      <c r="F55" s="738">
        <v>0</v>
      </c>
      <c r="G55" s="738">
        <v>0</v>
      </c>
      <c r="H55" s="1521">
        <v>0</v>
      </c>
      <c r="I55" s="738">
        <v>0</v>
      </c>
      <c r="J55" s="738">
        <v>0</v>
      </c>
      <c r="K55" s="738"/>
      <c r="L55" s="738"/>
      <c r="M55" s="738"/>
      <c r="N55" s="517"/>
      <c r="O55" s="517"/>
      <c r="P55" s="517"/>
      <c r="Q55" s="738"/>
      <c r="R55" s="517"/>
      <c r="S55" s="718"/>
      <c r="T55" s="519">
        <f>SUM(F55:Q55)</f>
        <v>0</v>
      </c>
      <c r="U55" s="674"/>
      <c r="V55" s="773"/>
      <c r="W55" s="62"/>
      <c r="X55" s="1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R55" s="62"/>
      <c r="AT55" s="801"/>
      <c r="AU55" s="801"/>
      <c r="AV55" s="365"/>
      <c r="AW55" s="62"/>
      <c r="AX55" s="1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V55" s="62"/>
      <c r="BW55" s="62"/>
      <c r="BX55" s="143"/>
      <c r="BY55" s="62"/>
      <c r="DA55" s="62"/>
      <c r="DF55" s="515"/>
      <c r="DG55" s="143"/>
      <c r="DH55" s="143"/>
      <c r="DI55" s="143"/>
      <c r="DJ55" s="143"/>
      <c r="FM55" s="143"/>
      <c r="JH55" s="143"/>
      <c r="JI55" s="143"/>
      <c r="JJ55" s="143"/>
      <c r="JK55" s="143"/>
      <c r="OO55" s="143"/>
      <c r="OP55" s="143"/>
      <c r="OR55" s="143"/>
      <c r="PF55" s="152"/>
      <c r="PJ55" s="143"/>
      <c r="RM55" s="152"/>
      <c r="AGV55" s="143"/>
      <c r="AIK55" s="143"/>
      <c r="AIL55" s="143"/>
      <c r="AIM55" s="143"/>
    </row>
    <row r="56" spans="2:923" x14ac:dyDescent="0.25">
      <c r="B56" s="2338"/>
      <c r="C56" s="520" t="s">
        <v>66</v>
      </c>
      <c r="D56" s="76"/>
      <c r="E56" s="76"/>
      <c r="F56" s="50"/>
      <c r="G56" s="50">
        <v>0</v>
      </c>
      <c r="H56" s="50">
        <v>0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717"/>
      <c r="T56" s="712" t="s">
        <v>128</v>
      </c>
      <c r="U56" s="675" t="s">
        <v>128</v>
      </c>
      <c r="V56" s="774" t="s">
        <v>128</v>
      </c>
      <c r="W56" s="62"/>
      <c r="X56" s="1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R56" s="62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CF56" s="1" t="s">
        <v>216</v>
      </c>
      <c r="DA56" s="1"/>
      <c r="OP56" s="141">
        <v>678</v>
      </c>
    </row>
    <row r="57" spans="2:923" x14ac:dyDescent="0.25">
      <c r="B57" s="2338"/>
      <c r="C57" s="522" t="s">
        <v>65</v>
      </c>
      <c r="D57" s="463">
        <v>94.2</v>
      </c>
      <c r="E57" s="513" t="s">
        <v>25</v>
      </c>
      <c r="F57" s="523">
        <v>0</v>
      </c>
      <c r="G57" s="440">
        <f>'[6]FEBUARI 2025'!$AK$59</f>
        <v>94.592324885186642</v>
      </c>
      <c r="H57" s="440">
        <f>'[8]MARET 2025'!$AK$59</f>
        <v>84.757610872609973</v>
      </c>
      <c r="I57" s="523">
        <v>0</v>
      </c>
      <c r="J57" s="523">
        <v>0</v>
      </c>
      <c r="K57" s="274">
        <f>'JUNI 2025'!AL60</f>
        <v>94.78756384244997</v>
      </c>
      <c r="L57" s="440"/>
      <c r="M57" s="440"/>
      <c r="N57" s="440"/>
      <c r="O57" s="440"/>
      <c r="P57" s="1737"/>
      <c r="Q57" s="440"/>
      <c r="R57" s="440"/>
      <c r="S57" s="718"/>
      <c r="T57" s="524">
        <f>(T19/(T11))*100</f>
        <v>93.774889557438229</v>
      </c>
      <c r="U57" s="525">
        <f>(U19/(U11))*100</f>
        <v>94.769966822822482</v>
      </c>
      <c r="V57" s="775"/>
      <c r="W57" s="809"/>
      <c r="X57" s="1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R57" s="62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  <c r="OP57" s="141">
        <v>420</v>
      </c>
      <c r="OR57" s="481">
        <f>OP57/OP56*100</f>
        <v>61.946902654867252</v>
      </c>
    </row>
    <row r="58" spans="2:923" x14ac:dyDescent="0.25">
      <c r="B58" s="2338"/>
      <c r="C58" s="522" t="s">
        <v>64</v>
      </c>
      <c r="D58" s="463">
        <v>5</v>
      </c>
      <c r="E58" s="513" t="s">
        <v>25</v>
      </c>
      <c r="F58" s="523">
        <v>0</v>
      </c>
      <c r="G58" s="440">
        <f>'[6]FEBUARI 2025'!$AK$60</f>
        <v>4.6286723697383003</v>
      </c>
      <c r="H58" s="440">
        <f>'[8]MARET 2025'!$AK$60</f>
        <v>4.0016389665728376</v>
      </c>
      <c r="I58" s="523">
        <v>0</v>
      </c>
      <c r="J58" s="523">
        <v>0</v>
      </c>
      <c r="K58" s="274">
        <f>'JUNI 2025'!AL61</f>
        <v>4.8633015529450176</v>
      </c>
      <c r="L58" s="440"/>
      <c r="M58" s="440"/>
      <c r="N58" s="440"/>
      <c r="O58" s="440"/>
      <c r="P58" s="1737"/>
      <c r="Q58" s="440"/>
      <c r="R58" s="440"/>
      <c r="S58" s="718"/>
      <c r="T58" s="524">
        <f>(T20/(T11))*100</f>
        <v>4.6808716226842924</v>
      </c>
      <c r="U58" s="525">
        <f>(U20/(U11))*100</f>
        <v>4.5147541139225487</v>
      </c>
      <c r="V58" s="775"/>
      <c r="W58" s="809"/>
      <c r="X58" s="1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R58" s="62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  <c r="OP58" s="141">
        <f>OP56-OP57</f>
        <v>258</v>
      </c>
      <c r="OR58" s="481">
        <f>OP58/OP56*100</f>
        <v>38.053097345132741</v>
      </c>
    </row>
    <row r="59" spans="2:923" x14ac:dyDescent="0.25">
      <c r="B59" s="2338"/>
      <c r="C59" s="522" t="s">
        <v>63</v>
      </c>
      <c r="D59" s="463">
        <v>82</v>
      </c>
      <c r="E59" s="513" t="s">
        <v>25</v>
      </c>
      <c r="F59" s="523">
        <v>0</v>
      </c>
      <c r="G59" s="440">
        <f>'[6]FEBUARI 2025'!$AK$61</f>
        <v>80.570285806356836</v>
      </c>
      <c r="H59" s="440">
        <f>'[8]MARET 2025'!$AK$61</f>
        <v>82.80482652183008</v>
      </c>
      <c r="I59" s="523">
        <v>0</v>
      </c>
      <c r="J59" s="523">
        <v>0</v>
      </c>
      <c r="K59" s="274">
        <f>'JUNI 2025'!AL62</f>
        <v>80.514103413850478</v>
      </c>
      <c r="L59" s="440"/>
      <c r="M59" s="440"/>
      <c r="N59" s="440"/>
      <c r="O59" s="440"/>
      <c r="P59" s="1737"/>
      <c r="Q59" s="440"/>
      <c r="R59" s="440"/>
      <c r="S59" s="718"/>
      <c r="T59" s="524">
        <f>(T27/T26)*100</f>
        <v>80.917654511649545</v>
      </c>
      <c r="U59" s="525">
        <f>(U27/U26)*100</f>
        <v>82.036627687232993</v>
      </c>
      <c r="V59" s="775"/>
      <c r="W59" s="809"/>
      <c r="X59" s="1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R59" s="62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</row>
    <row r="60" spans="2:923" x14ac:dyDescent="0.25">
      <c r="B60" s="2338"/>
      <c r="C60" s="522" t="s">
        <v>62</v>
      </c>
      <c r="D60" s="463">
        <v>18</v>
      </c>
      <c r="E60" s="513" t="s">
        <v>25</v>
      </c>
      <c r="F60" s="523">
        <v>0</v>
      </c>
      <c r="G60" s="440">
        <f>'[6]FEBUARI 2025'!$AK$62</f>
        <v>19.429714193643164</v>
      </c>
      <c r="H60" s="440">
        <f>'[8]MARET 2025'!$AK$62</f>
        <v>17.195173478169924</v>
      </c>
      <c r="I60" s="523">
        <v>0</v>
      </c>
      <c r="J60" s="523">
        <v>0</v>
      </c>
      <c r="K60" s="274">
        <f>'JUNI 2025'!AL63</f>
        <v>19.485896586149519</v>
      </c>
      <c r="L60" s="440"/>
      <c r="M60" s="440"/>
      <c r="N60" s="440"/>
      <c r="O60" s="440"/>
      <c r="P60" s="1741"/>
      <c r="Q60" s="440"/>
      <c r="R60" s="440"/>
      <c r="S60" s="718"/>
      <c r="T60" s="524">
        <f>(T28/T26)*100</f>
        <v>19.082345488350462</v>
      </c>
      <c r="U60" s="525">
        <f>(U28/U26)*100</f>
        <v>17.963372312767007</v>
      </c>
      <c r="V60" s="775"/>
      <c r="W60" s="809"/>
      <c r="X60" s="1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R60" s="62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</row>
    <row r="61" spans="2:923" hidden="1" x14ac:dyDescent="0.25">
      <c r="B61" s="2338"/>
      <c r="C61" s="522" t="s">
        <v>106</v>
      </c>
      <c r="D61" s="526">
        <v>75</v>
      </c>
      <c r="E61" s="513" t="s">
        <v>25</v>
      </c>
      <c r="F61" s="440">
        <v>0</v>
      </c>
      <c r="G61" s="440">
        <v>0</v>
      </c>
      <c r="H61" s="440">
        <v>0</v>
      </c>
      <c r="I61" s="440">
        <v>0</v>
      </c>
      <c r="J61" s="440">
        <v>0</v>
      </c>
      <c r="K61" s="440"/>
      <c r="L61" s="440"/>
      <c r="M61" s="440"/>
      <c r="N61" s="440"/>
      <c r="O61" s="440"/>
      <c r="P61" s="440"/>
      <c r="Q61" s="440"/>
      <c r="R61" s="440"/>
      <c r="S61" s="718"/>
      <c r="T61" s="524" t="e">
        <f>(T31/T30)*100</f>
        <v>#DIV/0!</v>
      </c>
      <c r="U61" s="525">
        <v>75</v>
      </c>
      <c r="V61" s="775"/>
      <c r="W61" s="809"/>
      <c r="X61" s="306"/>
      <c r="Y61" s="804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R61" s="62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2:923" hidden="1" x14ac:dyDescent="0.25">
      <c r="B62" s="2338"/>
      <c r="C62" s="522" t="s">
        <v>62</v>
      </c>
      <c r="D62" s="526">
        <v>25</v>
      </c>
      <c r="E62" s="513" t="s">
        <v>25</v>
      </c>
      <c r="F62" s="440">
        <v>0</v>
      </c>
      <c r="G62" s="440">
        <v>0</v>
      </c>
      <c r="H62" s="440">
        <v>0</v>
      </c>
      <c r="I62" s="440">
        <v>0</v>
      </c>
      <c r="J62" s="440">
        <v>0</v>
      </c>
      <c r="K62" s="440"/>
      <c r="L62" s="440"/>
      <c r="M62" s="440"/>
      <c r="N62" s="440"/>
      <c r="O62" s="440"/>
      <c r="P62" s="440"/>
      <c r="Q62" s="440"/>
      <c r="R62" s="440"/>
      <c r="S62" s="718"/>
      <c r="T62" s="524" t="e">
        <f>(T32/T30)*100</f>
        <v>#DIV/0!</v>
      </c>
      <c r="U62" s="525">
        <v>25</v>
      </c>
      <c r="V62" s="775"/>
      <c r="W62" s="809"/>
      <c r="X62" s="306"/>
      <c r="Y62" s="804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R62" s="62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2:923" hidden="1" x14ac:dyDescent="0.25">
      <c r="B63" s="2338"/>
      <c r="C63" s="522" t="s">
        <v>108</v>
      </c>
      <c r="D63" s="463">
        <v>75</v>
      </c>
      <c r="E63" s="513" t="s">
        <v>25</v>
      </c>
      <c r="F63" s="440" t="e">
        <v>#DIV/0!</v>
      </c>
      <c r="G63" s="440">
        <v>0</v>
      </c>
      <c r="H63" s="440">
        <v>0</v>
      </c>
      <c r="I63" s="440" t="e">
        <v>#DIV/0!</v>
      </c>
      <c r="J63" s="440" t="e">
        <v>#DIV/0!</v>
      </c>
      <c r="K63" s="440"/>
      <c r="L63" s="440"/>
      <c r="M63" s="440"/>
      <c r="N63" s="440"/>
      <c r="O63" s="440"/>
      <c r="P63" s="440"/>
      <c r="Q63" s="440"/>
      <c r="R63" s="440"/>
      <c r="S63" s="718"/>
      <c r="T63" s="524" t="e">
        <f>(T36/T35)*100</f>
        <v>#DIV/0!</v>
      </c>
      <c r="U63" s="525">
        <v>75</v>
      </c>
      <c r="V63" s="775"/>
      <c r="W63" s="809"/>
      <c r="X63" s="140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R63" s="62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</row>
    <row r="64" spans="2:923" hidden="1" x14ac:dyDescent="0.25">
      <c r="B64" s="2338"/>
      <c r="C64" s="522" t="s">
        <v>62</v>
      </c>
      <c r="D64" s="463">
        <v>25</v>
      </c>
      <c r="E64" s="513" t="s">
        <v>25</v>
      </c>
      <c r="F64" s="440" t="e">
        <v>#DIV/0!</v>
      </c>
      <c r="G64" s="440">
        <v>0</v>
      </c>
      <c r="H64" s="440">
        <v>0</v>
      </c>
      <c r="I64" s="440" t="e">
        <v>#DIV/0!</v>
      </c>
      <c r="J64" s="440" t="e">
        <v>#DIV/0!</v>
      </c>
      <c r="K64" s="440"/>
      <c r="L64" s="440"/>
      <c r="M64" s="440"/>
      <c r="N64" s="440"/>
      <c r="O64" s="440"/>
      <c r="P64" s="440"/>
      <c r="Q64" s="440"/>
      <c r="R64" s="440"/>
      <c r="S64" s="525"/>
      <c r="T64" s="524" t="e">
        <f>(T37/T35)*100</f>
        <v>#DIV/0!</v>
      </c>
      <c r="U64" s="525">
        <v>25</v>
      </c>
      <c r="V64" s="775"/>
      <c r="W64" s="809"/>
      <c r="X64" s="1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R64" s="62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  <c r="FN64" s="1">
        <v>95.03</v>
      </c>
    </row>
    <row r="65" spans="2:936" x14ac:dyDescent="0.25">
      <c r="B65" s="2338"/>
      <c r="C65" s="522" t="s">
        <v>111</v>
      </c>
      <c r="D65" s="463">
        <v>70</v>
      </c>
      <c r="E65" s="513" t="s">
        <v>25</v>
      </c>
      <c r="F65" s="440">
        <v>0</v>
      </c>
      <c r="G65" s="440">
        <f>'[6]FEBUARI 2025'!$AK$67</f>
        <v>74.398113144217888</v>
      </c>
      <c r="H65" s="440">
        <v>0</v>
      </c>
      <c r="I65" s="440">
        <v>0</v>
      </c>
      <c r="J65" s="440">
        <v>0</v>
      </c>
      <c r="K65" s="440"/>
      <c r="L65" s="440"/>
      <c r="M65" s="440"/>
      <c r="N65" s="440"/>
      <c r="O65" s="440"/>
      <c r="P65" s="1738"/>
      <c r="Q65" s="440"/>
      <c r="R65" s="440"/>
      <c r="S65" s="525"/>
      <c r="T65" s="524">
        <f>(T40/T39)*100</f>
        <v>74.398113144217888</v>
      </c>
      <c r="U65" s="525">
        <v>70</v>
      </c>
      <c r="V65" s="775"/>
      <c r="W65" s="809"/>
      <c r="X65" s="1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R65" s="62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  <c r="FN65" s="1"/>
    </row>
    <row r="66" spans="2:936" x14ac:dyDescent="0.25">
      <c r="B66" s="2338"/>
      <c r="C66" s="522" t="s">
        <v>62</v>
      </c>
      <c r="D66" s="463">
        <v>30</v>
      </c>
      <c r="E66" s="513" t="s">
        <v>25</v>
      </c>
      <c r="F66" s="440">
        <v>0</v>
      </c>
      <c r="G66" s="440">
        <f>'[6]FEBUARI 2025'!$AK$68</f>
        <v>25.601886855782109</v>
      </c>
      <c r="H66" s="440">
        <v>0</v>
      </c>
      <c r="I66" s="440">
        <v>0</v>
      </c>
      <c r="J66" s="440">
        <v>0</v>
      </c>
      <c r="K66" s="440"/>
      <c r="L66" s="440"/>
      <c r="M66" s="440"/>
      <c r="N66" s="440"/>
      <c r="O66" s="440"/>
      <c r="P66" s="1736"/>
      <c r="Q66" s="440"/>
      <c r="R66" s="440"/>
      <c r="S66" s="525"/>
      <c r="T66" s="524">
        <f>(T41/T39)*100</f>
        <v>25.601886855782109</v>
      </c>
      <c r="U66" s="525">
        <v>30</v>
      </c>
      <c r="V66" s="775"/>
      <c r="W66" s="809"/>
      <c r="X66" s="1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R66" s="62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/>
    </row>
    <row r="67" spans="2:936" x14ac:dyDescent="0.25">
      <c r="B67" s="2338"/>
      <c r="C67" s="522" t="s">
        <v>61</v>
      </c>
      <c r="D67" s="463">
        <v>60</v>
      </c>
      <c r="E67" s="513" t="s">
        <v>25</v>
      </c>
      <c r="F67" s="523">
        <v>0</v>
      </c>
      <c r="G67" s="440">
        <f>'[6]FEBUARI 2025'!$AK$71</f>
        <v>61.7376980485937</v>
      </c>
      <c r="H67" s="440">
        <v>0</v>
      </c>
      <c r="I67" s="523">
        <v>0</v>
      </c>
      <c r="J67" s="523">
        <v>0</v>
      </c>
      <c r="K67" s="440"/>
      <c r="L67" s="440"/>
      <c r="M67" s="440"/>
      <c r="N67" s="440"/>
      <c r="O67" s="440"/>
      <c r="P67" s="440"/>
      <c r="Q67" s="440"/>
      <c r="R67" s="440"/>
      <c r="S67" s="718"/>
      <c r="T67" s="524">
        <f>(T51/T49)*100</f>
        <v>61.684219644416849</v>
      </c>
      <c r="U67" s="525">
        <f>U51/U49*100</f>
        <v>60.00488639139995</v>
      </c>
      <c r="V67" s="775"/>
      <c r="W67" s="809"/>
      <c r="X67" s="1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R67" s="62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>
        <v>4.2300000000000004</v>
      </c>
      <c r="OR67" s="141">
        <f>OR68/94.2%</f>
        <v>1307.8556263269638</v>
      </c>
      <c r="OS67" s="1" t="s">
        <v>341</v>
      </c>
    </row>
    <row r="68" spans="2:936" x14ac:dyDescent="0.25">
      <c r="B68" s="2339"/>
      <c r="C68" s="522" t="s">
        <v>60</v>
      </c>
      <c r="D68" s="463">
        <v>40</v>
      </c>
      <c r="E68" s="513" t="s">
        <v>25</v>
      </c>
      <c r="F68" s="523">
        <v>0</v>
      </c>
      <c r="G68" s="440">
        <f>'[6]FEBUARI 2025'!$AK$72</f>
        <v>38.34899901020858</v>
      </c>
      <c r="H68" s="440">
        <v>0</v>
      </c>
      <c r="I68" s="523">
        <v>0</v>
      </c>
      <c r="J68" s="523">
        <v>0</v>
      </c>
      <c r="K68" s="440"/>
      <c r="L68" s="440"/>
      <c r="M68" s="440"/>
      <c r="N68" s="440"/>
      <c r="O68" s="440"/>
      <c r="P68" s="440"/>
      <c r="Q68" s="440"/>
      <c r="R68" s="440"/>
      <c r="S68" s="525"/>
      <c r="T68" s="527">
        <f>(T52/T49)*100</f>
        <v>38.315780355583144</v>
      </c>
      <c r="U68" s="525">
        <f>U52/U49*100</f>
        <v>39.99511360860005</v>
      </c>
      <c r="V68" s="776"/>
      <c r="W68" s="809"/>
      <c r="X68" s="1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R68" s="62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1">
        <f>100-FN64-FN67</f>
        <v>0.73999999999999844</v>
      </c>
      <c r="OR68" s="141">
        <f>22*56</f>
        <v>1232</v>
      </c>
      <c r="OS68" s="1" t="s">
        <v>342</v>
      </c>
    </row>
    <row r="69" spans="2:936" x14ac:dyDescent="0.25">
      <c r="B69" s="2337">
        <v>3</v>
      </c>
      <c r="C69" s="528" t="s">
        <v>59</v>
      </c>
      <c r="D69" s="76"/>
      <c r="E69" s="76"/>
      <c r="F69" s="51"/>
      <c r="G69" s="50"/>
      <c r="H69" s="529">
        <v>0</v>
      </c>
      <c r="I69" s="51"/>
      <c r="J69" s="51"/>
      <c r="K69" s="50"/>
      <c r="L69" s="50"/>
      <c r="M69" s="50"/>
      <c r="N69" s="50"/>
      <c r="O69" s="50"/>
      <c r="P69" s="50"/>
      <c r="Q69" s="50"/>
      <c r="R69" s="50"/>
      <c r="S69" s="717"/>
      <c r="T69" s="600" t="s">
        <v>129</v>
      </c>
      <c r="U69" s="676" t="s">
        <v>129</v>
      </c>
      <c r="V69" s="777" t="s">
        <v>129</v>
      </c>
      <c r="W69" s="62"/>
      <c r="X69" s="1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R69" s="62"/>
      <c r="AT69" s="1"/>
      <c r="AU69" s="1"/>
      <c r="AV69" s="1"/>
      <c r="AW69" s="1"/>
      <c r="AX69" s="3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41"/>
      <c r="BT69" s="1"/>
      <c r="BV69" s="1"/>
      <c r="BW69" s="1"/>
      <c r="BX69" s="1"/>
      <c r="BY69" s="1"/>
      <c r="DA69" s="1"/>
      <c r="OR69" s="141">
        <f>16.5*OR67</f>
        <v>21579.617834394903</v>
      </c>
    </row>
    <row r="70" spans="2:936" x14ac:dyDescent="0.25">
      <c r="B70" s="2338"/>
      <c r="C70" s="462" t="s">
        <v>58</v>
      </c>
      <c r="D70" s="463">
        <v>9</v>
      </c>
      <c r="E70" s="496" t="s">
        <v>56</v>
      </c>
      <c r="F70" s="530">
        <v>0</v>
      </c>
      <c r="G70" s="439">
        <f>'[6]FEBUARI 2025'!$AK$74</f>
        <v>134694</v>
      </c>
      <c r="H70" s="531">
        <f>'[8]MARET 2025'!$AK$74</f>
        <v>29720</v>
      </c>
      <c r="I70" s="530">
        <v>0</v>
      </c>
      <c r="J70" s="530">
        <v>0</v>
      </c>
      <c r="K70" s="439">
        <f>'JUNI 2025'!AL75</f>
        <v>153073</v>
      </c>
      <c r="L70" s="439"/>
      <c r="M70" s="439"/>
      <c r="N70" s="439"/>
      <c r="O70" s="439"/>
      <c r="P70" s="1742"/>
      <c r="Q70" s="439"/>
      <c r="R70" s="439"/>
      <c r="S70" s="717"/>
      <c r="T70" s="450">
        <f>SUM(F70:Q70)</f>
        <v>317487</v>
      </c>
      <c r="U70" s="666">
        <v>2767753</v>
      </c>
      <c r="V70" s="769">
        <f>T70/U70*100</f>
        <v>11.470929667495618</v>
      </c>
      <c r="W70" s="62"/>
      <c r="X70" s="1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R70" s="62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41"/>
      <c r="BT70" s="1"/>
      <c r="BV70" s="1"/>
      <c r="BW70" s="1"/>
      <c r="BX70" s="1"/>
      <c r="BY70" s="1"/>
      <c r="DA70" s="1"/>
    </row>
    <row r="71" spans="2:936" x14ac:dyDescent="0.25">
      <c r="B71" s="2338"/>
      <c r="C71" s="532"/>
      <c r="D71" s="476"/>
      <c r="E71" s="496" t="s">
        <v>25</v>
      </c>
      <c r="F71" s="523">
        <v>0</v>
      </c>
      <c r="G71" s="440">
        <f>'[6]FEBUARI 2025'!$AK$75</f>
        <v>0.8104535962456817</v>
      </c>
      <c r="H71" s="440">
        <f>'[8]MARET 2025'!$AK$75</f>
        <v>0.84742669702043394</v>
      </c>
      <c r="I71" s="523">
        <v>0</v>
      </c>
      <c r="J71" s="523">
        <v>0</v>
      </c>
      <c r="K71" s="440">
        <f>'JUNI 2025'!AL76</f>
        <v>8.5932405021066689</v>
      </c>
      <c r="L71" s="440"/>
      <c r="M71" s="440"/>
      <c r="N71" s="440"/>
      <c r="O71" s="440"/>
      <c r="P71" s="1743"/>
      <c r="Q71" s="440"/>
      <c r="R71" s="440"/>
      <c r="S71" s="717"/>
      <c r="T71" s="524">
        <f>T70/(T11)*100</f>
        <v>0.83681654361533309</v>
      </c>
      <c r="U71" s="677">
        <v>0.8</v>
      </c>
      <c r="V71" s="778">
        <v>0</v>
      </c>
      <c r="W71" s="804"/>
      <c r="X71" s="140"/>
      <c r="Y71" s="62"/>
      <c r="Z71" s="804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R71" s="62"/>
      <c r="AT71" s="1"/>
      <c r="AU71" s="1"/>
      <c r="AV71" s="1"/>
      <c r="AW71" s="1"/>
      <c r="AX71" s="140">
        <f>T71*10</f>
        <v>8.3681654361533315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4"/>
      <c r="BT71" s="1"/>
      <c r="BV71" s="1"/>
      <c r="BW71" s="1"/>
      <c r="BX71" s="1"/>
      <c r="BY71" s="1"/>
      <c r="DA71" s="1"/>
      <c r="FN71" s="481" t="e">
        <f>#REF!*10</f>
        <v>#REF!</v>
      </c>
      <c r="OO71" s="481"/>
      <c r="OR71" s="141">
        <f>OR67+(T48/1000)</f>
        <v>1307.8556263269638</v>
      </c>
      <c r="OS71" s="141" t="s">
        <v>343</v>
      </c>
    </row>
    <row r="72" spans="2:936" x14ac:dyDescent="0.25">
      <c r="B72" s="2338"/>
      <c r="C72" s="533" t="s">
        <v>57</v>
      </c>
      <c r="D72" s="534">
        <v>16</v>
      </c>
      <c r="E72" s="535" t="s">
        <v>56</v>
      </c>
      <c r="F72" s="536">
        <v>0</v>
      </c>
      <c r="G72" s="537">
        <v>0</v>
      </c>
      <c r="H72" s="538">
        <v>0</v>
      </c>
      <c r="I72" s="536">
        <v>0</v>
      </c>
      <c r="J72" s="536">
        <v>0</v>
      </c>
      <c r="K72" s="537"/>
      <c r="L72" s="537"/>
      <c r="M72" s="537"/>
      <c r="N72" s="537"/>
      <c r="O72" s="537"/>
      <c r="P72" s="537"/>
      <c r="Q72" s="537"/>
      <c r="R72" s="537"/>
      <c r="S72" s="717"/>
      <c r="T72" s="539">
        <f>SUM(F72:Q72)</f>
        <v>0</v>
      </c>
      <c r="U72" s="678">
        <v>1357284</v>
      </c>
      <c r="V72" s="769">
        <f>T72/U72*100</f>
        <v>0</v>
      </c>
      <c r="W72" s="62"/>
      <c r="X72" s="1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R72" s="62"/>
      <c r="AT72" s="433"/>
      <c r="AU72" s="433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V72" s="1"/>
      <c r="BW72" s="1"/>
      <c r="BX72" s="141"/>
      <c r="BY72" s="1"/>
      <c r="DA72" s="1"/>
      <c r="DF72" s="5"/>
      <c r="DG72" s="141"/>
      <c r="DH72" s="141"/>
      <c r="DI72" s="141"/>
      <c r="DJ72" s="141"/>
      <c r="FM72" s="141"/>
      <c r="FN72" s="481"/>
      <c r="JH72" s="141"/>
      <c r="JI72" s="141"/>
      <c r="JJ72" s="141"/>
      <c r="JK72" s="141"/>
      <c r="OO72" s="141"/>
      <c r="OP72" s="141"/>
      <c r="OR72" s="141">
        <f>OR69+T72</f>
        <v>21579.617834394903</v>
      </c>
      <c r="OS72" s="141" t="s">
        <v>344</v>
      </c>
      <c r="PF72" s="481"/>
      <c r="PJ72" s="141"/>
      <c r="RM72" s="481"/>
      <c r="AGV72" s="141"/>
      <c r="AIK72" s="141"/>
      <c r="AIL72" s="141"/>
      <c r="AIM72" s="141"/>
    </row>
    <row r="73" spans="2:936" x14ac:dyDescent="0.25">
      <c r="B73" s="2338"/>
      <c r="C73" s="540"/>
      <c r="D73" s="541"/>
      <c r="E73" s="542" t="s">
        <v>25</v>
      </c>
      <c r="F73" s="543">
        <v>0</v>
      </c>
      <c r="G73" s="544">
        <v>0</v>
      </c>
      <c r="H73" s="544">
        <v>0</v>
      </c>
      <c r="I73" s="543">
        <v>0</v>
      </c>
      <c r="J73" s="543">
        <v>0</v>
      </c>
      <c r="K73" s="544"/>
      <c r="L73" s="544"/>
      <c r="M73" s="544"/>
      <c r="N73" s="544"/>
      <c r="O73" s="544"/>
      <c r="P73" s="544"/>
      <c r="Q73" s="544"/>
      <c r="R73" s="544"/>
      <c r="S73" s="717"/>
      <c r="T73" s="707" t="e">
        <f>T72/(T13)*100</f>
        <v>#DIV/0!</v>
      </c>
      <c r="U73" s="679">
        <v>1.8</v>
      </c>
      <c r="V73" s="779">
        <v>0</v>
      </c>
      <c r="W73" s="804"/>
      <c r="X73" s="140"/>
      <c r="Y73" s="62"/>
      <c r="Z73" s="804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R73" s="62"/>
      <c r="AT73" s="433"/>
      <c r="AU73" s="433"/>
      <c r="AV73" s="1"/>
      <c r="AW73" s="1"/>
      <c r="AX73" s="140" t="e">
        <f>T73*10</f>
        <v>#DIV/0!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4"/>
      <c r="BT73" s="1"/>
      <c r="BV73" s="1"/>
      <c r="BW73" s="1"/>
      <c r="BX73" s="141"/>
      <c r="BY73" s="1"/>
      <c r="DA73" s="1"/>
      <c r="DF73" s="5"/>
      <c r="DG73" s="141"/>
      <c r="DH73" s="141"/>
      <c r="DI73" s="141"/>
      <c r="DJ73" s="141"/>
      <c r="FM73" s="141"/>
      <c r="FN73" s="481"/>
      <c r="JH73" s="141"/>
      <c r="JI73" s="141"/>
      <c r="JJ73" s="141"/>
      <c r="JK73" s="141"/>
      <c r="OO73" s="481"/>
      <c r="OP73" s="141"/>
      <c r="OR73" s="545">
        <f>OR72/OR71</f>
        <v>16.5</v>
      </c>
      <c r="OS73" s="546" t="s">
        <v>245</v>
      </c>
      <c r="PF73" s="481"/>
      <c r="PJ73" s="141"/>
      <c r="RM73" s="481"/>
      <c r="AGV73" s="141"/>
      <c r="AIK73" s="141"/>
      <c r="AIL73" s="141"/>
      <c r="AIM73" s="141"/>
    </row>
    <row r="74" spans="2:936" x14ac:dyDescent="0.25">
      <c r="B74" s="2338"/>
      <c r="C74" s="462" t="s">
        <v>55</v>
      </c>
      <c r="D74" s="463">
        <v>0.6</v>
      </c>
      <c r="E74" s="496" t="s">
        <v>14</v>
      </c>
      <c r="F74" s="530">
        <v>0</v>
      </c>
      <c r="G74" s="439">
        <f>'[6]FEBUARI 2025'!$AK$82</f>
        <v>16720.539999999997</v>
      </c>
      <c r="H74" s="531">
        <f>'[8]MARET 2025'!$AK$82</f>
        <v>1701.44</v>
      </c>
      <c r="I74" s="530">
        <v>0</v>
      </c>
      <c r="J74" s="530">
        <v>0</v>
      </c>
      <c r="K74" s="439">
        <f>'JUNI 2025'!AL83</f>
        <v>8793.24</v>
      </c>
      <c r="L74" s="439"/>
      <c r="M74" s="530"/>
      <c r="N74" s="1573"/>
      <c r="O74" s="531"/>
      <c r="P74" s="1745"/>
      <c r="Q74" s="439"/>
      <c r="R74" s="439"/>
      <c r="S74" s="717"/>
      <c r="T74" s="539">
        <f>SUM(F74:Q74)</f>
        <v>27215.219999999994</v>
      </c>
      <c r="U74" s="678">
        <v>252824</v>
      </c>
      <c r="V74" s="780">
        <f>SUM(H74:T74)</f>
        <v>37709.899999999994</v>
      </c>
      <c r="W74" s="515"/>
      <c r="X74" s="1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R74" s="62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481"/>
      <c r="OR74" s="481">
        <v>16</v>
      </c>
      <c r="OS74" s="1" t="s">
        <v>345</v>
      </c>
    </row>
    <row r="75" spans="2:936" x14ac:dyDescent="0.25">
      <c r="B75" s="2339"/>
      <c r="C75" s="547"/>
      <c r="D75" s="476"/>
      <c r="E75" s="548" t="s">
        <v>25</v>
      </c>
      <c r="F75" s="549">
        <v>0</v>
      </c>
      <c r="G75" s="550">
        <f>G74/G11*100</f>
        <v>0.10060746413477785</v>
      </c>
      <c r="H75" s="550">
        <f>'[8]MARET 2025'!$AK$83</f>
        <v>0.48514322993891229</v>
      </c>
      <c r="I75" s="549">
        <v>0</v>
      </c>
      <c r="J75" s="549">
        <v>0</v>
      </c>
      <c r="K75" s="550">
        <f>'JUNI 2025'!AL84</f>
        <v>0.49363654016544034</v>
      </c>
      <c r="L75" s="550"/>
      <c r="M75" s="550"/>
      <c r="N75" s="550"/>
      <c r="O75" s="550"/>
      <c r="P75" s="1744"/>
      <c r="Q75" s="550"/>
      <c r="R75" s="550"/>
      <c r="S75" s="720"/>
      <c r="T75" s="303">
        <f>T74/(T11+71450)*100</f>
        <v>7.1597695917164847E-2</v>
      </c>
      <c r="U75" s="680">
        <v>0.06</v>
      </c>
      <c r="V75" s="781">
        <f>V74/(V11+71450)*100</f>
        <v>52.77796008334338</v>
      </c>
      <c r="W75" s="62"/>
      <c r="X75" s="140"/>
      <c r="Y75" s="62"/>
      <c r="Z75" s="804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R75" s="62"/>
      <c r="AT75" s="1"/>
      <c r="AU75" s="1"/>
      <c r="AV75" s="1"/>
      <c r="AW75" s="1"/>
      <c r="AX75" s="140">
        <f>T75*10</f>
        <v>0.7159769591716485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V75" s="1"/>
      <c r="BW75" s="1"/>
      <c r="BX75" s="1"/>
      <c r="BY75" s="1"/>
      <c r="DA75" s="1"/>
      <c r="FN75" s="481">
        <f>Q75*10</f>
        <v>0</v>
      </c>
      <c r="OO75" s="481"/>
      <c r="OR75" s="481">
        <f>OR73-OR74</f>
        <v>0.5</v>
      </c>
      <c r="OS75" s="1" t="s">
        <v>346</v>
      </c>
    </row>
    <row r="76" spans="2:936" x14ac:dyDescent="0.25">
      <c r="B76" s="721">
        <v>4</v>
      </c>
      <c r="C76" s="551" t="s">
        <v>347</v>
      </c>
      <c r="D76" s="552">
        <v>0.8</v>
      </c>
      <c r="E76" s="499" t="s">
        <v>25</v>
      </c>
      <c r="F76" s="553">
        <v>0</v>
      </c>
      <c r="G76" s="554">
        <f>'[6]FEBUARI 2025'!$AK$84</f>
        <v>-0.77900274507505674</v>
      </c>
      <c r="H76" s="554">
        <f>'[8]MARET 2025'!$AK$84</f>
        <v>-11.24075016081718</v>
      </c>
      <c r="I76" s="553">
        <v>0</v>
      </c>
      <c r="J76" s="553">
        <v>0</v>
      </c>
      <c r="K76" s="554">
        <f>'JUNI 2025'!AL85</f>
        <v>-0.34913460460500417</v>
      </c>
      <c r="L76" s="554"/>
      <c r="M76" s="554"/>
      <c r="N76" s="554"/>
      <c r="O76" s="554"/>
      <c r="P76" s="1746"/>
      <c r="Q76" s="554"/>
      <c r="R76" s="554"/>
      <c r="S76" s="722"/>
      <c r="T76" s="304">
        <f>((SUM(T19:T20))-(SUM(T11)))/(SUM(T11))*100</f>
        <v>-1.5442388198774708</v>
      </c>
      <c r="U76" s="681">
        <f>((SUM(U19:U20))-(SUM(U11)))/(SUM(U11))*100</f>
        <v>-0.71527906325497059</v>
      </c>
      <c r="V76" s="767">
        <f>T76/U76*100</f>
        <v>215.89319458760764</v>
      </c>
      <c r="W76" s="809"/>
      <c r="X76" s="1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R76" s="62"/>
      <c r="AT76" s="801"/>
      <c r="AU76" s="801"/>
      <c r="AV76" s="1"/>
      <c r="AW76" s="1"/>
      <c r="AX76" s="137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3"/>
      <c r="BY76" s="1"/>
      <c r="DA76" s="1"/>
      <c r="DF76" s="515"/>
      <c r="DG76" s="143"/>
      <c r="DH76" s="143"/>
      <c r="DI76" s="143"/>
      <c r="DJ76" s="143"/>
      <c r="FM76" s="143"/>
      <c r="JH76" s="143"/>
      <c r="JI76" s="143"/>
      <c r="JJ76" s="143"/>
      <c r="JK76" s="143"/>
      <c r="OO76" s="143"/>
      <c r="OP76" s="143"/>
      <c r="OR76" s="481"/>
      <c r="PF76" s="152"/>
      <c r="PJ76" s="143"/>
      <c r="RM76" s="152"/>
      <c r="AGV76" s="143"/>
      <c r="AIK76" s="143"/>
      <c r="AIL76" s="143"/>
      <c r="AIM76" s="143"/>
    </row>
    <row r="77" spans="2:936" x14ac:dyDescent="0.25">
      <c r="B77" s="723"/>
      <c r="C77" s="522" t="s">
        <v>54</v>
      </c>
      <c r="D77" s="555">
        <v>22</v>
      </c>
      <c r="E77" s="513" t="s">
        <v>25</v>
      </c>
      <c r="F77" s="440">
        <v>0</v>
      </c>
      <c r="G77" s="440">
        <f>'[6]FEBUARI 2025'!$AK$86</f>
        <v>19.381666666666668</v>
      </c>
      <c r="H77" s="440">
        <f>'[8]MARET 2025'!$AK$86</f>
        <v>13.4725</v>
      </c>
      <c r="I77" s="440">
        <v>0</v>
      </c>
      <c r="J77" s="440">
        <v>0</v>
      </c>
      <c r="K77" s="440">
        <f>'JUNI 2025'!AL87</f>
        <v>21.014000000000003</v>
      </c>
      <c r="L77" s="440"/>
      <c r="M77" s="440"/>
      <c r="N77" s="440"/>
      <c r="O77" s="440"/>
      <c r="P77" s="1747"/>
      <c r="Q77" s="440"/>
      <c r="R77" s="440"/>
      <c r="S77" s="718"/>
      <c r="T77" s="84">
        <f>AVERAGE(G77:K77)</f>
        <v>10.773633333333335</v>
      </c>
      <c r="U77" s="682">
        <v>22</v>
      </c>
      <c r="V77" s="773">
        <f>AVERAGE(H77:T77)</f>
        <v>9.0520266666666682</v>
      </c>
      <c r="W77" s="62"/>
      <c r="X77" s="1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R77" s="62"/>
      <c r="AT77" s="801"/>
      <c r="AU77" s="801"/>
      <c r="AV77" s="1"/>
      <c r="AW77" s="1"/>
      <c r="AX77" s="62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V77" s="1"/>
      <c r="BW77" s="1"/>
      <c r="BX77" s="143"/>
      <c r="BY77" s="1"/>
      <c r="DA77" s="1"/>
      <c r="DF77" s="515"/>
      <c r="DG77" s="143"/>
      <c r="DH77" s="143"/>
      <c r="DI77" s="143"/>
      <c r="DJ77" s="143"/>
      <c r="FM77" s="143"/>
      <c r="JH77" s="143"/>
      <c r="JI77" s="143"/>
      <c r="JJ77" s="143"/>
      <c r="JK77" s="143"/>
      <c r="OO77" s="143"/>
      <c r="OP77" s="143"/>
      <c r="OR77" s="143"/>
      <c r="PF77" s="152"/>
      <c r="PJ77" s="143"/>
      <c r="RM77" s="152"/>
      <c r="AGV77" s="143"/>
      <c r="AIK77" s="143"/>
      <c r="AIL77" s="143"/>
      <c r="AIM77" s="143"/>
    </row>
    <row r="78" spans="2:936" x14ac:dyDescent="0.25">
      <c r="B78" s="724"/>
      <c r="C78" s="556" t="s">
        <v>53</v>
      </c>
      <c r="D78" s="476"/>
      <c r="E78" s="557" t="s">
        <v>14</v>
      </c>
      <c r="F78" s="440">
        <v>0</v>
      </c>
      <c r="G78" s="440">
        <f>'[6]FEBUARI 2025'!$AK$87</f>
        <v>136702.14939230768</v>
      </c>
      <c r="H78" s="440">
        <f>'[8]MARET 2025'!$AK$87</f>
        <v>31054.675666666666</v>
      </c>
      <c r="I78" s="440">
        <v>0</v>
      </c>
      <c r="J78" s="440">
        <v>0</v>
      </c>
      <c r="K78" s="440">
        <f>'JUNI 2025'!AL88</f>
        <v>156289.676022</v>
      </c>
      <c r="L78" s="440"/>
      <c r="M78" s="440"/>
      <c r="N78" s="440"/>
      <c r="O78" s="440"/>
      <c r="P78" s="960"/>
      <c r="Q78" s="440"/>
      <c r="R78" s="440"/>
      <c r="S78" s="718"/>
      <c r="T78" s="558">
        <f>SUM(T70,T72)+(T77%*SUM(T70,T72))</f>
        <v>351691.88526100002</v>
      </c>
      <c r="U78" s="683">
        <v>7811279</v>
      </c>
      <c r="V78" s="782">
        <f>SUM(V70,V72)+(V77%*SUM(V70,V72))</f>
        <v>12.5092812799119</v>
      </c>
      <c r="W78" s="810"/>
      <c r="X78" s="6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R78" s="62"/>
      <c r="AX78" s="62"/>
      <c r="BG78" s="143"/>
      <c r="BH78" s="143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CK78" s="143"/>
      <c r="DA78" s="1"/>
      <c r="DS78" s="515"/>
      <c r="DT78" s="143"/>
      <c r="DU78" s="143"/>
      <c r="DV78" s="143"/>
      <c r="DW78" s="143"/>
      <c r="FZ78" s="143"/>
      <c r="GA78" s="365">
        <f>X78+400</f>
        <v>400</v>
      </c>
      <c r="JU78" s="143"/>
      <c r="JV78" s="143"/>
      <c r="JW78" s="143"/>
      <c r="JX78" s="143"/>
      <c r="PB78" s="143"/>
      <c r="PC78" s="143"/>
      <c r="PE78" s="143"/>
      <c r="PS78" s="152"/>
      <c r="PW78" s="143"/>
      <c r="RZ78" s="152"/>
      <c r="AHI78" s="143"/>
      <c r="AIX78" s="143"/>
      <c r="AIY78" s="143"/>
      <c r="AIZ78" s="143"/>
    </row>
    <row r="79" spans="2:936" hidden="1" x14ac:dyDescent="0.25">
      <c r="B79" s="725">
        <v>5</v>
      </c>
      <c r="C79" s="419" t="s">
        <v>52</v>
      </c>
      <c r="D79" s="48"/>
      <c r="E79" s="48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3"/>
      <c r="T79" s="521" t="s">
        <v>130</v>
      </c>
      <c r="U79" s="675" t="s">
        <v>130</v>
      </c>
      <c r="V79" s="774" t="s">
        <v>130</v>
      </c>
      <c r="X79" s="1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R79" s="62"/>
      <c r="AX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DA79" s="1"/>
      <c r="FX79" s="3">
        <v>17292</v>
      </c>
      <c r="OY79" s="141" t="e">
        <f>#REF!-FX79</f>
        <v>#REF!</v>
      </c>
    </row>
    <row r="80" spans="2:936" hidden="1" x14ac:dyDescent="0.25">
      <c r="B80" s="726"/>
      <c r="C80" s="559" t="s">
        <v>51</v>
      </c>
      <c r="D80" s="560"/>
      <c r="E80" s="12" t="s">
        <v>14</v>
      </c>
      <c r="F80" s="561">
        <f>'[7]Januari 24'!AL68</f>
        <v>845858</v>
      </c>
      <c r="G80" s="561" t="e">
        <f>'[7]Februari 24'!AI68</f>
        <v>#REF!</v>
      </c>
      <c r="H80" s="561">
        <f>'[7]Maret 24'!AL68</f>
        <v>0</v>
      </c>
      <c r="I80" s="561" t="e">
        <f>'[7]Januari 24'!AO68</f>
        <v>#REF!</v>
      </c>
      <c r="J80" s="561" t="e">
        <f>'[7]Januari 24'!AP68</f>
        <v>#REF!</v>
      </c>
      <c r="K80" s="561"/>
      <c r="L80" s="561"/>
      <c r="M80" s="561"/>
      <c r="N80" s="561"/>
      <c r="O80" s="561"/>
      <c r="P80" s="561"/>
      <c r="Q80" s="561"/>
      <c r="R80" s="561"/>
      <c r="S80" s="27"/>
      <c r="T80" s="89" t="e">
        <f>SUM(F80:R80)</f>
        <v>#REF!</v>
      </c>
      <c r="U80" s="684" t="e">
        <f>SUM(G80:S80)</f>
        <v>#REF!</v>
      </c>
      <c r="V80" s="767" t="e">
        <f>(T80/U80)*100</f>
        <v>#REF!</v>
      </c>
      <c r="X80" s="1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R80" s="62"/>
      <c r="AX80" s="2"/>
      <c r="BD80" s="146"/>
      <c r="BE80" s="146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H80" s="146"/>
      <c r="DA80" s="1"/>
      <c r="DP80" s="435"/>
      <c r="DQ80" s="146"/>
      <c r="DR80" s="146"/>
      <c r="DS80" s="146"/>
      <c r="DT80" s="146"/>
      <c r="FW80" s="146"/>
      <c r="JR80" s="146"/>
      <c r="JS80" s="146"/>
      <c r="JT80" s="146"/>
      <c r="JU80" s="146"/>
      <c r="OY80" s="146"/>
      <c r="OZ80" s="146"/>
      <c r="PB80" s="146"/>
      <c r="PP80" s="562"/>
      <c r="PT80" s="146"/>
      <c r="RW80" s="562"/>
      <c r="AHF80" s="151"/>
      <c r="AIU80" s="151"/>
      <c r="AIV80" s="151"/>
      <c r="AIW80" s="151"/>
    </row>
    <row r="81" spans="2:936" hidden="1" x14ac:dyDescent="0.25">
      <c r="B81" s="727"/>
      <c r="C81" s="563" t="s">
        <v>46</v>
      </c>
      <c r="D81" s="564"/>
      <c r="E81" s="565" t="s">
        <v>14</v>
      </c>
      <c r="F81" s="566">
        <f>'[7]Januari 24'!AL69</f>
        <v>399021.27999999997</v>
      </c>
      <c r="G81" s="566" t="e">
        <f>'[7]Februari 24'!AI69</f>
        <v>#REF!</v>
      </c>
      <c r="H81" s="566">
        <f>'[7]Maret 24'!AL69</f>
        <v>0</v>
      </c>
      <c r="I81" s="566" t="e">
        <f>'[7]Januari 24'!AO69</f>
        <v>#REF!</v>
      </c>
      <c r="J81" s="566" t="e">
        <f>'[7]Januari 24'!AP69</f>
        <v>#REF!</v>
      </c>
      <c r="K81" s="566"/>
      <c r="L81" s="566"/>
      <c r="M81" s="566"/>
      <c r="N81" s="566"/>
      <c r="O81" s="566"/>
      <c r="P81" s="566"/>
      <c r="Q81" s="566"/>
      <c r="R81" s="566"/>
      <c r="S81" s="728"/>
      <c r="T81" s="89" t="e">
        <f>SUM(T82:T84)</f>
        <v>#REF!</v>
      </c>
      <c r="U81" s="684" t="e">
        <f>SUM(U82:U84)</f>
        <v>#REF!</v>
      </c>
      <c r="V81" s="767" t="e">
        <f>(T81/U81)*100</f>
        <v>#REF!</v>
      </c>
      <c r="X81" s="820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"/>
      <c r="AY81" s="173"/>
      <c r="AZ81" s="173"/>
      <c r="BA81" s="173"/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173"/>
      <c r="BP81" s="173"/>
      <c r="BQ81" s="173"/>
      <c r="BR81" s="173"/>
      <c r="BS81" s="173"/>
      <c r="BT81" s="173"/>
      <c r="BU81" s="173"/>
      <c r="BV81" s="173"/>
      <c r="BW81" s="173"/>
      <c r="BX81" s="173"/>
      <c r="BY81" s="173"/>
      <c r="BZ81" s="173"/>
      <c r="CA81" s="173"/>
      <c r="CB81" s="173"/>
      <c r="CC81" s="173"/>
      <c r="CD81" s="173"/>
      <c r="CF81" s="173"/>
      <c r="CG81" s="173"/>
      <c r="CH81" s="173"/>
      <c r="CI81" s="173"/>
      <c r="CJ81" s="173"/>
      <c r="CK81" s="173"/>
      <c r="CL81" s="173"/>
      <c r="CM81" s="173"/>
      <c r="CN81" s="173"/>
      <c r="CO81" s="173"/>
      <c r="CP81" s="173"/>
      <c r="CQ81" s="173"/>
      <c r="CR81" s="173"/>
      <c r="CS81" s="173"/>
      <c r="CT81" s="173"/>
      <c r="CU81" s="173"/>
      <c r="CV81" s="173"/>
      <c r="CW81" s="173"/>
      <c r="CX81" s="173"/>
      <c r="CY81" s="173"/>
      <c r="CZ81" s="173"/>
      <c r="DA81" s="173"/>
      <c r="DB81" s="173"/>
      <c r="DC81" s="173"/>
      <c r="DD81" s="173"/>
      <c r="DE81" s="173"/>
      <c r="DF81" s="173"/>
      <c r="DG81" s="173"/>
      <c r="DH81" s="173"/>
      <c r="DI81" s="173"/>
      <c r="DJ81" s="173"/>
      <c r="DK81" s="173"/>
      <c r="DL81" s="173"/>
      <c r="DM81" s="173"/>
      <c r="DN81" s="173"/>
      <c r="DO81" s="173"/>
      <c r="DP81" s="567"/>
      <c r="DQ81" s="173"/>
      <c r="DR81" s="173"/>
      <c r="DS81" s="173"/>
      <c r="DT81" s="173"/>
      <c r="DU81" s="173"/>
      <c r="DV81" s="173"/>
      <c r="DW81" s="173"/>
      <c r="DX81" s="173"/>
      <c r="DY81" s="173"/>
      <c r="DZ81" s="173"/>
      <c r="EA81" s="173"/>
      <c r="EB81" s="173"/>
      <c r="EC81" s="173"/>
      <c r="ED81" s="173"/>
      <c r="EE81" s="173"/>
      <c r="EF81" s="173"/>
      <c r="EG81" s="173"/>
      <c r="EH81" s="173"/>
      <c r="EI81" s="173"/>
      <c r="EJ81" s="173"/>
      <c r="EK81" s="173"/>
      <c r="EL81" s="173"/>
      <c r="EM81" s="173"/>
      <c r="EN81" s="173"/>
      <c r="EO81" s="173"/>
      <c r="EP81" s="173"/>
      <c r="EQ81" s="173"/>
      <c r="ER81" s="173"/>
      <c r="ES81" s="173"/>
      <c r="ET81" s="173"/>
      <c r="EU81" s="173"/>
      <c r="EV81" s="173"/>
      <c r="EW81" s="173"/>
      <c r="EX81" s="173"/>
      <c r="EY81" s="173"/>
      <c r="EZ81" s="173"/>
      <c r="FA81" s="173"/>
      <c r="FB81" s="173"/>
      <c r="FC81" s="173"/>
      <c r="FD81" s="173"/>
      <c r="FE81" s="173"/>
      <c r="FF81" s="173"/>
      <c r="FG81" s="173"/>
      <c r="FH81" s="173"/>
      <c r="FI81" s="173"/>
      <c r="FJ81" s="173"/>
      <c r="FK81" s="173"/>
      <c r="FL81" s="173"/>
      <c r="FM81" s="173"/>
      <c r="FN81" s="173"/>
      <c r="FO81" s="173"/>
      <c r="FP81" s="173"/>
      <c r="FQ81" s="173"/>
      <c r="FR81" s="173"/>
      <c r="FS81" s="173"/>
      <c r="FT81" s="173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K81" s="173"/>
      <c r="HL81" s="173"/>
      <c r="HM81" s="173"/>
      <c r="HN81" s="173"/>
      <c r="HO81" s="173"/>
      <c r="HP81" s="173"/>
      <c r="HQ81" s="173"/>
      <c r="HR81" s="173"/>
      <c r="HS81" s="173"/>
      <c r="HT81" s="173"/>
      <c r="HU81" s="173"/>
      <c r="HV81" s="173"/>
      <c r="HW81" s="173"/>
      <c r="HX81" s="173"/>
      <c r="HY81" s="173"/>
      <c r="HZ81" s="173"/>
      <c r="IA81" s="173"/>
      <c r="IB81" s="173"/>
      <c r="IC81" s="173"/>
      <c r="ID81" s="173"/>
      <c r="IE81" s="173"/>
      <c r="IF81" s="173"/>
      <c r="IG81" s="173"/>
      <c r="IH81" s="173"/>
      <c r="II81" s="173"/>
      <c r="IJ81" s="173"/>
      <c r="IK81" s="173"/>
      <c r="IL81" s="173"/>
      <c r="IM81" s="173"/>
      <c r="IN81" s="173"/>
      <c r="IO81" s="173"/>
      <c r="IP81" s="173"/>
      <c r="IQ81" s="173"/>
      <c r="IR81" s="173"/>
      <c r="IS81" s="173"/>
      <c r="IT81" s="173"/>
      <c r="IU81" s="173"/>
      <c r="IV81" s="173"/>
      <c r="IW81" s="173"/>
      <c r="IX81" s="173"/>
      <c r="IY81" s="173"/>
      <c r="IZ81" s="173"/>
      <c r="JA81" s="173"/>
      <c r="JB81" s="173"/>
      <c r="JC81" s="173"/>
      <c r="JD81" s="173"/>
      <c r="JE81" s="173"/>
      <c r="JF81" s="173"/>
      <c r="JG81" s="173"/>
      <c r="JH81" s="173"/>
      <c r="JI81" s="173"/>
      <c r="JJ81" s="173"/>
      <c r="JK81" s="173"/>
      <c r="JL81" s="173"/>
      <c r="JM81" s="173"/>
      <c r="JN81" s="173"/>
      <c r="JO81" s="173"/>
      <c r="JP81" s="173"/>
      <c r="JQ81" s="173"/>
      <c r="JR81" s="173"/>
      <c r="JS81" s="173"/>
      <c r="JT81" s="173"/>
      <c r="JU81" s="173"/>
      <c r="JV81" s="173"/>
      <c r="JW81" s="173"/>
      <c r="JX81" s="173"/>
      <c r="JY81" s="173"/>
      <c r="JZ81" s="173"/>
      <c r="KA81" s="173"/>
      <c r="KB81" s="173"/>
      <c r="KC81" s="173"/>
      <c r="KD81" s="173"/>
      <c r="KE81" s="173"/>
      <c r="KF81" s="173"/>
      <c r="KG81" s="173"/>
      <c r="KH81" s="173"/>
      <c r="KI81" s="173"/>
      <c r="KJ81" s="173"/>
      <c r="KK81" s="173"/>
      <c r="KL81" s="173"/>
      <c r="KM81" s="173"/>
      <c r="KN81" s="173"/>
      <c r="KO81" s="173"/>
      <c r="KP81" s="173"/>
      <c r="KQ81" s="173"/>
      <c r="KR81" s="173"/>
      <c r="KS81" s="173"/>
      <c r="KT81" s="173"/>
      <c r="KU81" s="173"/>
      <c r="KV81" s="173"/>
      <c r="KW81" s="173"/>
      <c r="KX81" s="173"/>
      <c r="KY81" s="173"/>
      <c r="KZ81" s="173"/>
      <c r="LA81" s="173"/>
      <c r="LB81" s="173"/>
      <c r="LC81" s="173"/>
      <c r="LD81" s="173"/>
      <c r="LE81" s="173"/>
      <c r="LF81" s="173"/>
      <c r="LG81" s="173"/>
      <c r="LH81" s="173"/>
      <c r="LI81" s="173"/>
      <c r="LJ81" s="173"/>
      <c r="LK81" s="173"/>
      <c r="LL81" s="173"/>
      <c r="LM81" s="173"/>
      <c r="LN81" s="173"/>
      <c r="LO81" s="173"/>
      <c r="LP81" s="173"/>
      <c r="LQ81" s="173"/>
      <c r="LR81" s="173"/>
      <c r="LS81" s="173"/>
      <c r="LT81" s="173"/>
      <c r="LU81" s="173"/>
      <c r="LV81" s="173"/>
      <c r="LW81" s="173"/>
      <c r="LX81" s="173"/>
      <c r="LY81" s="173"/>
      <c r="LZ81" s="173"/>
      <c r="MA81" s="173"/>
      <c r="MB81" s="173"/>
      <c r="MC81" s="173"/>
      <c r="MD81" s="173"/>
      <c r="ME81" s="173"/>
      <c r="MF81" s="173"/>
      <c r="MG81" s="173"/>
      <c r="MH81" s="173"/>
      <c r="MI81" s="173"/>
      <c r="MJ81" s="173"/>
      <c r="MK81" s="173"/>
      <c r="ML81" s="173"/>
      <c r="MM81" s="173"/>
      <c r="MN81" s="173"/>
      <c r="MO81" s="173"/>
      <c r="MP81" s="173"/>
      <c r="MQ81" s="173"/>
      <c r="MR81" s="173"/>
      <c r="MS81" s="173"/>
      <c r="MT81" s="173"/>
      <c r="MU81" s="173"/>
      <c r="MV81" s="173"/>
      <c r="MW81" s="173"/>
      <c r="MX81" s="173"/>
      <c r="MY81" s="173"/>
      <c r="MZ81" s="173"/>
      <c r="NA81" s="173"/>
      <c r="NB81" s="173"/>
      <c r="NC81" s="173"/>
      <c r="ND81" s="173"/>
      <c r="NE81" s="173"/>
      <c r="NF81" s="173"/>
      <c r="NG81" s="173"/>
      <c r="NH81" s="173"/>
      <c r="NI81" s="173"/>
      <c r="NJ81" s="173"/>
      <c r="NK81" s="173"/>
      <c r="NL81" s="173"/>
      <c r="NM81" s="173"/>
      <c r="NN81" s="173"/>
      <c r="NO81" s="173"/>
      <c r="NP81" s="173"/>
      <c r="NQ81" s="173"/>
      <c r="NR81" s="173"/>
      <c r="NS81" s="173"/>
      <c r="NT81" s="173"/>
      <c r="NU81" s="173"/>
      <c r="NV81" s="173"/>
      <c r="NW81" s="173"/>
      <c r="NX81" s="173"/>
      <c r="NY81" s="173"/>
      <c r="NZ81" s="173"/>
      <c r="OA81" s="173"/>
      <c r="OB81" s="173"/>
      <c r="OC81" s="173"/>
      <c r="OD81" s="173"/>
      <c r="OE81" s="173"/>
      <c r="OF81" s="173"/>
      <c r="OG81" s="173"/>
      <c r="OH81" s="173"/>
      <c r="OI81" s="173"/>
      <c r="OJ81" s="173"/>
      <c r="OK81" s="173"/>
      <c r="OL81" s="173"/>
      <c r="OM81" s="173"/>
      <c r="ON81" s="173"/>
      <c r="OO81" s="173"/>
      <c r="OP81" s="173"/>
      <c r="OQ81" s="173"/>
      <c r="OR81" s="173"/>
      <c r="OS81" s="173"/>
      <c r="OT81" s="173"/>
      <c r="OU81" s="173"/>
      <c r="OV81" s="173"/>
      <c r="OW81" s="173"/>
      <c r="OX81" s="173"/>
      <c r="OY81" s="173"/>
      <c r="OZ81" s="173"/>
      <c r="PA81" s="173"/>
      <c r="PB81" s="173"/>
      <c r="PC81" s="173"/>
      <c r="PD81" s="173"/>
      <c r="PE81" s="173"/>
      <c r="PF81" s="173"/>
      <c r="PG81" s="173"/>
      <c r="PH81" s="173"/>
      <c r="PI81" s="173"/>
      <c r="PJ81" s="173"/>
      <c r="PK81" s="173"/>
      <c r="PL81" s="173"/>
      <c r="PM81" s="173"/>
      <c r="PN81" s="173"/>
      <c r="PO81" s="173"/>
      <c r="PP81" s="173"/>
      <c r="PQ81" s="173"/>
      <c r="PR81" s="173"/>
      <c r="PS81" s="173"/>
      <c r="PT81" s="173"/>
      <c r="PU81" s="173"/>
      <c r="PV81" s="173"/>
      <c r="PW81" s="173"/>
      <c r="PX81" s="173"/>
      <c r="PY81" s="173"/>
      <c r="PZ81" s="173"/>
      <c r="QA81" s="173"/>
      <c r="QB81" s="173"/>
      <c r="QC81" s="173"/>
      <c r="QD81" s="173"/>
      <c r="QE81" s="173"/>
      <c r="QF81" s="173"/>
      <c r="QG81" s="173"/>
      <c r="QH81" s="173"/>
      <c r="QI81" s="173"/>
      <c r="QJ81" s="173"/>
      <c r="QK81" s="173"/>
      <c r="QL81" s="173"/>
      <c r="QM81" s="173"/>
      <c r="QN81" s="173"/>
      <c r="QO81" s="173"/>
      <c r="QP81" s="173"/>
      <c r="QQ81" s="173"/>
      <c r="QR81" s="173"/>
      <c r="QS81" s="173"/>
      <c r="QT81" s="173"/>
      <c r="QU81" s="173"/>
      <c r="QV81" s="173"/>
      <c r="QW81" s="173"/>
      <c r="QX81" s="173"/>
      <c r="QY81" s="173"/>
      <c r="QZ81" s="173"/>
      <c r="RA81" s="173"/>
      <c r="RB81" s="173"/>
      <c r="RC81" s="173"/>
      <c r="RD81" s="173"/>
      <c r="RE81" s="173"/>
      <c r="RF81" s="173"/>
      <c r="RG81" s="173"/>
      <c r="RH81" s="173"/>
      <c r="RI81" s="173"/>
      <c r="RJ81" s="173"/>
      <c r="RK81" s="173"/>
      <c r="RL81" s="173"/>
      <c r="RM81" s="173"/>
      <c r="RN81" s="173"/>
      <c r="RO81" s="173"/>
      <c r="RP81" s="173"/>
      <c r="RQ81" s="173"/>
      <c r="RR81" s="173"/>
      <c r="RS81" s="173"/>
      <c r="RT81" s="173"/>
      <c r="RU81" s="173"/>
      <c r="RV81" s="173"/>
      <c r="RW81" s="173"/>
      <c r="RX81" s="173"/>
      <c r="RY81" s="173"/>
      <c r="RZ81" s="173"/>
      <c r="SA81" s="173"/>
      <c r="SB81" s="173"/>
      <c r="SC81" s="173"/>
      <c r="SD81" s="173"/>
      <c r="SE81" s="173"/>
      <c r="SF81" s="173"/>
      <c r="SG81" s="173"/>
      <c r="SH81" s="173"/>
      <c r="SI81" s="173"/>
      <c r="SJ81" s="173"/>
      <c r="SK81" s="173"/>
      <c r="SL81" s="173"/>
      <c r="SM81" s="173"/>
      <c r="SN81" s="173"/>
      <c r="SO81" s="173"/>
      <c r="SP81" s="173"/>
      <c r="SQ81" s="173"/>
      <c r="SR81" s="173"/>
      <c r="SS81" s="173"/>
      <c r="ST81" s="173"/>
      <c r="SU81" s="173"/>
      <c r="SV81" s="173"/>
      <c r="SW81" s="173"/>
      <c r="SX81" s="173"/>
      <c r="SY81" s="173"/>
      <c r="SZ81" s="173"/>
      <c r="TA81" s="173"/>
      <c r="TB81" s="173"/>
      <c r="TC81" s="173"/>
      <c r="TD81" s="173"/>
      <c r="TE81" s="173"/>
      <c r="TF81" s="173"/>
      <c r="TG81" s="173"/>
      <c r="TH81" s="173"/>
      <c r="TI81" s="173"/>
      <c r="TJ81" s="173"/>
      <c r="TK81" s="173"/>
      <c r="TL81" s="173"/>
      <c r="TM81" s="173"/>
      <c r="TN81" s="173"/>
      <c r="TO81" s="173"/>
      <c r="TP81" s="173"/>
      <c r="TQ81" s="173"/>
      <c r="TR81" s="173"/>
      <c r="TS81" s="173"/>
      <c r="TT81" s="173"/>
      <c r="TU81" s="173"/>
      <c r="TV81" s="173"/>
      <c r="TW81" s="173"/>
      <c r="TX81" s="173"/>
      <c r="TY81" s="173"/>
      <c r="TZ81" s="173"/>
      <c r="UA81" s="173"/>
      <c r="UB81" s="173"/>
      <c r="UC81" s="173"/>
      <c r="UD81" s="173"/>
      <c r="UE81" s="173"/>
      <c r="UF81" s="173"/>
      <c r="UG81" s="173"/>
      <c r="UH81" s="173"/>
      <c r="UI81" s="173"/>
      <c r="UJ81" s="173"/>
      <c r="UK81" s="173"/>
      <c r="UL81" s="173"/>
      <c r="UM81" s="173"/>
      <c r="UN81" s="173"/>
      <c r="UO81" s="173"/>
      <c r="UP81" s="173"/>
      <c r="UQ81" s="173"/>
      <c r="UR81" s="173"/>
      <c r="US81" s="173"/>
      <c r="UT81" s="173"/>
      <c r="UU81" s="173"/>
      <c r="UV81" s="173"/>
      <c r="UW81" s="173"/>
      <c r="UX81" s="173"/>
      <c r="UY81" s="173"/>
      <c r="UZ81" s="173"/>
      <c r="VA81" s="173"/>
      <c r="VB81" s="173"/>
      <c r="VC81" s="173"/>
      <c r="VD81" s="173"/>
      <c r="VE81" s="173"/>
      <c r="VF81" s="173"/>
      <c r="VG81" s="173"/>
      <c r="VH81" s="173"/>
      <c r="VI81" s="173"/>
      <c r="VJ81" s="173"/>
      <c r="VK81" s="173"/>
      <c r="VL81" s="173"/>
      <c r="VM81" s="173"/>
      <c r="VN81" s="173"/>
      <c r="VO81" s="173"/>
      <c r="VP81" s="173"/>
      <c r="VQ81" s="173"/>
      <c r="VR81" s="173"/>
      <c r="VS81" s="173"/>
      <c r="VT81" s="173"/>
      <c r="VU81" s="173"/>
      <c r="VV81" s="173"/>
      <c r="VW81" s="173"/>
      <c r="VX81" s="173"/>
      <c r="VY81" s="173"/>
      <c r="VZ81" s="173"/>
      <c r="WA81" s="173"/>
      <c r="WB81" s="173"/>
      <c r="WC81" s="173"/>
      <c r="WD81" s="173"/>
      <c r="WE81" s="173"/>
      <c r="WF81" s="173"/>
      <c r="WG81" s="173"/>
      <c r="WH81" s="173"/>
      <c r="WI81" s="173"/>
      <c r="WJ81" s="173"/>
      <c r="WK81" s="173"/>
      <c r="WL81" s="173"/>
      <c r="WM81" s="173"/>
      <c r="WN81" s="173"/>
      <c r="WO81" s="173"/>
      <c r="WP81" s="173"/>
      <c r="WQ81" s="173"/>
      <c r="WR81" s="173"/>
      <c r="WS81" s="173"/>
      <c r="WT81" s="173"/>
      <c r="WU81" s="173"/>
      <c r="WV81" s="173"/>
      <c r="WW81" s="173"/>
      <c r="WX81" s="173"/>
      <c r="WY81" s="173"/>
      <c r="WZ81" s="173"/>
      <c r="XA81" s="173"/>
      <c r="XB81" s="173"/>
      <c r="XC81" s="173"/>
      <c r="XD81" s="173"/>
      <c r="XE81" s="173"/>
      <c r="XF81" s="173"/>
      <c r="XG81" s="173"/>
      <c r="XH81" s="173"/>
      <c r="XI81" s="173"/>
      <c r="XJ81" s="173"/>
      <c r="XK81" s="173"/>
      <c r="XL81" s="173"/>
      <c r="XM81" s="173"/>
      <c r="XN81" s="173"/>
      <c r="XO81" s="173"/>
      <c r="XP81" s="173"/>
      <c r="XQ81" s="173"/>
      <c r="XR81" s="173"/>
      <c r="XS81" s="173"/>
      <c r="XT81" s="173"/>
      <c r="XU81" s="173"/>
      <c r="XV81" s="173"/>
      <c r="XW81" s="173"/>
      <c r="XX81" s="173"/>
      <c r="XY81" s="173"/>
      <c r="XZ81" s="173"/>
      <c r="YA81" s="173"/>
      <c r="YB81" s="173"/>
      <c r="YC81" s="173"/>
      <c r="YD81" s="173"/>
      <c r="YE81" s="173"/>
      <c r="YF81" s="173"/>
      <c r="YG81" s="173"/>
      <c r="YH81" s="173"/>
      <c r="YI81" s="173"/>
      <c r="YJ81" s="173"/>
      <c r="YK81" s="173"/>
      <c r="YL81" s="173"/>
      <c r="YM81" s="173"/>
      <c r="YN81" s="173"/>
      <c r="YO81" s="173"/>
      <c r="YP81" s="173"/>
      <c r="YQ81" s="173"/>
      <c r="YR81" s="173"/>
      <c r="YS81" s="173"/>
      <c r="YT81" s="173"/>
      <c r="YU81" s="173"/>
      <c r="YV81" s="173"/>
      <c r="YW81" s="173"/>
      <c r="YX81" s="173"/>
      <c r="YY81" s="173"/>
      <c r="YZ81" s="173"/>
      <c r="ZA81" s="173"/>
      <c r="ZB81" s="173"/>
      <c r="ZC81" s="173"/>
      <c r="ZD81" s="173"/>
      <c r="ZE81" s="173"/>
      <c r="ZF81" s="173"/>
      <c r="ZG81" s="173"/>
      <c r="ZH81" s="173"/>
      <c r="ZI81" s="173"/>
      <c r="ZJ81" s="173"/>
      <c r="ZK81" s="173"/>
      <c r="ZL81" s="173"/>
      <c r="ZM81" s="173"/>
      <c r="ZN81" s="173"/>
      <c r="ZO81" s="173"/>
      <c r="ZP81" s="173"/>
      <c r="ZQ81" s="173"/>
      <c r="ZR81" s="173"/>
      <c r="ZS81" s="173"/>
      <c r="ZT81" s="173"/>
      <c r="ZU81" s="173"/>
      <c r="ZV81" s="173"/>
      <c r="ZW81" s="173"/>
      <c r="ZX81" s="173"/>
      <c r="ZY81" s="173"/>
      <c r="ZZ81" s="173"/>
      <c r="AAA81" s="173"/>
      <c r="AAB81" s="173"/>
      <c r="AAC81" s="173"/>
      <c r="AAD81" s="173"/>
      <c r="AAE81" s="173"/>
      <c r="AAF81" s="173"/>
      <c r="AAG81" s="173"/>
      <c r="AAH81" s="173"/>
      <c r="AAI81" s="173"/>
      <c r="AAJ81" s="173"/>
      <c r="AAK81" s="173"/>
      <c r="AAL81" s="173"/>
      <c r="AAM81" s="173"/>
      <c r="AAN81" s="173"/>
      <c r="AAO81" s="173"/>
      <c r="AAP81" s="173"/>
      <c r="AAQ81" s="173"/>
      <c r="AAR81" s="173"/>
      <c r="AAS81" s="173"/>
      <c r="AAT81" s="173"/>
      <c r="AAU81" s="173"/>
      <c r="AAV81" s="173"/>
      <c r="AAW81" s="173"/>
      <c r="AAX81" s="173"/>
      <c r="AAY81" s="173"/>
      <c r="AAZ81" s="173"/>
      <c r="ABA81" s="173"/>
      <c r="ABB81" s="173"/>
      <c r="ABC81" s="173"/>
      <c r="ABD81" s="173"/>
      <c r="ABE81" s="173"/>
      <c r="ABF81" s="173"/>
      <c r="ABG81" s="173"/>
      <c r="ABH81" s="173"/>
      <c r="ABI81" s="173"/>
      <c r="ABJ81" s="173"/>
      <c r="ABK81" s="173"/>
      <c r="ABL81" s="173"/>
      <c r="ABM81" s="173"/>
      <c r="ABN81" s="173"/>
      <c r="ABO81" s="173"/>
      <c r="ABP81" s="173"/>
      <c r="ABQ81" s="173"/>
      <c r="ABR81" s="173"/>
      <c r="ABS81" s="173"/>
      <c r="ABT81" s="173"/>
      <c r="ABU81" s="173"/>
      <c r="ABV81" s="173"/>
      <c r="ABW81" s="173"/>
      <c r="ABX81" s="173"/>
      <c r="ABY81" s="173"/>
      <c r="ABZ81" s="173"/>
      <c r="ACA81" s="173"/>
      <c r="ACB81" s="173"/>
      <c r="ACC81" s="173"/>
      <c r="ACD81" s="173"/>
      <c r="ACE81" s="173"/>
      <c r="ACF81" s="173"/>
      <c r="ACG81" s="173"/>
      <c r="ACH81" s="173"/>
      <c r="ACI81" s="173"/>
      <c r="ACJ81" s="173"/>
      <c r="ACK81" s="173"/>
      <c r="ACL81" s="173"/>
      <c r="ACM81" s="173"/>
      <c r="ACN81" s="173"/>
      <c r="ACO81" s="173"/>
      <c r="ACP81" s="173"/>
      <c r="ACQ81" s="173"/>
      <c r="ACR81" s="173"/>
      <c r="ACS81" s="173"/>
      <c r="ACT81" s="173"/>
      <c r="ACU81" s="173"/>
      <c r="ACV81" s="173"/>
      <c r="ACW81" s="173"/>
      <c r="ACX81" s="173"/>
      <c r="ACY81" s="173"/>
      <c r="ACZ81" s="173"/>
      <c r="ADA81" s="173"/>
      <c r="ADB81" s="173"/>
      <c r="ADC81" s="173"/>
      <c r="ADD81" s="173"/>
      <c r="ADE81" s="173"/>
      <c r="ADF81" s="173"/>
      <c r="ADG81" s="173"/>
      <c r="ADH81" s="173"/>
      <c r="ADI81" s="173"/>
      <c r="ADJ81" s="173"/>
      <c r="ADK81" s="173"/>
      <c r="ADL81" s="173"/>
      <c r="ADM81" s="173"/>
      <c r="ADN81" s="173"/>
      <c r="ADO81" s="173"/>
      <c r="ADP81" s="173"/>
      <c r="ADQ81" s="173"/>
      <c r="ADR81" s="173"/>
      <c r="ADS81" s="173"/>
      <c r="ADT81" s="173"/>
      <c r="ADU81" s="173"/>
      <c r="ADV81" s="173"/>
      <c r="ADW81" s="173"/>
      <c r="ADX81" s="173"/>
      <c r="ADY81" s="173"/>
      <c r="ADZ81" s="173"/>
      <c r="AEA81" s="173"/>
      <c r="AEB81" s="173"/>
      <c r="AEC81" s="173"/>
      <c r="AED81" s="173"/>
      <c r="AEE81" s="173"/>
      <c r="AEF81" s="173"/>
      <c r="AEG81" s="173"/>
      <c r="AEH81" s="173"/>
      <c r="AEI81" s="173"/>
      <c r="AEJ81" s="173"/>
      <c r="AEK81" s="173"/>
      <c r="AEL81" s="173"/>
      <c r="AEM81" s="173"/>
      <c r="AEN81" s="173"/>
      <c r="AEO81" s="173"/>
      <c r="AEP81" s="173"/>
      <c r="AEQ81" s="173"/>
      <c r="AER81" s="173"/>
      <c r="AES81" s="173"/>
      <c r="AET81" s="173"/>
      <c r="AEU81" s="173"/>
      <c r="AEV81" s="173"/>
      <c r="AEW81" s="173"/>
      <c r="AEX81" s="173"/>
      <c r="AEY81" s="173"/>
      <c r="AEZ81" s="173"/>
      <c r="AFA81" s="173"/>
      <c r="AFB81" s="173"/>
      <c r="AFC81" s="173"/>
      <c r="AFD81" s="173"/>
      <c r="AFE81" s="173"/>
      <c r="AFF81" s="173"/>
      <c r="AFG81" s="173"/>
      <c r="AFH81" s="173"/>
      <c r="AFI81" s="173"/>
      <c r="AFJ81" s="173"/>
      <c r="AFK81" s="173"/>
      <c r="AFL81" s="173"/>
      <c r="AFM81" s="173"/>
      <c r="AFN81" s="173"/>
      <c r="AFO81" s="173"/>
      <c r="AFP81" s="173"/>
      <c r="AFQ81" s="173"/>
      <c r="AFR81" s="152" t="s">
        <v>14</v>
      </c>
      <c r="AFS81" s="173" t="s">
        <v>348</v>
      </c>
    </row>
    <row r="82" spans="2:936" hidden="1" x14ac:dyDescent="0.25">
      <c r="B82" s="729"/>
      <c r="C82" s="568" t="s">
        <v>39</v>
      </c>
      <c r="D82" s="476"/>
      <c r="E82" s="496" t="s">
        <v>14</v>
      </c>
      <c r="F82" s="569">
        <f>SUM(F86:F87)*10.86</f>
        <v>400256.16</v>
      </c>
      <c r="G82" s="569" t="e">
        <f>SUM(G86:G87)*10.86</f>
        <v>#REF!</v>
      </c>
      <c r="H82" s="569">
        <f>SUM(H86:H87)*10.86</f>
        <v>0</v>
      </c>
      <c r="I82" s="569" t="e">
        <f t="shared" ref="I82:J82" si="5">SUM(I86:I87)*10.86</f>
        <v>#REF!</v>
      </c>
      <c r="J82" s="569" t="e">
        <f t="shared" si="5"/>
        <v>#REF!</v>
      </c>
      <c r="K82" s="570"/>
      <c r="L82" s="570"/>
      <c r="M82" s="570"/>
      <c r="N82" s="570"/>
      <c r="O82" s="570"/>
      <c r="P82" s="570"/>
      <c r="Q82" s="570"/>
      <c r="R82" s="570"/>
      <c r="S82" s="717"/>
      <c r="T82" s="708" t="e">
        <f>SUM(T86:T87)*10.86</f>
        <v>#REF!</v>
      </c>
      <c r="U82" s="685">
        <f>SUM(U86:U87)*10.86</f>
        <v>32269045.619999997</v>
      </c>
      <c r="V82" s="767" t="e">
        <f>(T82/U82)*100</f>
        <v>#REF!</v>
      </c>
      <c r="W82" s="306"/>
      <c r="X82" s="1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R82" s="62"/>
      <c r="AX82" s="1"/>
      <c r="BD82" s="142"/>
      <c r="BE82" s="142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2"/>
      <c r="DA82" s="1"/>
      <c r="DP82" s="5"/>
      <c r="DQ82" s="142"/>
      <c r="DR82" s="142"/>
      <c r="DS82" s="142"/>
      <c r="DT82" s="142"/>
      <c r="FW82" s="142"/>
      <c r="FX82" s="140" t="e">
        <f>#REF!/1000</f>
        <v>#REF!</v>
      </c>
      <c r="JR82" s="142"/>
      <c r="JS82" s="142"/>
      <c r="JT82" s="142"/>
      <c r="JU82" s="142"/>
      <c r="OY82" s="142">
        <v>4696</v>
      </c>
      <c r="OZ82" s="145" t="e">
        <f>FX82/OY82*100</f>
        <v>#REF!</v>
      </c>
      <c r="PB82" s="142"/>
      <c r="PP82" s="145"/>
      <c r="PT82" s="142"/>
      <c r="RW82" s="145"/>
      <c r="AHF82" s="141"/>
      <c r="AIU82" s="141"/>
      <c r="AIV82" s="141"/>
      <c r="AIW82" s="141"/>
    </row>
    <row r="83" spans="2:936" hidden="1" x14ac:dyDescent="0.25">
      <c r="B83" s="729"/>
      <c r="C83" s="568" t="s">
        <v>38</v>
      </c>
      <c r="D83" s="476"/>
      <c r="E83" s="496" t="s">
        <v>14</v>
      </c>
      <c r="F83" s="440">
        <f>F81-F82</f>
        <v>-1234.8800000000047</v>
      </c>
      <c r="G83" s="440" t="e">
        <f>G81-G82</f>
        <v>#REF!</v>
      </c>
      <c r="H83" s="440">
        <f>H81-H82</f>
        <v>0</v>
      </c>
      <c r="I83" s="440" t="e">
        <f t="shared" ref="I83:J83" si="6">I81-I82</f>
        <v>#REF!</v>
      </c>
      <c r="J83" s="440" t="e">
        <f t="shared" si="6"/>
        <v>#REF!</v>
      </c>
      <c r="K83" s="440"/>
      <c r="L83" s="440"/>
      <c r="M83" s="440"/>
      <c r="N83" s="440"/>
      <c r="O83" s="440"/>
      <c r="P83" s="440"/>
      <c r="Q83" s="440"/>
      <c r="R83" s="440"/>
      <c r="S83" s="717"/>
      <c r="T83" s="58" t="e">
        <f>SUM(F83:R83)</f>
        <v>#REF!</v>
      </c>
      <c r="U83" s="667" t="e">
        <f>SUM(G83:S83)</f>
        <v>#REF!</v>
      </c>
      <c r="V83" s="767" t="e">
        <f>(T83/U83)*100</f>
        <v>#REF!</v>
      </c>
      <c r="W83" s="140"/>
      <c r="X83" s="1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R83" s="62"/>
      <c r="AX83" s="1"/>
      <c r="BD83" s="142"/>
      <c r="BE83" s="142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H83" s="142"/>
      <c r="DA83" s="1"/>
      <c r="DP83" s="5"/>
      <c r="DQ83" s="142"/>
      <c r="DR83" s="142"/>
      <c r="DS83" s="142"/>
      <c r="DT83" s="142"/>
      <c r="FW83" s="142"/>
      <c r="FX83" s="481" t="e">
        <f>#REF!/1000</f>
        <v>#REF!</v>
      </c>
      <c r="JR83" s="142"/>
      <c r="JS83" s="142"/>
      <c r="JT83" s="142"/>
      <c r="JU83" s="142"/>
      <c r="OY83" s="142">
        <v>565</v>
      </c>
      <c r="OZ83" s="145" t="e">
        <f>FX83/OY83*100</f>
        <v>#REF!</v>
      </c>
      <c r="PB83" s="142"/>
      <c r="PP83" s="145"/>
      <c r="PT83" s="142"/>
      <c r="RW83" s="145"/>
      <c r="AHF83" s="141"/>
      <c r="AIU83" s="141"/>
      <c r="AIV83" s="141"/>
      <c r="AIW83" s="141"/>
    </row>
    <row r="84" spans="2:936" hidden="1" x14ac:dyDescent="0.25">
      <c r="B84" s="729"/>
      <c r="C84" s="568" t="s">
        <v>50</v>
      </c>
      <c r="D84" s="476"/>
      <c r="E84" s="464" t="s">
        <v>14</v>
      </c>
      <c r="F84" s="440">
        <f>'[7]Januari 24'!AL72</f>
        <v>0</v>
      </c>
      <c r="G84" s="440">
        <f>'[7]Februari 24'!AI72</f>
        <v>0</v>
      </c>
      <c r="H84" s="440">
        <f>'[7]Maret 24'!AL72</f>
        <v>0</v>
      </c>
      <c r="I84" s="440" t="e">
        <f>'[7]Januari 24'!AO72</f>
        <v>#REF!</v>
      </c>
      <c r="J84" s="440" t="e">
        <f>'[7]Januari 24'!AP72</f>
        <v>#REF!</v>
      </c>
      <c r="K84" s="440"/>
      <c r="L84" s="440"/>
      <c r="M84" s="440"/>
      <c r="N84" s="440"/>
      <c r="O84" s="440"/>
      <c r="P84" s="440"/>
      <c r="Q84" s="440"/>
      <c r="R84" s="440"/>
      <c r="S84" s="717"/>
      <c r="T84" s="58" t="e">
        <f>SUM(F84:R84)</f>
        <v>#REF!</v>
      </c>
      <c r="U84" s="667" t="e">
        <f>SUM(G84:S84)</f>
        <v>#REF!</v>
      </c>
      <c r="V84" s="767"/>
      <c r="X84" s="1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R84" s="62"/>
      <c r="AX84" s="1"/>
      <c r="BD84" s="142"/>
      <c r="BE84" s="142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2"/>
      <c r="DA84" s="1"/>
      <c r="DP84" s="5"/>
      <c r="DQ84" s="142"/>
      <c r="DR84" s="142"/>
      <c r="DS84" s="142"/>
      <c r="DT84" s="142"/>
      <c r="FW84" s="142"/>
      <c r="JR84" s="142"/>
      <c r="JS84" s="142"/>
      <c r="JT84" s="142"/>
      <c r="JU84" s="142"/>
      <c r="OY84" s="142"/>
      <c r="OZ84" s="142"/>
      <c r="PB84" s="142"/>
      <c r="PP84" s="145"/>
      <c r="PT84" s="142"/>
      <c r="RW84" s="145"/>
      <c r="AHF84" s="141"/>
      <c r="AIU84" s="141"/>
      <c r="AIV84" s="141"/>
      <c r="AIW84" s="141"/>
    </row>
    <row r="85" spans="2:936" hidden="1" x14ac:dyDescent="0.25">
      <c r="B85" s="729"/>
      <c r="C85" s="568" t="s">
        <v>29</v>
      </c>
      <c r="D85" s="476"/>
      <c r="E85" s="464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717"/>
      <c r="T85" s="63" t="s">
        <v>29</v>
      </c>
      <c r="U85" s="686" t="s">
        <v>29</v>
      </c>
      <c r="V85" s="783" t="s">
        <v>29</v>
      </c>
      <c r="X85" s="1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R85" s="62"/>
      <c r="AX85" s="1"/>
      <c r="BD85" s="142"/>
      <c r="BE85" s="142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2"/>
      <c r="DA85" s="1"/>
      <c r="DP85" s="5"/>
      <c r="DQ85" s="142"/>
      <c r="DR85" s="142"/>
      <c r="DS85" s="142"/>
      <c r="DT85" s="142"/>
      <c r="FW85" s="142"/>
      <c r="JR85" s="142"/>
      <c r="JS85" s="142"/>
      <c r="JT85" s="142"/>
      <c r="JU85" s="142"/>
      <c r="OY85" s="142"/>
      <c r="OZ85" s="142"/>
      <c r="PB85" s="142"/>
      <c r="PP85" s="145"/>
      <c r="PT85" s="142"/>
      <c r="RW85" s="145"/>
      <c r="AHF85" s="141"/>
      <c r="AIU85" s="141"/>
      <c r="AIV85" s="141"/>
      <c r="AIW85" s="141"/>
    </row>
    <row r="86" spans="2:936" hidden="1" x14ac:dyDescent="0.25">
      <c r="B86" s="730"/>
      <c r="C86" s="571" t="s">
        <v>49</v>
      </c>
      <c r="D86" s="437"/>
      <c r="E86" s="572" t="s">
        <v>31</v>
      </c>
      <c r="F86" s="282">
        <f>'[7]Januari 24'!AL74</f>
        <v>17197</v>
      </c>
      <c r="G86" s="282" t="e">
        <f>'[7]Februari 24'!AI74</f>
        <v>#REF!</v>
      </c>
      <c r="H86" s="282">
        <f>'[7]Maret 24'!AL74</f>
        <v>0</v>
      </c>
      <c r="I86" s="282" t="e">
        <f>'[7]Januari 24'!AO74</f>
        <v>#REF!</v>
      </c>
      <c r="J86" s="282" t="e">
        <f>'[7]Januari 24'!AP74</f>
        <v>#REF!</v>
      </c>
      <c r="K86" s="282"/>
      <c r="L86" s="282"/>
      <c r="M86" s="282"/>
      <c r="N86" s="282"/>
      <c r="O86" s="282"/>
      <c r="P86" s="282"/>
      <c r="Q86" s="282"/>
      <c r="R86" s="282"/>
      <c r="S86" s="719"/>
      <c r="T86" s="54" t="e">
        <f>SUM(F86:R86)</f>
        <v>#REF!</v>
      </c>
      <c r="U86" s="664">
        <v>1254577</v>
      </c>
      <c r="V86" s="767" t="e">
        <f>(T86/U86)*100</f>
        <v>#REF!</v>
      </c>
      <c r="X86" s="1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R86" s="62"/>
      <c r="AX86" s="16"/>
      <c r="BD86" s="148"/>
      <c r="BE86" s="148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8"/>
      <c r="DA86" s="1"/>
      <c r="DP86" s="516"/>
      <c r="DQ86" s="148"/>
      <c r="DR86" s="148"/>
      <c r="DS86" s="148"/>
      <c r="DT86" s="148"/>
      <c r="FW86" s="148"/>
      <c r="JR86" s="148"/>
      <c r="JS86" s="148"/>
      <c r="JT86" s="148"/>
      <c r="JU86" s="148"/>
      <c r="OY86" s="148"/>
      <c r="OZ86" s="148"/>
      <c r="PB86" s="148"/>
      <c r="PP86" s="573"/>
      <c r="PT86" s="148"/>
      <c r="RW86" s="573"/>
      <c r="AHF86" s="144"/>
      <c r="AIU86" s="144"/>
      <c r="AIV86" s="144"/>
      <c r="AIW86" s="144"/>
    </row>
    <row r="87" spans="2:936" hidden="1" x14ac:dyDescent="0.25">
      <c r="B87" s="730"/>
      <c r="C87" s="571" t="s">
        <v>48</v>
      </c>
      <c r="D87" s="437"/>
      <c r="E87" s="572" t="s">
        <v>31</v>
      </c>
      <c r="F87" s="282">
        <f>'[7]Januari 24'!AL75</f>
        <v>19659</v>
      </c>
      <c r="G87" s="282" t="e">
        <f>'[7]Februari 24'!AI75</f>
        <v>#REF!</v>
      </c>
      <c r="H87" s="282">
        <f>'[7]Maret 24'!AL75</f>
        <v>0</v>
      </c>
      <c r="I87" s="282" t="e">
        <f>'[7]Januari 24'!AO75</f>
        <v>#REF!</v>
      </c>
      <c r="J87" s="282" t="e">
        <f>'[7]Januari 24'!AP75</f>
        <v>#REF!</v>
      </c>
      <c r="K87" s="282"/>
      <c r="L87" s="282"/>
      <c r="M87" s="282"/>
      <c r="N87" s="282"/>
      <c r="O87" s="282"/>
      <c r="P87" s="282"/>
      <c r="Q87" s="282"/>
      <c r="R87" s="282"/>
      <c r="S87" s="719"/>
      <c r="T87" s="54" t="e">
        <f>SUM(F87:R87)</f>
        <v>#REF!</v>
      </c>
      <c r="U87" s="664">
        <v>1716790</v>
      </c>
      <c r="V87" s="767" t="e">
        <f>(T87/U87)*100</f>
        <v>#REF!</v>
      </c>
      <c r="X87" s="1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R87" s="62"/>
      <c r="AX87" s="16"/>
      <c r="BD87" s="148"/>
      <c r="BE87" s="148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H87" s="148"/>
      <c r="DA87" s="1"/>
      <c r="DP87" s="516"/>
      <c r="DQ87" s="148"/>
      <c r="DR87" s="148"/>
      <c r="DS87" s="148"/>
      <c r="DT87" s="148"/>
      <c r="FW87" s="148"/>
      <c r="JR87" s="148"/>
      <c r="JS87" s="148"/>
      <c r="JT87" s="148"/>
      <c r="JU87" s="148"/>
      <c r="OY87" s="148"/>
      <c r="OZ87" s="148"/>
      <c r="PB87" s="148"/>
      <c r="PP87" s="573"/>
      <c r="PT87" s="148"/>
      <c r="RW87" s="573"/>
      <c r="AHF87" s="144"/>
      <c r="AIU87" s="144"/>
      <c r="AIV87" s="144"/>
      <c r="AIW87" s="144"/>
    </row>
    <row r="88" spans="2:936" hidden="1" x14ac:dyDescent="0.25">
      <c r="B88" s="729"/>
      <c r="C88" s="568" t="s">
        <v>28</v>
      </c>
      <c r="D88" s="476"/>
      <c r="E88" s="464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717"/>
      <c r="T88" s="63" t="s">
        <v>28</v>
      </c>
      <c r="U88" s="686" t="s">
        <v>28</v>
      </c>
      <c r="V88" s="783" t="s">
        <v>28</v>
      </c>
      <c r="X88" s="6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R88" s="62"/>
      <c r="AX88" s="1"/>
      <c r="BG88" s="142"/>
      <c r="BH88" s="142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2"/>
      <c r="DA88" s="1"/>
      <c r="DS88" s="5"/>
      <c r="DT88" s="142"/>
      <c r="DU88" s="142"/>
      <c r="DV88" s="142"/>
      <c r="DW88" s="142"/>
      <c r="FZ88" s="142"/>
      <c r="JU88" s="142"/>
      <c r="JV88" s="142"/>
      <c r="JW88" s="142"/>
      <c r="JX88" s="142"/>
      <c r="PB88" s="142"/>
      <c r="PC88" s="142"/>
      <c r="PE88" s="142"/>
      <c r="PS88" s="145"/>
      <c r="PW88" s="142"/>
      <c r="RZ88" s="145"/>
      <c r="AHI88" s="141"/>
      <c r="AIX88" s="141"/>
      <c r="AIY88" s="141"/>
      <c r="AIZ88" s="141"/>
    </row>
    <row r="89" spans="2:936" hidden="1" x14ac:dyDescent="0.25">
      <c r="B89" s="729"/>
      <c r="C89" s="462" t="s">
        <v>49</v>
      </c>
      <c r="D89" s="476"/>
      <c r="E89" s="496" t="s">
        <v>28</v>
      </c>
      <c r="F89" s="439">
        <f>F86*12</f>
        <v>206364</v>
      </c>
      <c r="G89" s="439" t="e">
        <f>G86*12</f>
        <v>#REF!</v>
      </c>
      <c r="H89" s="439">
        <f>H86*12</f>
        <v>0</v>
      </c>
      <c r="I89" s="439" t="e">
        <f t="shared" ref="I89:J89" si="7">I86*12</f>
        <v>#REF!</v>
      </c>
      <c r="J89" s="439" t="e">
        <f t="shared" si="7"/>
        <v>#REF!</v>
      </c>
      <c r="K89" s="439"/>
      <c r="L89" s="439"/>
      <c r="M89" s="439"/>
      <c r="N89" s="439"/>
      <c r="O89" s="439"/>
      <c r="P89" s="439"/>
      <c r="Q89" s="439"/>
      <c r="R89" s="439"/>
      <c r="S89" s="717"/>
      <c r="T89" s="54" t="e">
        <f>T86*12</f>
        <v>#REF!</v>
      </c>
      <c r="U89" s="664">
        <f>U86*12</f>
        <v>15054924</v>
      </c>
      <c r="V89" s="767" t="e">
        <f>(T89/U89)*100</f>
        <v>#REF!</v>
      </c>
      <c r="X89" s="6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R89" s="62"/>
      <c r="AX89" s="1"/>
      <c r="BG89" s="142"/>
      <c r="BH89" s="142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2"/>
      <c r="DA89" s="1"/>
      <c r="DS89" s="5"/>
      <c r="DT89" s="142"/>
      <c r="DU89" s="142"/>
      <c r="DV89" s="142"/>
      <c r="DW89" s="142"/>
      <c r="FZ89" s="142"/>
      <c r="JU89" s="142"/>
      <c r="JV89" s="142"/>
      <c r="JW89" s="142"/>
      <c r="JX89" s="142"/>
      <c r="PB89" s="142"/>
      <c r="PC89" s="142"/>
      <c r="PE89" s="142"/>
      <c r="PS89" s="145"/>
      <c r="PW89" s="142"/>
      <c r="RZ89" s="145"/>
      <c r="AHI89" s="141"/>
      <c r="AIX89" s="141"/>
      <c r="AIY89" s="141"/>
      <c r="AIZ89" s="141"/>
    </row>
    <row r="90" spans="2:936" hidden="1" x14ac:dyDescent="0.25">
      <c r="B90" s="729"/>
      <c r="C90" s="462" t="s">
        <v>48</v>
      </c>
      <c r="D90" s="476"/>
      <c r="E90" s="496" t="s">
        <v>28</v>
      </c>
      <c r="F90" s="439">
        <f>F87*6</f>
        <v>117954</v>
      </c>
      <c r="G90" s="439" t="e">
        <f>G87*6</f>
        <v>#REF!</v>
      </c>
      <c r="H90" s="439">
        <f>H87*6</f>
        <v>0</v>
      </c>
      <c r="I90" s="439" t="e">
        <f t="shared" ref="I90:J90" si="8">I87*6</f>
        <v>#REF!</v>
      </c>
      <c r="J90" s="439" t="e">
        <f t="shared" si="8"/>
        <v>#REF!</v>
      </c>
      <c r="K90" s="439"/>
      <c r="L90" s="439"/>
      <c r="M90" s="439"/>
      <c r="N90" s="439"/>
      <c r="O90" s="439"/>
      <c r="P90" s="439"/>
      <c r="Q90" s="439"/>
      <c r="R90" s="439"/>
      <c r="S90" s="717"/>
      <c r="T90" s="54" t="e">
        <f>T87*6</f>
        <v>#REF!</v>
      </c>
      <c r="U90" s="664">
        <f>U87*6</f>
        <v>10300740</v>
      </c>
      <c r="V90" s="767" t="e">
        <f>(T90/U90)*100</f>
        <v>#REF!</v>
      </c>
      <c r="X90" s="6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R90" s="62"/>
      <c r="AX90" s="1"/>
      <c r="BG90" s="142"/>
      <c r="BH90" s="142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2"/>
      <c r="DA90" s="1"/>
      <c r="DS90" s="5"/>
      <c r="DT90" s="142"/>
      <c r="DU90" s="142"/>
      <c r="DV90" s="142"/>
      <c r="DW90" s="142"/>
      <c r="FZ90" s="142"/>
      <c r="JU90" s="142"/>
      <c r="JV90" s="142"/>
      <c r="JW90" s="142"/>
      <c r="JX90" s="142"/>
      <c r="PB90" s="142"/>
      <c r="PC90" s="142"/>
      <c r="PE90" s="142"/>
      <c r="PS90" s="145"/>
      <c r="PW90" s="142"/>
      <c r="RZ90" s="145"/>
      <c r="AHI90" s="141"/>
      <c r="AIX90" s="141"/>
      <c r="AIY90" s="141"/>
      <c r="AIZ90" s="141"/>
    </row>
    <row r="91" spans="2:936" hidden="1" x14ac:dyDescent="0.25">
      <c r="B91" s="729"/>
      <c r="C91" s="568" t="s">
        <v>36</v>
      </c>
      <c r="D91" s="476"/>
      <c r="E91" s="496" t="s">
        <v>35</v>
      </c>
      <c r="F91" s="574">
        <f>(F81*45)/1700</f>
        <v>10562.328</v>
      </c>
      <c r="G91" s="575" t="e">
        <f>(G81*45)/1700</f>
        <v>#REF!</v>
      </c>
      <c r="H91" s="575">
        <f>(H81*45)/1700</f>
        <v>0</v>
      </c>
      <c r="I91" s="574" t="e">
        <f t="shared" ref="I91:J91" si="9">(I81*45)/1700</f>
        <v>#REF!</v>
      </c>
      <c r="J91" s="574" t="e">
        <f t="shared" si="9"/>
        <v>#REF!</v>
      </c>
      <c r="K91" s="574"/>
      <c r="L91" s="574"/>
      <c r="M91" s="574"/>
      <c r="N91" s="574"/>
      <c r="O91" s="574"/>
      <c r="P91" s="574"/>
      <c r="Q91" s="574"/>
      <c r="R91" s="574"/>
      <c r="S91" s="717"/>
      <c r="T91" s="54" t="e">
        <f>SUM(F91:R91)</f>
        <v>#REF!</v>
      </c>
      <c r="U91" s="574" t="e">
        <f>(U81*45)/1700</f>
        <v>#REF!</v>
      </c>
      <c r="V91" s="767" t="e">
        <f>(T91/U91)*100</f>
        <v>#REF!</v>
      </c>
      <c r="X91" s="6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R91" s="62"/>
      <c r="AX91" s="1"/>
      <c r="BG91" s="142"/>
      <c r="BH91" s="142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2"/>
      <c r="DA91" s="1"/>
      <c r="DS91" s="5"/>
      <c r="DT91" s="142"/>
      <c r="DU91" s="142"/>
      <c r="DV91" s="142"/>
      <c r="DW91" s="142"/>
      <c r="FZ91" s="142"/>
      <c r="JU91" s="142"/>
      <c r="JV91" s="142"/>
      <c r="JW91" s="142"/>
      <c r="JX91" s="142"/>
      <c r="PB91" s="142"/>
      <c r="PC91" s="142"/>
      <c r="PE91" s="142"/>
      <c r="PS91" s="145"/>
      <c r="PW91" s="142"/>
      <c r="RZ91" s="145"/>
      <c r="AHI91" s="141"/>
      <c r="AIX91" s="141"/>
      <c r="AIY91" s="141"/>
      <c r="AIZ91" s="141"/>
    </row>
    <row r="92" spans="2:936" hidden="1" x14ac:dyDescent="0.25">
      <c r="B92" s="729"/>
      <c r="C92" s="568" t="s">
        <v>34</v>
      </c>
      <c r="D92" s="476"/>
      <c r="E92" s="496" t="s">
        <v>33</v>
      </c>
      <c r="F92" s="439">
        <f>SUM(F86:F87)/500</f>
        <v>73.712000000000003</v>
      </c>
      <c r="G92" s="439" t="e">
        <f>SUM(G86:G87)/500</f>
        <v>#REF!</v>
      </c>
      <c r="H92" s="439">
        <f>SUM(H86:H87)/500</f>
        <v>0</v>
      </c>
      <c r="I92" s="439" t="e">
        <f t="shared" ref="I92:J92" si="10">SUM(I86:I87)/500</f>
        <v>#REF!</v>
      </c>
      <c r="J92" s="439" t="e">
        <f t="shared" si="10"/>
        <v>#REF!</v>
      </c>
      <c r="K92" s="439"/>
      <c r="L92" s="439"/>
      <c r="M92" s="439"/>
      <c r="N92" s="439"/>
      <c r="O92" s="439"/>
      <c r="P92" s="439"/>
      <c r="Q92" s="439"/>
      <c r="R92" s="439"/>
      <c r="S92" s="717"/>
      <c r="T92" s="54" t="e">
        <f>SUM(F92:R92)</f>
        <v>#REF!</v>
      </c>
      <c r="U92" s="531">
        <f>SUM(U86:U87)/500</f>
        <v>5942.7340000000004</v>
      </c>
      <c r="V92" s="767" t="e">
        <f>(T92/U92)*100</f>
        <v>#REF!</v>
      </c>
      <c r="X92" s="6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R92" s="62"/>
      <c r="AX92" s="1"/>
      <c r="BG92" s="142"/>
      <c r="BH92" s="142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42"/>
      <c r="DA92" s="1"/>
      <c r="DS92" s="5"/>
      <c r="DT92" s="142"/>
      <c r="DU92" s="142"/>
      <c r="DV92" s="142"/>
      <c r="DW92" s="142"/>
      <c r="FZ92" s="142"/>
      <c r="JU92" s="142"/>
      <c r="JV92" s="142"/>
      <c r="JW92" s="142"/>
      <c r="JX92" s="142"/>
      <c r="PB92" s="142"/>
      <c r="PC92" s="142"/>
      <c r="PE92" s="142"/>
      <c r="PS92" s="145"/>
      <c r="PW92" s="142"/>
      <c r="RZ92" s="145"/>
      <c r="AHI92" s="141"/>
      <c r="AIX92" s="141"/>
      <c r="AIY92" s="141"/>
      <c r="AIZ92" s="141"/>
    </row>
    <row r="93" spans="2:936" hidden="1" x14ac:dyDescent="0.25">
      <c r="B93" s="726"/>
      <c r="C93" s="419" t="s">
        <v>32</v>
      </c>
      <c r="D93" s="48"/>
      <c r="E93" s="48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3"/>
      <c r="T93" s="521" t="s">
        <v>131</v>
      </c>
      <c r="U93" s="675" t="s">
        <v>131</v>
      </c>
      <c r="V93" s="774" t="s">
        <v>131</v>
      </c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R93" s="62"/>
      <c r="AX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DA93" s="1"/>
    </row>
    <row r="94" spans="2:936" hidden="1" x14ac:dyDescent="0.25">
      <c r="B94" s="729"/>
      <c r="C94" s="568" t="s">
        <v>29</v>
      </c>
      <c r="D94" s="476"/>
      <c r="E94" s="464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717"/>
      <c r="T94" s="63" t="s">
        <v>29</v>
      </c>
      <c r="U94" s="686" t="s">
        <v>29</v>
      </c>
      <c r="V94" s="783" t="s">
        <v>29</v>
      </c>
      <c r="X94" s="6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R94" s="62"/>
      <c r="AX94" s="1"/>
      <c r="BG94" s="142"/>
      <c r="BH94" s="142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2"/>
      <c r="DA94" s="1"/>
      <c r="DS94" s="5"/>
      <c r="DT94" s="142"/>
      <c r="DU94" s="142"/>
      <c r="DV94" s="142"/>
      <c r="DW94" s="142"/>
      <c r="FZ94" s="142"/>
      <c r="JU94" s="142"/>
      <c r="JV94" s="142"/>
      <c r="JW94" s="142"/>
      <c r="JX94" s="142"/>
      <c r="PB94" s="142"/>
      <c r="PC94" s="142"/>
      <c r="PE94" s="142"/>
      <c r="PS94" s="145"/>
      <c r="PW94" s="142"/>
      <c r="RZ94" s="145"/>
      <c r="AHI94" s="141"/>
      <c r="AIX94" s="141"/>
      <c r="AIY94" s="141"/>
      <c r="AIZ94" s="141"/>
    </row>
    <row r="95" spans="2:936" hidden="1" x14ac:dyDescent="0.25">
      <c r="B95" s="729"/>
      <c r="C95" s="462" t="s">
        <v>49</v>
      </c>
      <c r="D95" s="476"/>
      <c r="E95" s="496" t="s">
        <v>31</v>
      </c>
      <c r="F95" s="33">
        <f>'[7]Januari 24'!AL74</f>
        <v>17197</v>
      </c>
      <c r="G95" s="33" t="e">
        <f>'[7]Februari 24'!AI83</f>
        <v>#REF!</v>
      </c>
      <c r="H95" s="33">
        <f>'[7]Maret 24'!AL83</f>
        <v>0</v>
      </c>
      <c r="I95" s="33" t="e">
        <f>'[7]Januari 24'!AO74</f>
        <v>#REF!</v>
      </c>
      <c r="J95" s="33" t="e">
        <f>'[7]Januari 24'!AP74</f>
        <v>#REF!</v>
      </c>
      <c r="K95" s="33"/>
      <c r="L95" s="33"/>
      <c r="M95" s="33"/>
      <c r="N95" s="33"/>
      <c r="O95" s="33"/>
      <c r="P95" s="33"/>
      <c r="Q95" s="33"/>
      <c r="R95" s="33"/>
      <c r="S95" s="717"/>
      <c r="T95" s="54" t="e">
        <f t="shared" ref="T95:V96" si="11">SUM(F95:R95)</f>
        <v>#REF!</v>
      </c>
      <c r="U95" s="664" t="e">
        <f t="shared" si="11"/>
        <v>#REF!</v>
      </c>
      <c r="V95" s="784" t="e">
        <f t="shared" si="11"/>
        <v>#REF!</v>
      </c>
      <c r="X95" s="6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R95" s="62"/>
      <c r="AX95" s="1"/>
      <c r="BG95" s="142"/>
      <c r="BH95" s="142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2"/>
      <c r="DA95" s="1"/>
      <c r="DS95" s="5"/>
      <c r="DT95" s="142"/>
      <c r="DU95" s="142"/>
      <c r="DV95" s="142"/>
      <c r="DW95" s="142"/>
      <c r="FZ95" s="142"/>
      <c r="JU95" s="142"/>
      <c r="JV95" s="142"/>
      <c r="JW95" s="142"/>
      <c r="JX95" s="142"/>
      <c r="PB95" s="142"/>
      <c r="PC95" s="142"/>
      <c r="PE95" s="142"/>
      <c r="PS95" s="145"/>
      <c r="PW95" s="142"/>
      <c r="RZ95" s="145"/>
      <c r="AHI95" s="141"/>
      <c r="AIX95" s="141"/>
      <c r="AIY95" s="141"/>
      <c r="AIZ95" s="141"/>
    </row>
    <row r="96" spans="2:936" hidden="1" x14ac:dyDescent="0.25">
      <c r="B96" s="729"/>
      <c r="C96" s="462" t="s">
        <v>48</v>
      </c>
      <c r="D96" s="476"/>
      <c r="E96" s="496" t="s">
        <v>31</v>
      </c>
      <c r="F96" s="33">
        <f>'[7]Januari 24'!AL75</f>
        <v>19659</v>
      </c>
      <c r="G96" s="33" t="e">
        <f>'[7]Februari 24'!AI84</f>
        <v>#REF!</v>
      </c>
      <c r="H96" s="33">
        <f>'[7]Maret 24'!AL84</f>
        <v>0</v>
      </c>
      <c r="I96" s="33" t="e">
        <f>'[7]Januari 24'!AO75</f>
        <v>#REF!</v>
      </c>
      <c r="J96" s="33" t="e">
        <f>'[7]Januari 24'!AP75</f>
        <v>#REF!</v>
      </c>
      <c r="K96" s="33"/>
      <c r="L96" s="33"/>
      <c r="M96" s="33"/>
      <c r="N96" s="33"/>
      <c r="O96" s="33"/>
      <c r="P96" s="33"/>
      <c r="Q96" s="33"/>
      <c r="R96" s="33"/>
      <c r="S96" s="717"/>
      <c r="T96" s="54" t="e">
        <f t="shared" si="11"/>
        <v>#REF!</v>
      </c>
      <c r="U96" s="664" t="e">
        <f t="shared" si="11"/>
        <v>#REF!</v>
      </c>
      <c r="V96" s="784" t="e">
        <f t="shared" si="11"/>
        <v>#REF!</v>
      </c>
      <c r="X96" s="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R96" s="62"/>
      <c r="AX96" s="1"/>
      <c r="BG96" s="142"/>
      <c r="BH96" s="142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2"/>
      <c r="DA96" s="1"/>
      <c r="DS96" s="5"/>
      <c r="DT96" s="142"/>
      <c r="DU96" s="142"/>
      <c r="DV96" s="142"/>
      <c r="DW96" s="142"/>
      <c r="FZ96" s="142"/>
      <c r="JU96" s="142"/>
      <c r="JV96" s="142"/>
      <c r="JW96" s="142"/>
      <c r="JX96" s="142"/>
      <c r="PB96" s="142"/>
      <c r="PC96" s="142"/>
      <c r="PE96" s="142"/>
      <c r="PS96" s="145"/>
      <c r="PW96" s="142"/>
      <c r="RZ96" s="145"/>
      <c r="AHI96" s="141"/>
      <c r="AIX96" s="141"/>
      <c r="AIY96" s="141"/>
      <c r="AIZ96" s="141"/>
    </row>
    <row r="97" spans="2:936" hidden="1" x14ac:dyDescent="0.25">
      <c r="B97" s="729"/>
      <c r="C97" s="568" t="s">
        <v>28</v>
      </c>
      <c r="D97" s="476"/>
      <c r="E97" s="464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717"/>
      <c r="T97" s="63" t="s">
        <v>28</v>
      </c>
      <c r="U97" s="686" t="s">
        <v>28</v>
      </c>
      <c r="V97" s="783" t="s">
        <v>28</v>
      </c>
      <c r="X97" s="6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801"/>
      <c r="AK97" s="801"/>
      <c r="AL97" s="801"/>
      <c r="AM97" s="801"/>
      <c r="AN97" s="801"/>
      <c r="AO97" s="801"/>
      <c r="AP97" s="801"/>
      <c r="AQ97" s="801"/>
      <c r="AR97" s="801"/>
      <c r="AS97" s="801"/>
      <c r="AX97" s="1"/>
      <c r="BG97" s="142"/>
      <c r="BH97" s="142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2"/>
      <c r="DA97" s="1"/>
      <c r="DS97" s="5"/>
      <c r="DT97" s="142"/>
      <c r="DU97" s="142"/>
      <c r="DV97" s="142"/>
      <c r="DW97" s="142"/>
      <c r="FZ97" s="142"/>
      <c r="JU97" s="142"/>
      <c r="JV97" s="142"/>
      <c r="JW97" s="142"/>
      <c r="JX97" s="142"/>
      <c r="PB97" s="142"/>
      <c r="PC97" s="142"/>
      <c r="PE97" s="142"/>
      <c r="PS97" s="145"/>
      <c r="PW97" s="142"/>
      <c r="RZ97" s="145"/>
      <c r="AHI97" s="141"/>
      <c r="AIX97" s="141"/>
      <c r="AIY97" s="141"/>
      <c r="AIZ97" s="141"/>
    </row>
    <row r="98" spans="2:936" hidden="1" x14ac:dyDescent="0.25">
      <c r="B98" s="729"/>
      <c r="C98" s="462" t="s">
        <v>49</v>
      </c>
      <c r="D98" s="476"/>
      <c r="E98" s="496" t="s">
        <v>28</v>
      </c>
      <c r="F98" s="576">
        <f>F95*12</f>
        <v>206364</v>
      </c>
      <c r="G98" s="576" t="e">
        <f>G95*12</f>
        <v>#REF!</v>
      </c>
      <c r="H98" s="576">
        <f>H95*12</f>
        <v>0</v>
      </c>
      <c r="I98" s="576" t="e">
        <f t="shared" ref="I98:J98" si="12">I95*12</f>
        <v>#REF!</v>
      </c>
      <c r="J98" s="576" t="e">
        <f t="shared" si="12"/>
        <v>#REF!</v>
      </c>
      <c r="K98" s="576"/>
      <c r="L98" s="576"/>
      <c r="M98" s="576"/>
      <c r="N98" s="576"/>
      <c r="O98" s="576"/>
      <c r="P98" s="576"/>
      <c r="Q98" s="576"/>
      <c r="R98" s="576"/>
      <c r="S98" s="717"/>
      <c r="T98" s="54" t="e">
        <f t="shared" ref="T98:V99" si="13">SUM(F98:R98)</f>
        <v>#REF!</v>
      </c>
      <c r="U98" s="664" t="e">
        <f t="shared" si="13"/>
        <v>#REF!</v>
      </c>
      <c r="V98" s="784" t="e">
        <f t="shared" si="13"/>
        <v>#REF!</v>
      </c>
      <c r="X98" s="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811"/>
      <c r="AK98" s="801"/>
      <c r="AL98" s="801"/>
      <c r="AM98" s="801"/>
      <c r="AN98" s="812"/>
      <c r="AO98" s="801"/>
      <c r="AP98" s="801"/>
      <c r="AQ98" s="801"/>
      <c r="AR98" s="801"/>
      <c r="AS98" s="801"/>
      <c r="AX98" s="1"/>
      <c r="BG98" s="142"/>
      <c r="BH98" s="14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2"/>
      <c r="DA98" s="1"/>
      <c r="DS98" s="5"/>
      <c r="DT98" s="142"/>
      <c r="DU98" s="142"/>
      <c r="DV98" s="142"/>
      <c r="DW98" s="142"/>
      <c r="FZ98" s="142"/>
      <c r="JU98" s="142"/>
      <c r="JV98" s="142"/>
      <c r="JW98" s="142"/>
      <c r="JX98" s="142"/>
      <c r="PB98" s="142"/>
      <c r="PC98" s="142"/>
      <c r="PE98" s="142"/>
      <c r="PS98" s="145"/>
      <c r="PW98" s="142"/>
      <c r="RZ98" s="145"/>
      <c r="AHI98" s="141"/>
      <c r="AIX98" s="141"/>
      <c r="AIY98" s="141"/>
      <c r="AIZ98" s="141"/>
    </row>
    <row r="99" spans="2:936" hidden="1" x14ac:dyDescent="0.25">
      <c r="B99" s="729"/>
      <c r="C99" s="462" t="s">
        <v>48</v>
      </c>
      <c r="D99" s="476"/>
      <c r="E99" s="496" t="s">
        <v>28</v>
      </c>
      <c r="F99" s="576">
        <f>F96*6</f>
        <v>117954</v>
      </c>
      <c r="G99" s="576" t="e">
        <f>G96*6</f>
        <v>#REF!</v>
      </c>
      <c r="H99" s="576">
        <f>H96*6</f>
        <v>0</v>
      </c>
      <c r="I99" s="576" t="e">
        <f t="shared" ref="I99:J99" si="14">I96*6</f>
        <v>#REF!</v>
      </c>
      <c r="J99" s="576" t="e">
        <f t="shared" si="14"/>
        <v>#REF!</v>
      </c>
      <c r="K99" s="576"/>
      <c r="L99" s="576"/>
      <c r="M99" s="576"/>
      <c r="N99" s="576"/>
      <c r="O99" s="576"/>
      <c r="P99" s="576"/>
      <c r="Q99" s="576"/>
      <c r="R99" s="576"/>
      <c r="S99" s="717"/>
      <c r="T99" s="54" t="e">
        <f t="shared" si="13"/>
        <v>#REF!</v>
      </c>
      <c r="U99" s="664" t="e">
        <f t="shared" si="13"/>
        <v>#REF!</v>
      </c>
      <c r="V99" s="784" t="e">
        <f t="shared" si="13"/>
        <v>#REF!</v>
      </c>
      <c r="X99" s="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801"/>
      <c r="AK99" s="801"/>
      <c r="AL99" s="801"/>
      <c r="AM99" s="801"/>
      <c r="AN99" s="801"/>
      <c r="AO99" s="801"/>
      <c r="AP99" s="801"/>
      <c r="AQ99" s="801"/>
      <c r="AR99" s="801"/>
      <c r="AS99" s="801"/>
      <c r="AX99" s="1"/>
      <c r="BG99" s="142"/>
      <c r="BH99" s="142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2"/>
      <c r="DA99" s="1"/>
      <c r="DS99" s="5"/>
      <c r="DT99" s="142"/>
      <c r="DU99" s="142"/>
      <c r="DV99" s="142"/>
      <c r="DW99" s="142"/>
      <c r="FZ99" s="142"/>
      <c r="JU99" s="142"/>
      <c r="JV99" s="142"/>
      <c r="JW99" s="142"/>
      <c r="JX99" s="142"/>
      <c r="PB99" s="142"/>
      <c r="PC99" s="142"/>
      <c r="PE99" s="142"/>
      <c r="PS99" s="145"/>
      <c r="PW99" s="142"/>
      <c r="RZ99" s="145"/>
      <c r="AHI99" s="141"/>
      <c r="AIX99" s="141"/>
      <c r="AIY99" s="141"/>
      <c r="AIZ99" s="141"/>
    </row>
    <row r="100" spans="2:936" hidden="1" x14ac:dyDescent="0.25">
      <c r="B100" s="726"/>
      <c r="C100" s="419" t="s">
        <v>30</v>
      </c>
      <c r="D100" s="48"/>
      <c r="E100" s="48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3"/>
      <c r="T100" s="521" t="s">
        <v>131</v>
      </c>
      <c r="U100" s="675" t="s">
        <v>131</v>
      </c>
      <c r="V100" s="774" t="s">
        <v>131</v>
      </c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801"/>
      <c r="AK100" s="801"/>
      <c r="AL100" s="801"/>
      <c r="AM100" s="801"/>
      <c r="AN100" s="801"/>
      <c r="AO100" s="801"/>
      <c r="AP100" s="801"/>
      <c r="AQ100" s="801"/>
      <c r="AR100" s="801"/>
      <c r="AS100" s="801"/>
      <c r="AX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DA100" s="1"/>
    </row>
    <row r="101" spans="2:936" hidden="1" x14ac:dyDescent="0.25">
      <c r="B101" s="729"/>
      <c r="C101" s="568" t="s">
        <v>29</v>
      </c>
      <c r="D101" s="476"/>
      <c r="E101" s="464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717"/>
      <c r="T101" s="63" t="s">
        <v>29</v>
      </c>
      <c r="U101" s="686" t="s">
        <v>29</v>
      </c>
      <c r="V101" s="783" t="s">
        <v>29</v>
      </c>
      <c r="X101" s="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801"/>
      <c r="AK101" s="801"/>
      <c r="AL101" s="801"/>
      <c r="AM101" s="801"/>
      <c r="AN101" s="801"/>
      <c r="AO101" s="801"/>
      <c r="AP101" s="801"/>
      <c r="AQ101" s="801"/>
      <c r="AR101" s="801"/>
      <c r="AS101" s="801"/>
      <c r="AX101" s="1"/>
      <c r="BG101" s="142"/>
      <c r="BH101" s="142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2"/>
      <c r="DA101" s="1"/>
      <c r="DS101" s="5"/>
      <c r="DT101" s="142"/>
      <c r="DU101" s="142"/>
      <c r="DV101" s="142"/>
      <c r="DW101" s="142"/>
      <c r="FZ101" s="142"/>
      <c r="JU101" s="142"/>
      <c r="JV101" s="142"/>
      <c r="JW101" s="142"/>
      <c r="JX101" s="142"/>
      <c r="PB101" s="142"/>
      <c r="PC101" s="142"/>
      <c r="PE101" s="142"/>
      <c r="PS101" s="145"/>
      <c r="PW101" s="142"/>
      <c r="RZ101" s="145"/>
      <c r="AHI101" s="141"/>
      <c r="AIX101" s="141"/>
      <c r="AIY101" s="141"/>
      <c r="AIZ101" s="141"/>
    </row>
    <row r="102" spans="2:936" hidden="1" x14ac:dyDescent="0.25">
      <c r="B102" s="729"/>
      <c r="C102" s="462" t="s">
        <v>49</v>
      </c>
      <c r="D102" s="463">
        <v>0.3</v>
      </c>
      <c r="E102" s="496" t="s">
        <v>25</v>
      </c>
      <c r="F102" s="440">
        <f>F95/F86*100</f>
        <v>100</v>
      </c>
      <c r="G102" s="440" t="e">
        <f t="shared" ref="G102:J103" si="15">G95/G86*100</f>
        <v>#REF!</v>
      </c>
      <c r="H102" s="440" t="e">
        <f t="shared" si="15"/>
        <v>#DIV/0!</v>
      </c>
      <c r="I102" s="440" t="e">
        <f t="shared" si="15"/>
        <v>#REF!</v>
      </c>
      <c r="J102" s="440" t="e">
        <f t="shared" si="15"/>
        <v>#REF!</v>
      </c>
      <c r="K102" s="577"/>
      <c r="L102" s="577"/>
      <c r="M102" s="577"/>
      <c r="N102" s="577"/>
      <c r="O102" s="577"/>
      <c r="P102" s="577"/>
      <c r="Q102" s="577"/>
      <c r="R102" s="577"/>
      <c r="S102" s="717"/>
      <c r="T102" s="58" t="e">
        <f t="shared" ref="T102:V103" si="16">T95/T86*100</f>
        <v>#REF!</v>
      </c>
      <c r="U102" s="667" t="e">
        <f t="shared" si="16"/>
        <v>#REF!</v>
      </c>
      <c r="V102" s="767" t="e">
        <f t="shared" si="16"/>
        <v>#REF!</v>
      </c>
      <c r="X102" s="6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801"/>
      <c r="AK102" s="801"/>
      <c r="AL102" s="801"/>
      <c r="AM102" s="801"/>
      <c r="AN102" s="801"/>
      <c r="AO102" s="801"/>
      <c r="AP102" s="801"/>
      <c r="AQ102" s="801"/>
      <c r="AR102" s="801"/>
      <c r="AS102" s="801"/>
      <c r="AX102" s="1"/>
      <c r="BG102" s="142"/>
      <c r="BH102" s="142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2"/>
      <c r="DA102" s="1"/>
      <c r="DS102" s="5"/>
      <c r="DT102" s="142"/>
      <c r="DU102" s="142"/>
      <c r="DV102" s="142"/>
      <c r="DW102" s="142"/>
      <c r="FZ102" s="142"/>
      <c r="JU102" s="142"/>
      <c r="JV102" s="142"/>
      <c r="JW102" s="142"/>
      <c r="JX102" s="142"/>
      <c r="PB102" s="142"/>
      <c r="PC102" s="142"/>
      <c r="PE102" s="142"/>
      <c r="PS102" s="145"/>
      <c r="PW102" s="142"/>
      <c r="RZ102" s="145"/>
      <c r="AHI102" s="141"/>
      <c r="AIX102" s="141"/>
      <c r="AIY102" s="141"/>
      <c r="AIZ102" s="141"/>
    </row>
    <row r="103" spans="2:936" hidden="1" x14ac:dyDescent="0.25">
      <c r="B103" s="729"/>
      <c r="C103" s="462" t="s">
        <v>48</v>
      </c>
      <c r="D103" s="463">
        <v>0.3</v>
      </c>
      <c r="E103" s="496" t="s">
        <v>25</v>
      </c>
      <c r="F103" s="440">
        <f>F96/F87*100</f>
        <v>100</v>
      </c>
      <c r="G103" s="440" t="e">
        <f t="shared" si="15"/>
        <v>#REF!</v>
      </c>
      <c r="H103" s="440" t="e">
        <f t="shared" si="15"/>
        <v>#DIV/0!</v>
      </c>
      <c r="I103" s="440" t="e">
        <f t="shared" si="15"/>
        <v>#REF!</v>
      </c>
      <c r="J103" s="440" t="e">
        <f t="shared" si="15"/>
        <v>#REF!</v>
      </c>
      <c r="K103" s="577"/>
      <c r="L103" s="577"/>
      <c r="M103" s="577"/>
      <c r="N103" s="577"/>
      <c r="O103" s="577"/>
      <c r="P103" s="577"/>
      <c r="Q103" s="577"/>
      <c r="R103" s="577"/>
      <c r="S103" s="717"/>
      <c r="T103" s="58" t="e">
        <f t="shared" si="16"/>
        <v>#REF!</v>
      </c>
      <c r="U103" s="667" t="e">
        <f t="shared" si="16"/>
        <v>#REF!</v>
      </c>
      <c r="V103" s="767" t="e">
        <f t="shared" si="16"/>
        <v>#REF!</v>
      </c>
      <c r="X103" s="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801"/>
      <c r="AK103" s="801"/>
      <c r="AL103" s="801"/>
      <c r="AM103" s="801"/>
      <c r="AN103" s="801"/>
      <c r="AO103" s="801"/>
      <c r="AP103" s="801"/>
      <c r="AQ103" s="801"/>
      <c r="AR103" s="801"/>
      <c r="AS103" s="801"/>
      <c r="AX103" s="1"/>
      <c r="BG103" s="142"/>
      <c r="BH103" s="142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2"/>
      <c r="DA103" s="1"/>
      <c r="DS103" s="5"/>
      <c r="DT103" s="142"/>
      <c r="DU103" s="142"/>
      <c r="DV103" s="142"/>
      <c r="DW103" s="142"/>
      <c r="FZ103" s="142"/>
      <c r="JU103" s="142"/>
      <c r="JV103" s="142"/>
      <c r="JW103" s="142"/>
      <c r="JX103" s="142"/>
      <c r="PB103" s="142"/>
      <c r="PC103" s="142"/>
      <c r="PE103" s="142"/>
      <c r="PS103" s="145"/>
      <c r="PW103" s="142"/>
      <c r="RZ103" s="145"/>
      <c r="AHI103" s="141"/>
      <c r="AIX103" s="141"/>
      <c r="AIY103" s="141"/>
      <c r="AIZ103" s="141"/>
    </row>
    <row r="104" spans="2:936" hidden="1" x14ac:dyDescent="0.25">
      <c r="B104" s="729"/>
      <c r="C104" s="568" t="s">
        <v>28</v>
      </c>
      <c r="D104" s="463"/>
      <c r="E104" s="464"/>
      <c r="F104" s="440"/>
      <c r="G104" s="440"/>
      <c r="H104" s="440"/>
      <c r="I104" s="440"/>
      <c r="J104" s="440"/>
      <c r="K104" s="440"/>
      <c r="L104" s="440"/>
      <c r="M104" s="440"/>
      <c r="N104" s="440"/>
      <c r="O104" s="440"/>
      <c r="P104" s="440"/>
      <c r="Q104" s="440"/>
      <c r="R104" s="440"/>
      <c r="S104" s="717"/>
      <c r="T104" s="63" t="s">
        <v>28</v>
      </c>
      <c r="U104" s="686" t="s">
        <v>28</v>
      </c>
      <c r="V104" s="783" t="s">
        <v>28</v>
      </c>
      <c r="X104" s="6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801"/>
      <c r="AK104" s="801"/>
      <c r="AL104" s="801"/>
      <c r="AM104" s="801"/>
      <c r="AN104" s="801"/>
      <c r="AO104" s="801"/>
      <c r="AP104" s="801"/>
      <c r="AQ104" s="801"/>
      <c r="AR104" s="801"/>
      <c r="AS104" s="801"/>
      <c r="AX104" s="1"/>
      <c r="BG104" s="142"/>
      <c r="BH104" s="142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2"/>
      <c r="DA104" s="1"/>
      <c r="DS104" s="5"/>
      <c r="DT104" s="142"/>
      <c r="DU104" s="142"/>
      <c r="DV104" s="142"/>
      <c r="DW104" s="142"/>
      <c r="FZ104" s="142"/>
      <c r="JU104" s="142"/>
      <c r="JV104" s="142"/>
      <c r="JW104" s="142"/>
      <c r="JX104" s="142"/>
      <c r="PB104" s="142"/>
      <c r="PC104" s="142"/>
      <c r="PE104" s="142"/>
      <c r="PS104" s="145"/>
      <c r="PW104" s="142"/>
      <c r="RZ104" s="145"/>
      <c r="AHI104" s="141"/>
      <c r="AIX104" s="141"/>
      <c r="AIY104" s="141"/>
      <c r="AIZ104" s="141"/>
    </row>
    <row r="105" spans="2:936" hidden="1" x14ac:dyDescent="0.25">
      <c r="B105" s="729"/>
      <c r="C105" s="462" t="s">
        <v>49</v>
      </c>
      <c r="D105" s="463">
        <v>0.5</v>
      </c>
      <c r="E105" s="496" t="s">
        <v>25</v>
      </c>
      <c r="F105" s="440">
        <f>F98/F89*100</f>
        <v>100</v>
      </c>
      <c r="G105" s="440" t="e">
        <f t="shared" ref="G105:J106" si="17">G98/G89*100</f>
        <v>#REF!</v>
      </c>
      <c r="H105" s="440" t="e">
        <f t="shared" si="17"/>
        <v>#DIV/0!</v>
      </c>
      <c r="I105" s="440" t="e">
        <f t="shared" si="17"/>
        <v>#REF!</v>
      </c>
      <c r="J105" s="440" t="e">
        <f t="shared" si="17"/>
        <v>#REF!</v>
      </c>
      <c r="K105" s="577"/>
      <c r="L105" s="577"/>
      <c r="M105" s="577"/>
      <c r="N105" s="577"/>
      <c r="O105" s="577"/>
      <c r="P105" s="577"/>
      <c r="Q105" s="577"/>
      <c r="R105" s="577"/>
      <c r="S105" s="717"/>
      <c r="T105" s="58" t="e">
        <f t="shared" ref="T105:V106" si="18">T98/T89*100</f>
        <v>#REF!</v>
      </c>
      <c r="U105" s="667" t="e">
        <f t="shared" si="18"/>
        <v>#REF!</v>
      </c>
      <c r="V105" s="767" t="e">
        <f t="shared" si="18"/>
        <v>#REF!</v>
      </c>
      <c r="X105" s="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801"/>
      <c r="AK105" s="801"/>
      <c r="AL105" s="801"/>
      <c r="AM105" s="801"/>
      <c r="AN105" s="801"/>
      <c r="AO105" s="801"/>
      <c r="AP105" s="801"/>
      <c r="AQ105" s="801"/>
      <c r="AR105" s="801"/>
      <c r="AS105" s="801"/>
      <c r="AX105" s="1"/>
      <c r="BG105" s="142"/>
      <c r="BH105" s="142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2"/>
      <c r="DA105" s="1"/>
      <c r="DS105" s="5"/>
      <c r="DT105" s="142"/>
      <c r="DU105" s="142"/>
      <c r="DV105" s="142"/>
      <c r="DW105" s="142"/>
      <c r="FZ105" s="142"/>
      <c r="JU105" s="142"/>
      <c r="JV105" s="142"/>
      <c r="JW105" s="142"/>
      <c r="JX105" s="142"/>
      <c r="PB105" s="142"/>
      <c r="PC105" s="142"/>
      <c r="PE105" s="142"/>
      <c r="PS105" s="145"/>
      <c r="PW105" s="142"/>
      <c r="RZ105" s="145"/>
      <c r="AHI105" s="141"/>
      <c r="AIX105" s="141"/>
      <c r="AIY105" s="141"/>
      <c r="AIZ105" s="141"/>
    </row>
    <row r="106" spans="2:936" hidden="1" x14ac:dyDescent="0.25">
      <c r="B106" s="729"/>
      <c r="C106" s="462" t="s">
        <v>48</v>
      </c>
      <c r="D106" s="463">
        <v>0.5</v>
      </c>
      <c r="E106" s="496" t="s">
        <v>25</v>
      </c>
      <c r="F106" s="440">
        <f>F99/F90*100</f>
        <v>100</v>
      </c>
      <c r="G106" s="440" t="e">
        <f t="shared" si="17"/>
        <v>#REF!</v>
      </c>
      <c r="H106" s="440" t="e">
        <f t="shared" si="17"/>
        <v>#DIV/0!</v>
      </c>
      <c r="I106" s="440" t="e">
        <f t="shared" si="17"/>
        <v>#REF!</v>
      </c>
      <c r="J106" s="440" t="e">
        <f t="shared" si="17"/>
        <v>#REF!</v>
      </c>
      <c r="K106" s="577"/>
      <c r="L106" s="577"/>
      <c r="M106" s="577"/>
      <c r="N106" s="577"/>
      <c r="O106" s="577"/>
      <c r="P106" s="577"/>
      <c r="Q106" s="577"/>
      <c r="R106" s="577"/>
      <c r="S106" s="717"/>
      <c r="T106" s="58" t="e">
        <f t="shared" si="18"/>
        <v>#REF!</v>
      </c>
      <c r="U106" s="667" t="e">
        <f t="shared" si="18"/>
        <v>#REF!</v>
      </c>
      <c r="V106" s="767" t="e">
        <f t="shared" si="18"/>
        <v>#REF!</v>
      </c>
      <c r="X106" s="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801"/>
      <c r="AK106" s="801"/>
      <c r="AL106" s="801"/>
      <c r="AM106" s="801"/>
      <c r="AN106" s="801"/>
      <c r="AO106" s="801"/>
      <c r="AP106" s="801"/>
      <c r="AQ106" s="801"/>
      <c r="AR106" s="801"/>
      <c r="AS106" s="801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145"/>
      <c r="PW106" s="142"/>
      <c r="RZ106" s="145"/>
      <c r="AHI106" s="141"/>
      <c r="AIX106" s="141"/>
      <c r="AIY106" s="141"/>
      <c r="AIZ106" s="141"/>
    </row>
    <row r="107" spans="2:936" hidden="1" x14ac:dyDescent="0.25">
      <c r="B107" s="725">
        <v>6</v>
      </c>
      <c r="C107" s="419" t="s">
        <v>47</v>
      </c>
      <c r="D107" s="48"/>
      <c r="E107" s="48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3"/>
      <c r="T107" s="521" t="s">
        <v>130</v>
      </c>
      <c r="U107" s="675" t="s">
        <v>130</v>
      </c>
      <c r="V107" s="774" t="s">
        <v>130</v>
      </c>
      <c r="X107" s="6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801"/>
      <c r="AK107" s="801"/>
      <c r="AL107" s="801"/>
      <c r="AM107" s="801"/>
      <c r="AN107" s="801"/>
      <c r="AO107" s="801"/>
      <c r="AP107" s="801"/>
      <c r="AQ107" s="801"/>
      <c r="AR107" s="801"/>
      <c r="AS107" s="801"/>
      <c r="AX107" s="1"/>
      <c r="BG107" s="141"/>
      <c r="BH107" s="14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1"/>
      <c r="DA107" s="1"/>
      <c r="DS107" s="5"/>
      <c r="DT107" s="141"/>
      <c r="DU107" s="141"/>
      <c r="DV107" s="141"/>
      <c r="DW107" s="141"/>
      <c r="FZ107" s="141"/>
      <c r="JU107" s="141"/>
      <c r="JV107" s="141"/>
      <c r="JW107" s="141"/>
      <c r="JX107" s="141"/>
      <c r="PB107" s="141"/>
      <c r="PC107" s="141"/>
      <c r="PE107" s="141"/>
      <c r="PS107" s="481"/>
      <c r="PW107" s="141"/>
      <c r="RZ107" s="481"/>
      <c r="AHI107" s="141"/>
      <c r="AIX107" s="141"/>
      <c r="AIY107" s="141"/>
      <c r="AIZ107" s="141"/>
    </row>
    <row r="108" spans="2:936" hidden="1" x14ac:dyDescent="0.25">
      <c r="B108" s="726"/>
      <c r="C108" s="578" t="s">
        <v>46</v>
      </c>
      <c r="D108" s="579"/>
      <c r="E108" s="20" t="s">
        <v>14</v>
      </c>
      <c r="F108" s="580">
        <f>'[7]Januari 24'!AL96</f>
        <v>461724.07999999996</v>
      </c>
      <c r="G108" s="581" t="e">
        <f>'[7]Februari 24'!AI96</f>
        <v>#REF!</v>
      </c>
      <c r="H108" s="580">
        <f>'[7]Maret 24'!AL96</f>
        <v>0</v>
      </c>
      <c r="I108" s="580" t="e">
        <f>'[7]Januari 24'!AO96</f>
        <v>#REF!</v>
      </c>
      <c r="J108" s="580" t="e">
        <f>'[7]Januari 24'!AP96</f>
        <v>#REF!</v>
      </c>
      <c r="K108" s="580"/>
      <c r="L108" s="580"/>
      <c r="M108" s="580"/>
      <c r="N108" s="580"/>
      <c r="O108" s="580"/>
      <c r="P108" s="580"/>
      <c r="Q108" s="580"/>
      <c r="R108" s="580"/>
      <c r="S108" s="731"/>
      <c r="T108" s="89" t="e">
        <f>SUM(T109:T110)</f>
        <v>#REF!</v>
      </c>
      <c r="U108" s="684" t="e">
        <f>SUM(U109:U110)</f>
        <v>#REF!</v>
      </c>
      <c r="V108" s="785" t="e">
        <f>SUM(V109:V110)</f>
        <v>#REF!</v>
      </c>
      <c r="X108" s="813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811"/>
      <c r="AK108" s="811"/>
      <c r="AL108" s="811"/>
      <c r="AM108" s="811"/>
      <c r="AN108" s="811"/>
      <c r="AO108" s="811"/>
      <c r="AP108" s="811"/>
      <c r="AQ108" s="811"/>
      <c r="AR108" s="811"/>
      <c r="AS108" s="811"/>
      <c r="AX108" s="1"/>
      <c r="BG108" s="146"/>
      <c r="BH108" s="146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6"/>
      <c r="DA108" s="1"/>
      <c r="DS108" s="435"/>
      <c r="DT108" s="146"/>
      <c r="DU108" s="146"/>
      <c r="DV108" s="146"/>
      <c r="DW108" s="146"/>
      <c r="FZ108" s="146"/>
      <c r="JU108" s="146"/>
      <c r="JV108" s="146"/>
      <c r="JW108" s="146"/>
      <c r="JX108" s="146"/>
      <c r="PB108" s="146"/>
      <c r="PC108" s="146"/>
      <c r="PE108" s="146"/>
      <c r="PS108" s="562"/>
      <c r="PW108" s="146"/>
      <c r="RZ108" s="562"/>
      <c r="AHI108" s="151"/>
      <c r="AIX108" s="151"/>
      <c r="AIY108" s="151"/>
      <c r="AIZ108" s="151"/>
    </row>
    <row r="109" spans="2:936" hidden="1" x14ac:dyDescent="0.25">
      <c r="B109" s="729"/>
      <c r="C109" s="568" t="s">
        <v>39</v>
      </c>
      <c r="D109" s="476"/>
      <c r="E109" s="496" t="s">
        <v>14</v>
      </c>
      <c r="F109" s="440">
        <f>SUM(F113:F114)*10.86</f>
        <v>463439.63999999996</v>
      </c>
      <c r="G109" s="525">
        <f>SUM(G113:G114)*10.86</f>
        <v>0</v>
      </c>
      <c r="H109" s="523">
        <f>'[7]Maret 24'!AL97</f>
        <v>0</v>
      </c>
      <c r="I109" s="440" t="e">
        <f t="shared" ref="I109:J109" si="19">SUM(I113:I114)*10.86</f>
        <v>#REF!</v>
      </c>
      <c r="J109" s="440" t="e">
        <f t="shared" si="19"/>
        <v>#REF!</v>
      </c>
      <c r="K109" s="440"/>
      <c r="L109" s="525"/>
      <c r="M109" s="440"/>
      <c r="N109" s="525"/>
      <c r="O109" s="525"/>
      <c r="P109" s="525"/>
      <c r="Q109" s="525"/>
      <c r="R109" s="440"/>
      <c r="S109" s="717"/>
      <c r="T109" s="58" t="e">
        <f t="shared" ref="T109:V110" si="20">SUM(F109:R109)</f>
        <v>#REF!</v>
      </c>
      <c r="U109" s="667" t="e">
        <f t="shared" si="20"/>
        <v>#REF!</v>
      </c>
      <c r="V109" s="767" t="e">
        <f t="shared" si="20"/>
        <v>#REF!</v>
      </c>
      <c r="X109" s="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814"/>
      <c r="AK109" s="811"/>
      <c r="AL109" s="811"/>
      <c r="AM109" s="811"/>
      <c r="AN109" s="811"/>
      <c r="AO109" s="811"/>
      <c r="AP109" s="801"/>
      <c r="AQ109" s="801"/>
      <c r="AR109" s="801"/>
      <c r="AS109" s="801"/>
      <c r="AX109" s="1"/>
      <c r="BG109" s="142"/>
      <c r="BH109" s="142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2"/>
      <c r="DA109" s="1"/>
      <c r="DS109" s="5"/>
      <c r="DT109" s="142"/>
      <c r="DU109" s="142"/>
      <c r="DV109" s="142"/>
      <c r="DW109" s="142"/>
      <c r="FZ109" s="142"/>
      <c r="JU109" s="142"/>
      <c r="JV109" s="142"/>
      <c r="JW109" s="142"/>
      <c r="JX109" s="142"/>
      <c r="PB109" s="142"/>
      <c r="PC109" s="582"/>
      <c r="PE109" s="142"/>
      <c r="PS109" s="145"/>
      <c r="PW109" s="142"/>
      <c r="RZ109" s="145"/>
      <c r="AHI109" s="141"/>
      <c r="AIX109" s="141"/>
      <c r="AIY109" s="141"/>
      <c r="AIZ109" s="141"/>
    </row>
    <row r="110" spans="2:936" hidden="1" x14ac:dyDescent="0.25">
      <c r="B110" s="729"/>
      <c r="C110" s="568" t="s">
        <v>38</v>
      </c>
      <c r="D110" s="476"/>
      <c r="E110" s="496" t="s">
        <v>14</v>
      </c>
      <c r="F110" s="440">
        <f>F108-F109</f>
        <v>-1715.5599999999977</v>
      </c>
      <c r="G110" s="523" t="e">
        <f t="shared" ref="G110" si="21">G108-G109</f>
        <v>#REF!</v>
      </c>
      <c r="H110" s="523">
        <f>'[7]Maret 24'!AL98</f>
        <v>0</v>
      </c>
      <c r="I110" s="440" t="e">
        <f t="shared" ref="I110:J110" si="22">I108-I109</f>
        <v>#REF!</v>
      </c>
      <c r="J110" s="440" t="e">
        <f t="shared" si="22"/>
        <v>#REF!</v>
      </c>
      <c r="K110" s="440"/>
      <c r="L110" s="525"/>
      <c r="M110" s="440"/>
      <c r="N110" s="525"/>
      <c r="O110" s="525"/>
      <c r="P110" s="525"/>
      <c r="Q110" s="525"/>
      <c r="R110" s="440"/>
      <c r="S110" s="717"/>
      <c r="T110" s="58" t="e">
        <f t="shared" si="20"/>
        <v>#REF!</v>
      </c>
      <c r="U110" s="667" t="e">
        <f t="shared" si="20"/>
        <v>#REF!</v>
      </c>
      <c r="V110" s="767" t="e">
        <f t="shared" si="20"/>
        <v>#REF!</v>
      </c>
      <c r="X110" s="6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801"/>
      <c r="AK110" s="801"/>
      <c r="AL110" s="801"/>
      <c r="AM110" s="801"/>
      <c r="AN110" s="801"/>
      <c r="AO110" s="801"/>
      <c r="AP110" s="801"/>
      <c r="AQ110" s="801"/>
      <c r="AR110" s="801"/>
      <c r="AS110" s="801"/>
      <c r="AX110" s="1"/>
      <c r="BG110" s="142"/>
      <c r="BH110" s="142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2"/>
      <c r="DA110" s="1"/>
      <c r="DS110" s="5"/>
      <c r="DT110" s="142"/>
      <c r="DU110" s="142"/>
      <c r="DV110" s="142"/>
      <c r="DW110" s="142"/>
      <c r="FZ110" s="142"/>
      <c r="JU110" s="142"/>
      <c r="JV110" s="142"/>
      <c r="JW110" s="142"/>
      <c r="JX110" s="142"/>
      <c r="PB110" s="142"/>
      <c r="PC110" s="142"/>
      <c r="PE110" s="142"/>
      <c r="PS110" s="145"/>
      <c r="PW110" s="142"/>
      <c r="RZ110" s="145"/>
      <c r="AHI110" s="141"/>
      <c r="AIX110" s="141"/>
      <c r="AIY110" s="141"/>
      <c r="AIZ110" s="141"/>
    </row>
    <row r="111" spans="2:936" hidden="1" x14ac:dyDescent="0.25">
      <c r="B111" s="729"/>
      <c r="C111" s="568" t="s">
        <v>50</v>
      </c>
      <c r="D111" s="476"/>
      <c r="E111" s="496" t="s">
        <v>14</v>
      </c>
      <c r="F111" s="440"/>
      <c r="G111" s="523">
        <v>0</v>
      </c>
      <c r="H111" s="440">
        <f>'[7]Maret 24'!AL99</f>
        <v>0</v>
      </c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717"/>
      <c r="T111" s="58"/>
      <c r="U111" s="667"/>
      <c r="V111" s="767"/>
      <c r="X111" s="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801"/>
      <c r="AK111" s="801"/>
      <c r="AL111" s="801"/>
      <c r="AM111" s="801"/>
      <c r="AN111" s="801"/>
      <c r="AO111" s="801"/>
      <c r="AP111" s="801"/>
      <c r="AQ111" s="801"/>
      <c r="AR111" s="801"/>
      <c r="AS111" s="801"/>
      <c r="AX111" s="1"/>
      <c r="BG111" s="142"/>
      <c r="BH111" s="142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2"/>
      <c r="DA111" s="1"/>
      <c r="DS111" s="5"/>
      <c r="DT111" s="142"/>
      <c r="DU111" s="142"/>
      <c r="DV111" s="142"/>
      <c r="DW111" s="142"/>
      <c r="FZ111" s="142"/>
      <c r="JU111" s="142"/>
      <c r="JV111" s="142"/>
      <c r="JW111" s="142"/>
      <c r="JX111" s="142"/>
      <c r="PB111" s="142"/>
      <c r="PC111" s="142"/>
      <c r="PE111" s="142"/>
      <c r="PS111" s="145"/>
      <c r="PW111" s="142"/>
      <c r="RZ111" s="145"/>
      <c r="AHI111" s="141"/>
      <c r="AIX111" s="141"/>
      <c r="AIY111" s="141"/>
      <c r="AIZ111" s="141"/>
    </row>
    <row r="112" spans="2:936" hidden="1" x14ac:dyDescent="0.25">
      <c r="B112" s="729"/>
      <c r="C112" s="568" t="s">
        <v>29</v>
      </c>
      <c r="D112" s="476"/>
      <c r="E112" s="464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717"/>
      <c r="T112" s="63" t="s">
        <v>29</v>
      </c>
      <c r="U112" s="686" t="s">
        <v>29</v>
      </c>
      <c r="V112" s="783" t="s">
        <v>29</v>
      </c>
      <c r="X112" s="6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801"/>
      <c r="AK112" s="801"/>
      <c r="AL112" s="801"/>
      <c r="AM112" s="801"/>
      <c r="AN112" s="801"/>
      <c r="AO112" s="801"/>
      <c r="AP112" s="801"/>
      <c r="AQ112" s="801"/>
      <c r="AR112" s="801"/>
      <c r="AS112" s="801"/>
      <c r="AX112" s="1"/>
      <c r="BG112" s="142"/>
      <c r="BH112" s="142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2"/>
      <c r="DA112" s="1"/>
      <c r="DS112" s="5"/>
      <c r="DT112" s="142"/>
      <c r="DU112" s="142"/>
      <c r="DV112" s="142"/>
      <c r="DW112" s="142"/>
      <c r="FZ112" s="142"/>
      <c r="JU112" s="142"/>
      <c r="JV112" s="142"/>
      <c r="JW112" s="142"/>
      <c r="JX112" s="142"/>
      <c r="PB112" s="142"/>
      <c r="PC112" s="142"/>
      <c r="PE112" s="142"/>
      <c r="PS112" s="145"/>
      <c r="PW112" s="142"/>
      <c r="RZ112" s="145"/>
      <c r="AHI112" s="141"/>
      <c r="AIX112" s="141"/>
      <c r="AIY112" s="141"/>
      <c r="AIZ112" s="141"/>
    </row>
    <row r="113" spans="2:936" hidden="1" x14ac:dyDescent="0.25">
      <c r="B113" s="730"/>
      <c r="C113" s="436" t="s">
        <v>45</v>
      </c>
      <c r="D113" s="437"/>
      <c r="E113" s="572" t="s">
        <v>31</v>
      </c>
      <c r="F113" s="282">
        <f>'[7]Januari 24'!AL101</f>
        <v>7439</v>
      </c>
      <c r="G113" s="282">
        <f>'[7]Februari 24'!AI101</f>
        <v>0</v>
      </c>
      <c r="H113" s="282">
        <f>'[7]Maret 24'!AL101</f>
        <v>0</v>
      </c>
      <c r="I113" s="282" t="e">
        <f>'[7]Januari 24'!AO101</f>
        <v>#REF!</v>
      </c>
      <c r="J113" s="282" t="e">
        <f>'[7]Januari 24'!AP101</f>
        <v>#REF!</v>
      </c>
      <c r="K113" s="282"/>
      <c r="L113" s="282"/>
      <c r="M113" s="282"/>
      <c r="N113" s="282"/>
      <c r="O113" s="282"/>
      <c r="P113" s="282"/>
      <c r="Q113" s="282"/>
      <c r="R113" s="282"/>
      <c r="S113" s="719"/>
      <c r="T113" s="91" t="e">
        <f>SUM(F113:R113)</f>
        <v>#REF!</v>
      </c>
      <c r="U113" s="687">
        <v>1518699</v>
      </c>
      <c r="V113" s="767" t="e">
        <f>(T113/U113)*100</f>
        <v>#REF!</v>
      </c>
      <c r="X113" s="37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815"/>
      <c r="AK113" s="815"/>
      <c r="AL113" s="815"/>
      <c r="AM113" s="815"/>
      <c r="AN113" s="815"/>
      <c r="AO113" s="815"/>
      <c r="AP113" s="815"/>
      <c r="AQ113" s="815"/>
      <c r="AR113" s="815"/>
      <c r="AS113" s="815"/>
      <c r="AX113" s="16"/>
      <c r="BG113" s="148"/>
      <c r="BH113" s="148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8"/>
      <c r="DA113" s="1"/>
      <c r="DS113" s="516"/>
      <c r="DT113" s="148"/>
      <c r="DU113" s="148"/>
      <c r="DV113" s="148"/>
      <c r="DW113" s="148"/>
      <c r="FZ113" s="148"/>
      <c r="JU113" s="148"/>
      <c r="JV113" s="148"/>
      <c r="JW113" s="148"/>
      <c r="JX113" s="148"/>
      <c r="PB113" s="148"/>
      <c r="PC113" s="148"/>
      <c r="PE113" s="148"/>
      <c r="PS113" s="573"/>
      <c r="PW113" s="148"/>
      <c r="RZ113" s="573"/>
      <c r="AHI113" s="144"/>
      <c r="AIX113" s="144"/>
      <c r="AIY113" s="144"/>
      <c r="AIZ113" s="144"/>
    </row>
    <row r="114" spans="2:936" hidden="1" x14ac:dyDescent="0.25">
      <c r="B114" s="730"/>
      <c r="C114" s="436" t="s">
        <v>44</v>
      </c>
      <c r="D114" s="437"/>
      <c r="E114" s="572" t="s">
        <v>31</v>
      </c>
      <c r="F114" s="282">
        <f>'[7]Januari 24'!AL102</f>
        <v>35235</v>
      </c>
      <c r="G114" s="282">
        <f>'[7]Februari 24'!AI102</f>
        <v>0</v>
      </c>
      <c r="H114" s="282">
        <f>'[7]Maret 24'!AL102</f>
        <v>0</v>
      </c>
      <c r="I114" s="282" t="e">
        <f>'[7]Januari 24'!AO102</f>
        <v>#REF!</v>
      </c>
      <c r="J114" s="282" t="e">
        <f>'[7]Januari 24'!AP102</f>
        <v>#REF!</v>
      </c>
      <c r="K114" s="282"/>
      <c r="L114" s="282"/>
      <c r="M114" s="282"/>
      <c r="N114" s="282"/>
      <c r="O114" s="282"/>
      <c r="P114" s="282"/>
      <c r="Q114" s="282"/>
      <c r="R114" s="282"/>
      <c r="S114" s="719"/>
      <c r="T114" s="91" t="e">
        <f>SUM(F114:R114)</f>
        <v>#REF!</v>
      </c>
      <c r="U114" s="687">
        <v>2112972</v>
      </c>
      <c r="V114" s="767" t="e">
        <f>(T114/U114)*100</f>
        <v>#REF!</v>
      </c>
      <c r="X114" s="37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815"/>
      <c r="AK114" s="815"/>
      <c r="AL114" s="815"/>
      <c r="AM114" s="815"/>
      <c r="AN114" s="815"/>
      <c r="AO114" s="815"/>
      <c r="AP114" s="815"/>
      <c r="AQ114" s="815"/>
      <c r="AR114" s="815"/>
      <c r="AS114" s="815"/>
      <c r="AX114" s="16"/>
      <c r="BG114" s="148"/>
      <c r="BH114" s="148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8"/>
      <c r="DA114" s="1"/>
      <c r="DS114" s="516"/>
      <c r="DT114" s="148"/>
      <c r="DU114" s="148"/>
      <c r="DV114" s="148"/>
      <c r="DW114" s="148"/>
      <c r="FZ114" s="148"/>
      <c r="JU114" s="148"/>
      <c r="JV114" s="148"/>
      <c r="JW114" s="148"/>
      <c r="JX114" s="148"/>
      <c r="PB114" s="148"/>
      <c r="PC114" s="148"/>
      <c r="PE114" s="148"/>
      <c r="PS114" s="573"/>
      <c r="PW114" s="148"/>
      <c r="RZ114" s="573"/>
      <c r="AHI114" s="144"/>
      <c r="AIX114" s="144"/>
      <c r="AIY114" s="144"/>
      <c r="AIZ114" s="144"/>
    </row>
    <row r="115" spans="2:936" hidden="1" x14ac:dyDescent="0.25">
      <c r="B115" s="729"/>
      <c r="C115" s="568" t="s">
        <v>28</v>
      </c>
      <c r="D115" s="476"/>
      <c r="E115" s="464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717"/>
      <c r="T115" s="63" t="s">
        <v>28</v>
      </c>
      <c r="U115" s="686" t="s">
        <v>28</v>
      </c>
      <c r="V115" s="783" t="s">
        <v>28</v>
      </c>
      <c r="X115" s="6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801"/>
      <c r="AK115" s="801"/>
      <c r="AL115" s="801"/>
      <c r="AM115" s="801"/>
      <c r="AN115" s="801"/>
      <c r="AO115" s="801"/>
      <c r="AP115" s="801"/>
      <c r="AQ115" s="801"/>
      <c r="AR115" s="801"/>
      <c r="AS115" s="801"/>
      <c r="AX115" s="1"/>
      <c r="BG115" s="142"/>
      <c r="BH115" s="142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2"/>
      <c r="DA115" s="1"/>
      <c r="DS115" s="5"/>
      <c r="DT115" s="142"/>
      <c r="DU115" s="142"/>
      <c r="DV115" s="142"/>
      <c r="DW115" s="142"/>
      <c r="FZ115" s="142"/>
      <c r="JU115" s="142"/>
      <c r="JV115" s="142"/>
      <c r="JW115" s="142"/>
      <c r="JX115" s="142"/>
      <c r="PB115" s="142"/>
      <c r="PC115" s="142"/>
      <c r="PE115" s="142"/>
      <c r="PS115" s="145"/>
      <c r="PW115" s="142"/>
      <c r="RZ115" s="145"/>
      <c r="AHI115" s="141"/>
      <c r="AIX115" s="141"/>
      <c r="AIY115" s="141"/>
      <c r="AIZ115" s="141"/>
    </row>
    <row r="116" spans="2:936" hidden="1" x14ac:dyDescent="0.25">
      <c r="B116" s="729"/>
      <c r="C116" s="436" t="s">
        <v>45</v>
      </c>
      <c r="D116" s="476"/>
      <c r="E116" s="496" t="s">
        <v>28</v>
      </c>
      <c r="F116" s="439">
        <f>F113*12</f>
        <v>89268</v>
      </c>
      <c r="G116" s="439">
        <f>G113*12</f>
        <v>0</v>
      </c>
      <c r="H116" s="439">
        <f>H113*12</f>
        <v>0</v>
      </c>
      <c r="I116" s="439" t="e">
        <f t="shared" ref="I116:J116" si="23">I113*12</f>
        <v>#REF!</v>
      </c>
      <c r="J116" s="439" t="e">
        <f t="shared" si="23"/>
        <v>#REF!</v>
      </c>
      <c r="K116" s="439"/>
      <c r="L116" s="439"/>
      <c r="M116" s="439"/>
      <c r="N116" s="439"/>
      <c r="O116" s="439"/>
      <c r="P116" s="439"/>
      <c r="Q116" s="439"/>
      <c r="R116" s="439"/>
      <c r="S116" s="717"/>
      <c r="T116" s="54" t="e">
        <f>T113*12</f>
        <v>#REF!</v>
      </c>
      <c r="U116" s="664">
        <f>U113*12</f>
        <v>18224388</v>
      </c>
      <c r="V116" s="784" t="e">
        <f>V113*12</f>
        <v>#REF!</v>
      </c>
      <c r="X116" s="6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801"/>
      <c r="AK116" s="801"/>
      <c r="AL116" s="801"/>
      <c r="AM116" s="801"/>
      <c r="AN116" s="801"/>
      <c r="AO116" s="801"/>
      <c r="AP116" s="801"/>
      <c r="AQ116" s="801"/>
      <c r="AR116" s="801"/>
      <c r="AS116" s="801"/>
      <c r="AX116" s="1"/>
      <c r="BG116" s="142"/>
      <c r="BH116" s="142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2"/>
      <c r="DA116" s="1"/>
      <c r="DS116" s="5"/>
      <c r="DT116" s="142"/>
      <c r="DU116" s="142"/>
      <c r="DV116" s="142"/>
      <c r="DW116" s="142"/>
      <c r="FZ116" s="142"/>
      <c r="JU116" s="142"/>
      <c r="JV116" s="142"/>
      <c r="JW116" s="142"/>
      <c r="JX116" s="142"/>
      <c r="PB116" s="142"/>
      <c r="PC116" s="142"/>
      <c r="PE116" s="142"/>
      <c r="PS116" s="145"/>
      <c r="PW116" s="142"/>
      <c r="RZ116" s="145"/>
      <c r="AHI116" s="141"/>
      <c r="AIX116" s="141"/>
      <c r="AIY116" s="141"/>
      <c r="AIZ116" s="141"/>
    </row>
    <row r="117" spans="2:936" hidden="1" x14ac:dyDescent="0.25">
      <c r="B117" s="729"/>
      <c r="C117" s="436" t="s">
        <v>44</v>
      </c>
      <c r="D117" s="476"/>
      <c r="E117" s="496" t="s">
        <v>28</v>
      </c>
      <c r="F117" s="439">
        <f>F114*6</f>
        <v>211410</v>
      </c>
      <c r="G117" s="439">
        <f>G114*6</f>
        <v>0</v>
      </c>
      <c r="H117" s="439">
        <f>H114*6</f>
        <v>0</v>
      </c>
      <c r="I117" s="439" t="e">
        <f t="shared" ref="I117:J117" si="24">I114*6</f>
        <v>#REF!</v>
      </c>
      <c r="J117" s="439" t="e">
        <f t="shared" si="24"/>
        <v>#REF!</v>
      </c>
      <c r="K117" s="439"/>
      <c r="L117" s="439"/>
      <c r="M117" s="439"/>
      <c r="N117" s="439"/>
      <c r="O117" s="439"/>
      <c r="P117" s="439"/>
      <c r="Q117" s="439"/>
      <c r="R117" s="439"/>
      <c r="S117" s="717"/>
      <c r="T117" s="54" t="e">
        <f>T114*6</f>
        <v>#REF!</v>
      </c>
      <c r="U117" s="664">
        <f>U114*6</f>
        <v>12677832</v>
      </c>
      <c r="V117" s="784" t="e">
        <f>V114*6</f>
        <v>#REF!</v>
      </c>
      <c r="X117" s="6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801"/>
      <c r="AK117" s="801"/>
      <c r="AL117" s="801"/>
      <c r="AM117" s="801"/>
      <c r="AN117" s="801"/>
      <c r="AO117" s="801"/>
      <c r="AP117" s="801"/>
      <c r="AQ117" s="801"/>
      <c r="AR117" s="801"/>
      <c r="AS117" s="801"/>
      <c r="AX117" s="1"/>
      <c r="BG117" s="142"/>
      <c r="BH117" s="142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2"/>
      <c r="DA117" s="1"/>
      <c r="DS117" s="5"/>
      <c r="DT117" s="142"/>
      <c r="DU117" s="142"/>
      <c r="DV117" s="142"/>
      <c r="DW117" s="142"/>
      <c r="FZ117" s="142"/>
      <c r="JU117" s="142"/>
      <c r="JV117" s="142"/>
      <c r="JW117" s="142"/>
      <c r="JX117" s="142"/>
      <c r="PB117" s="142"/>
      <c r="PC117" s="142"/>
      <c r="PE117" s="142"/>
      <c r="PS117" s="145"/>
      <c r="PW117" s="142"/>
      <c r="RZ117" s="145"/>
      <c r="AHI117" s="141"/>
      <c r="AIX117" s="141"/>
      <c r="AIY117" s="141"/>
      <c r="AIZ117" s="141"/>
    </row>
    <row r="118" spans="2:936" hidden="1" x14ac:dyDescent="0.25">
      <c r="B118" s="729"/>
      <c r="C118" s="568" t="s">
        <v>36</v>
      </c>
      <c r="D118" s="476"/>
      <c r="E118" s="496" t="s">
        <v>35</v>
      </c>
      <c r="F118" s="439">
        <f>(F108*45)/1700</f>
        <v>12222.107999999998</v>
      </c>
      <c r="G118" s="439" t="e">
        <f>(G108*45)/1700</f>
        <v>#REF!</v>
      </c>
      <c r="H118" s="439">
        <f>(H108*45)/1700</f>
        <v>0</v>
      </c>
      <c r="I118" s="439" t="e">
        <f t="shared" ref="I118:J118" si="25">(I108*45)/1700</f>
        <v>#REF!</v>
      </c>
      <c r="J118" s="439" t="e">
        <f t="shared" si="25"/>
        <v>#REF!</v>
      </c>
      <c r="K118" s="574"/>
      <c r="L118" s="574"/>
      <c r="M118" s="574"/>
      <c r="N118" s="574"/>
      <c r="O118" s="574"/>
      <c r="P118" s="574"/>
      <c r="Q118" s="574"/>
      <c r="R118" s="574"/>
      <c r="S118" s="717"/>
      <c r="T118" s="583" t="e">
        <f t="shared" ref="T118:V119" si="26">SUM(F118:R118)</f>
        <v>#REF!</v>
      </c>
      <c r="U118" s="688" t="e">
        <f t="shared" si="26"/>
        <v>#REF!</v>
      </c>
      <c r="V118" s="786" t="e">
        <f t="shared" si="26"/>
        <v>#REF!</v>
      </c>
      <c r="X118" s="6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801"/>
      <c r="AK118" s="801"/>
      <c r="AL118" s="801"/>
      <c r="AM118" s="801"/>
      <c r="AN118" s="801"/>
      <c r="AO118" s="801"/>
      <c r="AP118" s="801"/>
      <c r="AQ118" s="801"/>
      <c r="AR118" s="801"/>
      <c r="AS118" s="801"/>
      <c r="AX118" s="1"/>
      <c r="BG118" s="142"/>
      <c r="BH118" s="142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2"/>
      <c r="DA118" s="1"/>
      <c r="DS118" s="5"/>
      <c r="DT118" s="142"/>
      <c r="DU118" s="142"/>
      <c r="DV118" s="142"/>
      <c r="DW118" s="142"/>
      <c r="FZ118" s="142"/>
      <c r="JU118" s="142"/>
      <c r="JV118" s="142"/>
      <c r="JW118" s="142"/>
      <c r="JX118" s="142"/>
      <c r="PB118" s="142"/>
      <c r="PC118" s="142"/>
      <c r="PE118" s="142"/>
      <c r="PS118" s="145"/>
      <c r="PW118" s="142"/>
      <c r="RZ118" s="145"/>
      <c r="AHI118" s="141"/>
      <c r="AIX118" s="141"/>
      <c r="AIY118" s="141"/>
      <c r="AIZ118" s="141"/>
    </row>
    <row r="119" spans="2:936" hidden="1" x14ac:dyDescent="0.25">
      <c r="B119" s="729"/>
      <c r="C119" s="568" t="s">
        <v>34</v>
      </c>
      <c r="D119" s="476"/>
      <c r="E119" s="496" t="s">
        <v>33</v>
      </c>
      <c r="F119" s="439">
        <f t="shared" ref="F119:H119" si="27">SUM(F113:F114)/500</f>
        <v>85.347999999999999</v>
      </c>
      <c r="G119" s="439">
        <f t="shared" si="27"/>
        <v>0</v>
      </c>
      <c r="H119" s="439">
        <f t="shared" si="27"/>
        <v>0</v>
      </c>
      <c r="I119" s="439" t="e">
        <f t="shared" ref="I119:J119" si="28">SUM(I113:I114)/500</f>
        <v>#REF!</v>
      </c>
      <c r="J119" s="439" t="e">
        <f t="shared" si="28"/>
        <v>#REF!</v>
      </c>
      <c r="K119" s="439"/>
      <c r="L119" s="439"/>
      <c r="M119" s="439"/>
      <c r="N119" s="439"/>
      <c r="O119" s="439"/>
      <c r="P119" s="439"/>
      <c r="Q119" s="439"/>
      <c r="R119" s="439"/>
      <c r="S119" s="717"/>
      <c r="T119" s="583" t="e">
        <f t="shared" si="26"/>
        <v>#REF!</v>
      </c>
      <c r="U119" s="688" t="e">
        <f t="shared" si="26"/>
        <v>#REF!</v>
      </c>
      <c r="V119" s="786" t="e">
        <f t="shared" si="26"/>
        <v>#REF!</v>
      </c>
      <c r="X119" s="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801"/>
      <c r="AK119" s="801"/>
      <c r="AL119" s="801"/>
      <c r="AM119" s="801"/>
      <c r="AN119" s="801"/>
      <c r="AO119" s="801"/>
      <c r="AP119" s="801"/>
      <c r="AQ119" s="801"/>
      <c r="AR119" s="801"/>
      <c r="AS119" s="801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145"/>
      <c r="PW119" s="142"/>
      <c r="RZ119" s="145"/>
      <c r="AHI119" s="141"/>
      <c r="AIX119" s="141"/>
      <c r="AIY119" s="141"/>
      <c r="AIZ119" s="141"/>
    </row>
    <row r="120" spans="2:936" hidden="1" x14ac:dyDescent="0.25">
      <c r="B120" s="726"/>
      <c r="C120" s="419" t="s">
        <v>32</v>
      </c>
      <c r="D120" s="48"/>
      <c r="E120" s="48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3"/>
      <c r="T120" s="521" t="s">
        <v>131</v>
      </c>
      <c r="U120" s="675" t="s">
        <v>131</v>
      </c>
      <c r="V120" s="774" t="s">
        <v>131</v>
      </c>
      <c r="X120" s="6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801"/>
      <c r="AK120" s="801"/>
      <c r="AL120" s="801"/>
      <c r="AM120" s="801"/>
      <c r="AN120" s="801"/>
      <c r="AO120" s="801"/>
      <c r="AP120" s="801"/>
      <c r="AQ120" s="801"/>
      <c r="AR120" s="801"/>
      <c r="AS120" s="801"/>
      <c r="AX120" s="1"/>
      <c r="BG120" s="141"/>
      <c r="BH120" s="14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1"/>
      <c r="DA120" s="1"/>
      <c r="DS120" s="5"/>
      <c r="DT120" s="141"/>
      <c r="DU120" s="141"/>
      <c r="DV120" s="141"/>
      <c r="DW120" s="141"/>
      <c r="FZ120" s="141"/>
      <c r="JU120" s="141"/>
      <c r="JV120" s="141"/>
      <c r="JW120" s="141"/>
      <c r="JX120" s="141"/>
      <c r="PB120" s="141"/>
      <c r="PC120" s="141"/>
      <c r="PE120" s="141"/>
      <c r="PS120" s="481"/>
      <c r="PW120" s="141"/>
      <c r="RZ120" s="481"/>
      <c r="AHI120" s="141"/>
      <c r="AIX120" s="141"/>
      <c r="AIY120" s="141"/>
      <c r="AIZ120" s="141"/>
    </row>
    <row r="121" spans="2:936" hidden="1" x14ac:dyDescent="0.25">
      <c r="B121" s="729"/>
      <c r="C121" s="568" t="s">
        <v>29</v>
      </c>
      <c r="D121" s="476"/>
      <c r="E121" s="464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717"/>
      <c r="T121" s="63" t="s">
        <v>29</v>
      </c>
      <c r="U121" s="686" t="s">
        <v>29</v>
      </c>
      <c r="V121" s="783" t="s">
        <v>29</v>
      </c>
      <c r="X121" s="6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R121" s="62"/>
      <c r="AX121" s="1"/>
      <c r="BG121" s="142"/>
      <c r="BH121" s="142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2"/>
      <c r="DA121" s="1"/>
      <c r="DS121" s="5"/>
      <c r="DT121" s="142"/>
      <c r="DU121" s="142"/>
      <c r="DV121" s="142"/>
      <c r="DW121" s="142"/>
      <c r="FZ121" s="142"/>
      <c r="JU121" s="142"/>
      <c r="JV121" s="142"/>
      <c r="JW121" s="142"/>
      <c r="JX121" s="142"/>
      <c r="PB121" s="142"/>
      <c r="PC121" s="142"/>
      <c r="PE121" s="142"/>
      <c r="PS121" s="145"/>
      <c r="PW121" s="142"/>
      <c r="RZ121" s="145"/>
      <c r="AHI121" s="141"/>
      <c r="AIX121" s="141"/>
      <c r="AIY121" s="141"/>
      <c r="AIZ121" s="141"/>
    </row>
    <row r="122" spans="2:936" hidden="1" x14ac:dyDescent="0.25">
      <c r="B122" s="729"/>
      <c r="C122" s="436" t="s">
        <v>45</v>
      </c>
      <c r="D122" s="476"/>
      <c r="E122" s="496" t="s">
        <v>31</v>
      </c>
      <c r="F122" s="33">
        <f>'[7]Januari 24'!AL104</f>
        <v>89268</v>
      </c>
      <c r="G122" s="33">
        <f>'[7]Februari 24'!AI110</f>
        <v>0</v>
      </c>
      <c r="H122" s="33">
        <f>'[7]Maret 24'!AL101</f>
        <v>0</v>
      </c>
      <c r="I122" s="33" t="e">
        <f>'[7]Januari 24'!AO104</f>
        <v>#REF!</v>
      </c>
      <c r="J122" s="33" t="e">
        <f>'[7]Januari 24'!AP104</f>
        <v>#REF!</v>
      </c>
      <c r="K122" s="33"/>
      <c r="L122" s="33"/>
      <c r="M122" s="33"/>
      <c r="N122" s="33"/>
      <c r="O122" s="33"/>
      <c r="P122" s="33"/>
      <c r="Q122" s="33"/>
      <c r="R122" s="33"/>
      <c r="S122" s="717"/>
      <c r="T122" s="54" t="e">
        <f t="shared" ref="T122:V123" si="29">SUM(F122:R122)</f>
        <v>#REF!</v>
      </c>
      <c r="U122" s="664" t="e">
        <f t="shared" si="29"/>
        <v>#REF!</v>
      </c>
      <c r="V122" s="784" t="e">
        <f t="shared" si="29"/>
        <v>#REF!</v>
      </c>
      <c r="X122" s="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R122" s="62"/>
      <c r="AX122" s="1"/>
      <c r="BG122" s="142"/>
      <c r="BH122" s="142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2"/>
      <c r="DA122" s="1"/>
      <c r="DS122" s="5"/>
      <c r="DT122" s="142"/>
      <c r="DU122" s="142"/>
      <c r="DV122" s="142"/>
      <c r="DW122" s="142"/>
      <c r="FZ122" s="142"/>
      <c r="JU122" s="142"/>
      <c r="JV122" s="142"/>
      <c r="JW122" s="142"/>
      <c r="JX122" s="142"/>
      <c r="PB122" s="142"/>
      <c r="PC122" s="142"/>
      <c r="PE122" s="142"/>
      <c r="PS122" s="145"/>
      <c r="PW122" s="142"/>
      <c r="RZ122" s="145"/>
      <c r="AHI122" s="141"/>
      <c r="AIX122" s="141"/>
      <c r="AIY122" s="141"/>
      <c r="AIZ122" s="141"/>
    </row>
    <row r="123" spans="2:936" hidden="1" x14ac:dyDescent="0.25">
      <c r="B123" s="729"/>
      <c r="C123" s="436" t="s">
        <v>44</v>
      </c>
      <c r="D123" s="476"/>
      <c r="E123" s="496" t="s">
        <v>31</v>
      </c>
      <c r="F123" s="33">
        <f>'[7]Januari 24'!AL105</f>
        <v>211410</v>
      </c>
      <c r="G123" s="33">
        <f>'[7]Februari 24'!AI111</f>
        <v>0</v>
      </c>
      <c r="H123" s="33">
        <f>'[7]Maret 24'!AL102</f>
        <v>0</v>
      </c>
      <c r="I123" s="33" t="e">
        <f>'[7]Januari 24'!AO105</f>
        <v>#REF!</v>
      </c>
      <c r="J123" s="33" t="e">
        <f>'[7]Januari 24'!AP105</f>
        <v>#REF!</v>
      </c>
      <c r="K123" s="33"/>
      <c r="L123" s="33"/>
      <c r="M123" s="33"/>
      <c r="N123" s="33"/>
      <c r="O123" s="33"/>
      <c r="P123" s="33"/>
      <c r="Q123" s="33"/>
      <c r="R123" s="33"/>
      <c r="S123" s="717"/>
      <c r="T123" s="54" t="e">
        <f t="shared" si="29"/>
        <v>#REF!</v>
      </c>
      <c r="U123" s="664" t="e">
        <f t="shared" si="29"/>
        <v>#REF!</v>
      </c>
      <c r="V123" s="784" t="e">
        <f t="shared" si="29"/>
        <v>#REF!</v>
      </c>
      <c r="X123" s="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R123" s="62"/>
      <c r="AX123" s="1"/>
      <c r="BG123" s="142"/>
      <c r="BH123" s="142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2"/>
      <c r="DA123" s="1"/>
      <c r="DS123" s="5"/>
      <c r="DT123" s="142"/>
      <c r="DU123" s="142"/>
      <c r="DV123" s="142"/>
      <c r="DW123" s="142"/>
      <c r="FZ123" s="142"/>
      <c r="JU123" s="142"/>
      <c r="JV123" s="142"/>
      <c r="JW123" s="142"/>
      <c r="JX123" s="142"/>
      <c r="PB123" s="142"/>
      <c r="PC123" s="142"/>
      <c r="PE123" s="142"/>
      <c r="PS123" s="145"/>
      <c r="PW123" s="142"/>
      <c r="RZ123" s="145"/>
      <c r="AHI123" s="141"/>
      <c r="AIX123" s="141"/>
      <c r="AIY123" s="141"/>
      <c r="AIZ123" s="141"/>
    </row>
    <row r="124" spans="2:936" hidden="1" x14ac:dyDescent="0.25">
      <c r="B124" s="729"/>
      <c r="C124" s="568" t="s">
        <v>28</v>
      </c>
      <c r="D124" s="476"/>
      <c r="E124" s="464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717"/>
      <c r="T124" s="63" t="s">
        <v>28</v>
      </c>
      <c r="U124" s="686" t="s">
        <v>28</v>
      </c>
      <c r="V124" s="783" t="s">
        <v>28</v>
      </c>
      <c r="X124" s="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R124" s="62"/>
      <c r="AX124" s="1"/>
      <c r="BG124" s="142"/>
      <c r="BH124" s="142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2"/>
      <c r="DA124" s="1"/>
      <c r="DS124" s="5"/>
      <c r="DT124" s="142"/>
      <c r="DU124" s="142"/>
      <c r="DV124" s="142"/>
      <c r="DW124" s="142"/>
      <c r="FZ124" s="142"/>
      <c r="JU124" s="142"/>
      <c r="JV124" s="142"/>
      <c r="JW124" s="142"/>
      <c r="JX124" s="142"/>
      <c r="PB124" s="142"/>
      <c r="PC124" s="142"/>
      <c r="PE124" s="142"/>
      <c r="PS124" s="145"/>
      <c r="PW124" s="142"/>
      <c r="RZ124" s="145"/>
      <c r="AHI124" s="141"/>
      <c r="AIX124" s="141"/>
      <c r="AIY124" s="141"/>
      <c r="AIZ124" s="141"/>
    </row>
    <row r="125" spans="2:936" hidden="1" x14ac:dyDescent="0.25">
      <c r="B125" s="729"/>
      <c r="C125" s="436" t="s">
        <v>45</v>
      </c>
      <c r="D125" s="476"/>
      <c r="E125" s="496" t="s">
        <v>28</v>
      </c>
      <c r="F125" s="576">
        <f>F122*12</f>
        <v>1071216</v>
      </c>
      <c r="G125" s="576">
        <f>G122*12</f>
        <v>0</v>
      </c>
      <c r="H125" s="576">
        <f t="shared" ref="H125:J125" si="30">H122*12</f>
        <v>0</v>
      </c>
      <c r="I125" s="576" t="e">
        <f t="shared" si="30"/>
        <v>#REF!</v>
      </c>
      <c r="J125" s="576" t="e">
        <f t="shared" si="30"/>
        <v>#REF!</v>
      </c>
      <c r="K125" s="576"/>
      <c r="L125" s="576"/>
      <c r="M125" s="576"/>
      <c r="N125" s="576"/>
      <c r="O125" s="576"/>
      <c r="P125" s="576"/>
      <c r="Q125" s="576"/>
      <c r="R125" s="576"/>
      <c r="S125" s="717"/>
      <c r="T125" s="54" t="e">
        <f t="shared" ref="T125:V126" si="31">SUM(F125:R125)</f>
        <v>#REF!</v>
      </c>
      <c r="U125" s="664" t="e">
        <f t="shared" si="31"/>
        <v>#REF!</v>
      </c>
      <c r="V125" s="784" t="e">
        <f t="shared" si="31"/>
        <v>#REF!</v>
      </c>
      <c r="X125" s="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R125" s="62"/>
      <c r="AX125" s="1"/>
      <c r="BG125" s="142"/>
      <c r="BH125" s="142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2"/>
      <c r="DA125" s="1"/>
      <c r="DS125" s="5"/>
      <c r="DT125" s="142"/>
      <c r="DU125" s="142"/>
      <c r="DV125" s="142"/>
      <c r="DW125" s="142"/>
      <c r="FZ125" s="142"/>
      <c r="JU125" s="142"/>
      <c r="JV125" s="142"/>
      <c r="JW125" s="142"/>
      <c r="JX125" s="142"/>
      <c r="PB125" s="142"/>
      <c r="PC125" s="142"/>
      <c r="PE125" s="142"/>
      <c r="PS125" s="145"/>
      <c r="PW125" s="142"/>
      <c r="RZ125" s="145"/>
      <c r="AHI125" s="141"/>
      <c r="AIX125" s="141"/>
      <c r="AIY125" s="141"/>
      <c r="AIZ125" s="141"/>
    </row>
    <row r="126" spans="2:936" hidden="1" x14ac:dyDescent="0.25">
      <c r="B126" s="729"/>
      <c r="C126" s="436" t="s">
        <v>44</v>
      </c>
      <c r="D126" s="476"/>
      <c r="E126" s="496" t="s">
        <v>28</v>
      </c>
      <c r="F126" s="576">
        <f>F123*6</f>
        <v>1268460</v>
      </c>
      <c r="G126" s="576">
        <f>G123*6</f>
        <v>0</v>
      </c>
      <c r="H126" s="576">
        <f>H123*6</f>
        <v>0</v>
      </c>
      <c r="I126" s="576" t="e">
        <f t="shared" ref="I126:J126" si="32">I123*6</f>
        <v>#REF!</v>
      </c>
      <c r="J126" s="576" t="e">
        <f t="shared" si="32"/>
        <v>#REF!</v>
      </c>
      <c r="K126" s="576"/>
      <c r="L126" s="576"/>
      <c r="M126" s="576"/>
      <c r="N126" s="576"/>
      <c r="O126" s="576"/>
      <c r="P126" s="576"/>
      <c r="Q126" s="576"/>
      <c r="R126" s="576"/>
      <c r="S126" s="717"/>
      <c r="T126" s="54" t="e">
        <f t="shared" si="31"/>
        <v>#REF!</v>
      </c>
      <c r="U126" s="664" t="e">
        <f t="shared" si="31"/>
        <v>#REF!</v>
      </c>
      <c r="V126" s="784" t="e">
        <f t="shared" si="31"/>
        <v>#REF!</v>
      </c>
      <c r="X126" s="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R126" s="62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145"/>
      <c r="PW126" s="142"/>
      <c r="RZ126" s="145"/>
      <c r="AHI126" s="141"/>
      <c r="AIX126" s="141"/>
      <c r="AIY126" s="141"/>
      <c r="AIZ126" s="141"/>
    </row>
    <row r="127" spans="2:936" hidden="1" x14ac:dyDescent="0.25">
      <c r="B127" s="726"/>
      <c r="C127" s="419" t="s">
        <v>30</v>
      </c>
      <c r="D127" s="48"/>
      <c r="E127" s="48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3"/>
      <c r="T127" s="521" t="s">
        <v>131</v>
      </c>
      <c r="U127" s="675" t="s">
        <v>131</v>
      </c>
      <c r="V127" s="774" t="s">
        <v>131</v>
      </c>
      <c r="X127" s="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R127" s="62"/>
      <c r="AX127" s="1"/>
      <c r="BG127" s="141"/>
      <c r="BH127" s="14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1"/>
      <c r="DA127" s="1"/>
      <c r="DS127" s="5"/>
      <c r="DT127" s="141"/>
      <c r="DU127" s="141"/>
      <c r="DV127" s="141"/>
      <c r="DW127" s="141"/>
      <c r="FZ127" s="141"/>
      <c r="JU127" s="141"/>
      <c r="JV127" s="141"/>
      <c r="JW127" s="141"/>
      <c r="JX127" s="141"/>
      <c r="PB127" s="141"/>
      <c r="PC127" s="141"/>
      <c r="PE127" s="141"/>
      <c r="PS127" s="481"/>
      <c r="PW127" s="141"/>
      <c r="RZ127" s="481"/>
      <c r="AHI127" s="141"/>
      <c r="AIX127" s="141"/>
      <c r="AIY127" s="141"/>
      <c r="AIZ127" s="141"/>
    </row>
    <row r="128" spans="2:936" hidden="1" x14ac:dyDescent="0.25">
      <c r="B128" s="729"/>
      <c r="C128" s="568" t="s">
        <v>29</v>
      </c>
      <c r="D128" s="476"/>
      <c r="E128" s="464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717"/>
      <c r="T128" s="63" t="s">
        <v>29</v>
      </c>
      <c r="U128" s="686" t="s">
        <v>29</v>
      </c>
      <c r="V128" s="783" t="s">
        <v>29</v>
      </c>
      <c r="X128" s="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R128" s="62"/>
      <c r="AX128" s="1"/>
      <c r="BG128" s="142"/>
      <c r="BH128" s="142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2"/>
      <c r="DA128" s="1"/>
      <c r="DS128" s="5"/>
      <c r="DT128" s="142"/>
      <c r="DU128" s="142"/>
      <c r="DV128" s="142"/>
      <c r="DW128" s="142"/>
      <c r="FZ128" s="142"/>
      <c r="JU128" s="142"/>
      <c r="JV128" s="142"/>
      <c r="JW128" s="142"/>
      <c r="JX128" s="142"/>
      <c r="PB128" s="142"/>
      <c r="PC128" s="142"/>
      <c r="PE128" s="142"/>
      <c r="PS128" s="145"/>
      <c r="PW128" s="142"/>
      <c r="RZ128" s="145"/>
      <c r="AHI128" s="141"/>
      <c r="AIX128" s="141"/>
      <c r="AIY128" s="141"/>
      <c r="AIZ128" s="141"/>
    </row>
    <row r="129" spans="2:936" hidden="1" x14ac:dyDescent="0.25">
      <c r="B129" s="729"/>
      <c r="C129" s="436" t="s">
        <v>45</v>
      </c>
      <c r="D129" s="463">
        <v>0.3</v>
      </c>
      <c r="E129" s="496" t="s">
        <v>25</v>
      </c>
      <c r="F129" s="440">
        <f t="shared" ref="F129:H130" si="33">F122/F113*100</f>
        <v>1200</v>
      </c>
      <c r="G129" s="440" t="e">
        <f t="shared" si="33"/>
        <v>#DIV/0!</v>
      </c>
      <c r="H129" s="440" t="e">
        <f t="shared" si="33"/>
        <v>#DIV/0!</v>
      </c>
      <c r="I129" s="440" t="e">
        <f t="shared" ref="I129:J129" si="34">I122/I113*100</f>
        <v>#REF!</v>
      </c>
      <c r="J129" s="440" t="e">
        <f t="shared" si="34"/>
        <v>#REF!</v>
      </c>
      <c r="K129" s="440"/>
      <c r="L129" s="440"/>
      <c r="M129" s="440"/>
      <c r="N129" s="440"/>
      <c r="O129" s="440"/>
      <c r="P129" s="440"/>
      <c r="Q129" s="440"/>
      <c r="R129" s="440"/>
      <c r="S129" s="717"/>
      <c r="T129" s="58" t="e">
        <f t="shared" ref="T129:V130" si="35">T122/T113*100</f>
        <v>#REF!</v>
      </c>
      <c r="U129" s="667" t="e">
        <f t="shared" si="35"/>
        <v>#REF!</v>
      </c>
      <c r="V129" s="767" t="e">
        <f t="shared" si="35"/>
        <v>#REF!</v>
      </c>
      <c r="X129" s="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R129" s="62"/>
      <c r="AX129" s="1"/>
      <c r="BG129" s="142"/>
      <c r="BH129" s="142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2"/>
      <c r="DA129" s="1"/>
      <c r="DS129" s="5"/>
      <c r="DT129" s="142"/>
      <c r="DU129" s="142"/>
      <c r="DV129" s="142"/>
      <c r="DW129" s="142"/>
      <c r="FZ129" s="142"/>
      <c r="JU129" s="142"/>
      <c r="JV129" s="142"/>
      <c r="JW129" s="142"/>
      <c r="JX129" s="142"/>
      <c r="PB129" s="142"/>
      <c r="PC129" s="142"/>
      <c r="PE129" s="142"/>
      <c r="PS129" s="145"/>
      <c r="PW129" s="142"/>
      <c r="RZ129" s="145"/>
      <c r="AHI129" s="141"/>
      <c r="AIX129" s="141"/>
      <c r="AIY129" s="141"/>
      <c r="AIZ129" s="141"/>
    </row>
    <row r="130" spans="2:936" hidden="1" x14ac:dyDescent="0.25">
      <c r="B130" s="729"/>
      <c r="C130" s="436" t="s">
        <v>44</v>
      </c>
      <c r="D130" s="463">
        <v>0.3</v>
      </c>
      <c r="E130" s="496" t="s">
        <v>25</v>
      </c>
      <c r="F130" s="440">
        <f t="shared" si="33"/>
        <v>600</v>
      </c>
      <c r="G130" s="440" t="e">
        <f t="shared" si="33"/>
        <v>#DIV/0!</v>
      </c>
      <c r="H130" s="440" t="e">
        <f t="shared" si="33"/>
        <v>#DIV/0!</v>
      </c>
      <c r="I130" s="440" t="e">
        <f t="shared" ref="I130:J130" si="36">I123/I114*100</f>
        <v>#REF!</v>
      </c>
      <c r="J130" s="440" t="e">
        <f t="shared" si="36"/>
        <v>#REF!</v>
      </c>
      <c r="K130" s="440"/>
      <c r="L130" s="440"/>
      <c r="M130" s="440"/>
      <c r="N130" s="440"/>
      <c r="O130" s="440"/>
      <c r="P130" s="440"/>
      <c r="Q130" s="440"/>
      <c r="R130" s="440"/>
      <c r="S130" s="717"/>
      <c r="T130" s="58" t="e">
        <f t="shared" si="35"/>
        <v>#REF!</v>
      </c>
      <c r="U130" s="667" t="e">
        <f t="shared" si="35"/>
        <v>#REF!</v>
      </c>
      <c r="V130" s="767" t="e">
        <f t="shared" si="35"/>
        <v>#REF!</v>
      </c>
      <c r="X130" s="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R130" s="62"/>
      <c r="AX130" s="1"/>
      <c r="BG130" s="142"/>
      <c r="BH130" s="142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2"/>
      <c r="DA130" s="1"/>
      <c r="DS130" s="5"/>
      <c r="DT130" s="142"/>
      <c r="DU130" s="142"/>
      <c r="DV130" s="142"/>
      <c r="DW130" s="142"/>
      <c r="FZ130" s="142"/>
      <c r="JU130" s="142"/>
      <c r="JV130" s="142"/>
      <c r="JW130" s="142"/>
      <c r="JX130" s="142"/>
      <c r="PB130" s="142"/>
      <c r="PC130" s="142"/>
      <c r="PE130" s="142"/>
      <c r="PS130" s="145"/>
      <c r="PW130" s="142"/>
      <c r="RZ130" s="145"/>
      <c r="AHI130" s="141"/>
      <c r="AIX130" s="141"/>
      <c r="AIY130" s="141"/>
      <c r="AIZ130" s="141"/>
    </row>
    <row r="131" spans="2:936" hidden="1" x14ac:dyDescent="0.25">
      <c r="B131" s="729"/>
      <c r="C131" s="568" t="s">
        <v>28</v>
      </c>
      <c r="D131" s="463"/>
      <c r="E131" s="464"/>
      <c r="F131" s="440"/>
      <c r="G131" s="440"/>
      <c r="H131" s="440"/>
      <c r="I131" s="440"/>
      <c r="J131" s="440"/>
      <c r="K131" s="440"/>
      <c r="L131" s="440"/>
      <c r="M131" s="440"/>
      <c r="N131" s="440"/>
      <c r="O131" s="440"/>
      <c r="P131" s="440"/>
      <c r="Q131" s="440"/>
      <c r="R131" s="440"/>
      <c r="S131" s="717"/>
      <c r="T131" s="63" t="s">
        <v>28</v>
      </c>
      <c r="U131" s="686" t="s">
        <v>28</v>
      </c>
      <c r="V131" s="783" t="s">
        <v>28</v>
      </c>
      <c r="X131" s="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R131" s="62"/>
      <c r="AX131" s="1"/>
      <c r="BG131" s="142"/>
      <c r="BH131" s="142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2"/>
      <c r="DA131" s="1"/>
      <c r="DS131" s="5"/>
      <c r="DT131" s="142"/>
      <c r="DU131" s="142"/>
      <c r="DV131" s="142"/>
      <c r="DW131" s="142"/>
      <c r="FZ131" s="142"/>
      <c r="JU131" s="142"/>
      <c r="JV131" s="142"/>
      <c r="JW131" s="142"/>
      <c r="JX131" s="142"/>
      <c r="PB131" s="142"/>
      <c r="PC131" s="142"/>
      <c r="PE131" s="142"/>
      <c r="PS131" s="145"/>
      <c r="PW131" s="142"/>
      <c r="RZ131" s="145"/>
      <c r="AHI131" s="141"/>
      <c r="AIX131" s="141"/>
      <c r="AIY131" s="141"/>
      <c r="AIZ131" s="141"/>
    </row>
    <row r="132" spans="2:936" hidden="1" x14ac:dyDescent="0.25">
      <c r="B132" s="729"/>
      <c r="C132" s="436" t="s">
        <v>45</v>
      </c>
      <c r="D132" s="463">
        <v>0.5</v>
      </c>
      <c r="E132" s="496" t="s">
        <v>25</v>
      </c>
      <c r="F132" s="440">
        <f>F125/F116*100</f>
        <v>1200</v>
      </c>
      <c r="G132" s="440" t="e">
        <f t="shared" ref="G132:J133" si="37">G125/G116*100</f>
        <v>#DIV/0!</v>
      </c>
      <c r="H132" s="440" t="e">
        <f t="shared" si="37"/>
        <v>#DIV/0!</v>
      </c>
      <c r="I132" s="440" t="e">
        <f t="shared" si="37"/>
        <v>#REF!</v>
      </c>
      <c r="J132" s="440" t="e">
        <f t="shared" si="37"/>
        <v>#REF!</v>
      </c>
      <c r="K132" s="440"/>
      <c r="L132" s="440"/>
      <c r="M132" s="440"/>
      <c r="N132" s="440"/>
      <c r="O132" s="440"/>
      <c r="P132" s="440"/>
      <c r="Q132" s="440"/>
      <c r="R132" s="440"/>
      <c r="S132" s="717"/>
      <c r="T132" s="58" t="e">
        <f t="shared" ref="T132:V133" si="38">T125/T116*100</f>
        <v>#REF!</v>
      </c>
      <c r="U132" s="667" t="e">
        <f t="shared" si="38"/>
        <v>#REF!</v>
      </c>
      <c r="V132" s="767" t="e">
        <f t="shared" si="38"/>
        <v>#REF!</v>
      </c>
      <c r="X132" s="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R132" s="62"/>
      <c r="AX132" s="1"/>
      <c r="BG132" s="142"/>
      <c r="BH132" s="142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2"/>
      <c r="DA132" s="1"/>
      <c r="DS132" s="5"/>
      <c r="DT132" s="142"/>
      <c r="DU132" s="142"/>
      <c r="DV132" s="142"/>
      <c r="DW132" s="142"/>
      <c r="FZ132" s="142"/>
      <c r="JU132" s="142"/>
      <c r="JV132" s="142"/>
      <c r="JW132" s="142"/>
      <c r="JX132" s="142"/>
      <c r="PB132" s="142"/>
      <c r="PC132" s="142"/>
      <c r="PE132" s="142"/>
      <c r="PS132" s="145"/>
      <c r="PW132" s="142"/>
      <c r="RZ132" s="145"/>
      <c r="AHI132" s="141"/>
      <c r="AIX132" s="141"/>
      <c r="AIY132" s="141"/>
      <c r="AIZ132" s="141"/>
    </row>
    <row r="133" spans="2:936" hidden="1" x14ac:dyDescent="0.25">
      <c r="B133" s="729"/>
      <c r="C133" s="436" t="s">
        <v>44</v>
      </c>
      <c r="D133" s="463">
        <v>0.5</v>
      </c>
      <c r="E133" s="496" t="s">
        <v>25</v>
      </c>
      <c r="F133" s="440">
        <f>F126/F117*100</f>
        <v>600</v>
      </c>
      <c r="G133" s="440" t="e">
        <f t="shared" si="37"/>
        <v>#DIV/0!</v>
      </c>
      <c r="H133" s="440" t="e">
        <f t="shared" si="37"/>
        <v>#DIV/0!</v>
      </c>
      <c r="I133" s="440" t="e">
        <f t="shared" si="37"/>
        <v>#REF!</v>
      </c>
      <c r="J133" s="440" t="e">
        <f t="shared" si="37"/>
        <v>#REF!</v>
      </c>
      <c r="K133" s="440"/>
      <c r="L133" s="440"/>
      <c r="M133" s="440"/>
      <c r="N133" s="440"/>
      <c r="O133" s="440"/>
      <c r="P133" s="440"/>
      <c r="Q133" s="440"/>
      <c r="R133" s="440"/>
      <c r="S133" s="717"/>
      <c r="T133" s="58" t="e">
        <f t="shared" si="38"/>
        <v>#REF!</v>
      </c>
      <c r="U133" s="667" t="e">
        <f t="shared" si="38"/>
        <v>#REF!</v>
      </c>
      <c r="V133" s="767" t="e">
        <f t="shared" si="38"/>
        <v>#REF!</v>
      </c>
      <c r="X133" s="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R133" s="62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145"/>
      <c r="PW133" s="142"/>
      <c r="RZ133" s="145"/>
      <c r="AHI133" s="141"/>
      <c r="AIX133" s="141"/>
      <c r="AIY133" s="141"/>
      <c r="AIZ133" s="141"/>
    </row>
    <row r="134" spans="2:936" hidden="1" x14ac:dyDescent="0.25">
      <c r="B134" s="725">
        <v>7</v>
      </c>
      <c r="C134" s="419" t="s">
        <v>43</v>
      </c>
      <c r="D134" s="48"/>
      <c r="E134" s="48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3"/>
      <c r="T134" s="521" t="s">
        <v>130</v>
      </c>
      <c r="U134" s="675" t="s">
        <v>130</v>
      </c>
      <c r="V134" s="774" t="s">
        <v>130</v>
      </c>
      <c r="X134" s="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801"/>
      <c r="AK134" s="801"/>
      <c r="AL134" s="801"/>
      <c r="AM134" s="801"/>
      <c r="AN134" s="801"/>
      <c r="AO134" s="801"/>
      <c r="AP134" s="801"/>
      <c r="AQ134" s="801"/>
      <c r="AR134" s="801"/>
      <c r="AS134" s="801"/>
      <c r="AX134" s="1"/>
      <c r="BG134" s="141"/>
      <c r="BH134" s="14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1"/>
      <c r="DA134" s="1"/>
      <c r="DS134" s="5"/>
      <c r="DT134" s="141"/>
      <c r="DU134" s="141"/>
      <c r="DV134" s="141"/>
      <c r="DW134" s="141"/>
      <c r="FZ134" s="141"/>
      <c r="JU134" s="141"/>
      <c r="JV134" s="141"/>
      <c r="JW134" s="141"/>
      <c r="JX134" s="141"/>
      <c r="PB134" s="141"/>
      <c r="PC134" s="141"/>
      <c r="PE134" s="141"/>
      <c r="PS134" s="481"/>
      <c r="PW134" s="141"/>
      <c r="RZ134" s="481"/>
      <c r="AHI134" s="141"/>
      <c r="AIX134" s="141"/>
      <c r="AIY134" s="141"/>
      <c r="AIZ134" s="141"/>
    </row>
    <row r="135" spans="2:936" hidden="1" x14ac:dyDescent="0.25">
      <c r="B135" s="726"/>
      <c r="C135" s="578" t="s">
        <v>114</v>
      </c>
      <c r="D135" s="579"/>
      <c r="E135" s="20" t="s">
        <v>14</v>
      </c>
      <c r="F135" s="584">
        <f>'[7]Januari 24'!AL123</f>
        <v>534116</v>
      </c>
      <c r="G135" s="585" t="e">
        <f>'[7]Februari 24'!AI123</f>
        <v>#REF!</v>
      </c>
      <c r="H135" s="732">
        <f>'[7]Maret 24'!AL123</f>
        <v>0</v>
      </c>
      <c r="I135" s="584" t="e">
        <f>'[7]Januari 24'!AO123</f>
        <v>#REF!</v>
      </c>
      <c r="J135" s="584" t="e">
        <f>'[7]Januari 24'!AP123</f>
        <v>#REF!</v>
      </c>
      <c r="K135" s="580"/>
      <c r="L135" s="580"/>
      <c r="M135" s="733"/>
      <c r="N135" s="580"/>
      <c r="O135" s="580"/>
      <c r="P135" s="580"/>
      <c r="Q135" s="580"/>
      <c r="R135" s="580"/>
      <c r="S135" s="731"/>
      <c r="T135" s="89" t="e">
        <f>SUM(T137:T138)</f>
        <v>#REF!</v>
      </c>
      <c r="U135" s="684" t="e">
        <f>SUM(U137:U138)</f>
        <v>#REF!</v>
      </c>
      <c r="V135" s="785" t="e">
        <f>SUM(V137:V138)</f>
        <v>#REF!</v>
      </c>
      <c r="X135" s="813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811"/>
      <c r="AK135" s="811"/>
      <c r="AL135" s="811"/>
      <c r="AM135" s="811"/>
      <c r="AN135" s="811"/>
      <c r="AO135" s="811"/>
      <c r="AP135" s="811"/>
      <c r="AQ135" s="811"/>
      <c r="AR135" s="811"/>
      <c r="AS135" s="811"/>
      <c r="AX135" s="1"/>
      <c r="BG135" s="146"/>
      <c r="BH135" s="146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6"/>
      <c r="DA135" s="1"/>
      <c r="DS135" s="435"/>
      <c r="DT135" s="146"/>
      <c r="DU135" s="146"/>
      <c r="DV135" s="146"/>
      <c r="DW135" s="146"/>
      <c r="FZ135" s="146"/>
      <c r="JU135" s="146"/>
      <c r="JV135" s="146"/>
      <c r="JW135" s="146"/>
      <c r="JX135" s="146"/>
      <c r="PB135" s="146"/>
      <c r="PC135" s="146"/>
      <c r="PE135" s="146"/>
      <c r="PS135" s="562"/>
      <c r="PW135" s="146"/>
      <c r="RZ135" s="562"/>
      <c r="AHI135" s="151"/>
      <c r="AIX135" s="151"/>
      <c r="AIY135" s="151"/>
      <c r="AIZ135" s="151"/>
    </row>
    <row r="136" spans="2:936" hidden="1" x14ac:dyDescent="0.25">
      <c r="B136" s="726"/>
      <c r="C136" s="578" t="s">
        <v>115</v>
      </c>
      <c r="D136" s="579"/>
      <c r="E136" s="20" t="s">
        <v>14</v>
      </c>
      <c r="F136" s="580">
        <f>'[7]Januari 24'!AL124</f>
        <v>524483.80000000005</v>
      </c>
      <c r="G136" s="580" t="e">
        <f>'[7]Februari 24'!AI124</f>
        <v>#REF!</v>
      </c>
      <c r="H136" s="580">
        <f>'[7]Maret 24'!AL124</f>
        <v>0</v>
      </c>
      <c r="I136" s="580" t="e">
        <f>'[7]Januari 24'!AO124</f>
        <v>#REF!</v>
      </c>
      <c r="J136" s="580" t="e">
        <f>'[7]Januari 24'!AP124</f>
        <v>#REF!</v>
      </c>
      <c r="K136" s="580"/>
      <c r="L136" s="580"/>
      <c r="M136" s="580"/>
      <c r="N136" s="580"/>
      <c r="O136" s="580"/>
      <c r="P136" s="580"/>
      <c r="Q136" s="580"/>
      <c r="R136" s="282"/>
      <c r="S136" s="731"/>
      <c r="T136" s="89" t="e">
        <f>SUM(T137:T138)</f>
        <v>#REF!</v>
      </c>
      <c r="U136" s="684" t="e">
        <f>SUM(U137:U138)</f>
        <v>#REF!</v>
      </c>
      <c r="V136" s="785" t="e">
        <f>SUM(V137:V138)</f>
        <v>#REF!</v>
      </c>
      <c r="X136" s="813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811"/>
      <c r="AK136" s="811"/>
      <c r="AL136" s="811"/>
      <c r="AM136" s="811"/>
      <c r="AN136" s="811"/>
      <c r="AO136" s="811"/>
      <c r="AP136" s="811"/>
      <c r="AQ136" s="811"/>
      <c r="AR136" s="811"/>
      <c r="AS136" s="811"/>
      <c r="AX136" s="1"/>
      <c r="BG136" s="146"/>
      <c r="BH136" s="146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6"/>
      <c r="DA136" s="1"/>
      <c r="DS136" s="435"/>
      <c r="DT136" s="146"/>
      <c r="DU136" s="146"/>
      <c r="DV136" s="146"/>
      <c r="DW136" s="146"/>
      <c r="FZ136" s="146"/>
      <c r="JU136" s="146"/>
      <c r="JV136" s="146"/>
      <c r="JW136" s="146"/>
      <c r="JX136" s="146"/>
      <c r="PB136" s="146"/>
      <c r="PC136" s="146"/>
      <c r="PE136" s="146"/>
      <c r="PS136" s="562"/>
      <c r="PW136" s="146"/>
      <c r="RZ136" s="562"/>
      <c r="AHI136" s="151"/>
      <c r="AIX136" s="151"/>
      <c r="AIY136" s="151"/>
      <c r="AIZ136" s="151"/>
    </row>
    <row r="137" spans="2:936" hidden="1" x14ac:dyDescent="0.25">
      <c r="B137" s="729"/>
      <c r="C137" s="568" t="s">
        <v>39</v>
      </c>
      <c r="D137" s="476"/>
      <c r="E137" s="496" t="s">
        <v>14</v>
      </c>
      <c r="F137" s="440">
        <f>SUM(F140:F141)*9.75348</f>
        <v>525527.25587999995</v>
      </c>
      <c r="G137" s="440" t="e">
        <f t="shared" ref="G137:J137" si="39">SUM(G140:G141)*9.75348</f>
        <v>#REF!</v>
      </c>
      <c r="H137" s="440">
        <f t="shared" si="39"/>
        <v>0</v>
      </c>
      <c r="I137" s="440" t="e">
        <f t="shared" si="39"/>
        <v>#REF!</v>
      </c>
      <c r="J137" s="440" t="e">
        <f t="shared" si="39"/>
        <v>#REF!</v>
      </c>
      <c r="K137" s="440"/>
      <c r="L137" s="440"/>
      <c r="M137" s="440"/>
      <c r="N137" s="440"/>
      <c r="O137" s="440"/>
      <c r="P137" s="440"/>
      <c r="Q137" s="440"/>
      <c r="R137" s="440"/>
      <c r="S137" s="717"/>
      <c r="T137" s="58" t="e">
        <f t="shared" ref="T137:V138" si="40">SUM(F137:R137)</f>
        <v>#REF!</v>
      </c>
      <c r="U137" s="667" t="e">
        <f t="shared" si="40"/>
        <v>#REF!</v>
      </c>
      <c r="V137" s="767" t="e">
        <f t="shared" si="40"/>
        <v>#REF!</v>
      </c>
      <c r="X137" s="6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814"/>
      <c r="AK137" s="811"/>
      <c r="AL137" s="811"/>
      <c r="AM137" s="811"/>
      <c r="AN137" s="811"/>
      <c r="AO137" s="811"/>
      <c r="AP137" s="801"/>
      <c r="AQ137" s="801"/>
      <c r="AR137" s="801"/>
      <c r="AS137" s="801"/>
      <c r="AX137" s="1"/>
      <c r="BG137" s="142"/>
      <c r="BH137" s="142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2"/>
      <c r="DA137" s="1"/>
      <c r="DS137" s="5"/>
      <c r="DT137" s="142"/>
      <c r="DU137" s="142"/>
      <c r="DV137" s="142"/>
      <c r="DW137" s="142"/>
      <c r="FZ137" s="142"/>
      <c r="JU137" s="142"/>
      <c r="JV137" s="142"/>
      <c r="JW137" s="142"/>
      <c r="JX137" s="142"/>
      <c r="PB137" s="142"/>
      <c r="PC137" s="142"/>
      <c r="PE137" s="142"/>
      <c r="PS137" s="145"/>
      <c r="PW137" s="142"/>
      <c r="RZ137" s="145"/>
      <c r="AHI137" s="141"/>
      <c r="AIX137" s="141"/>
      <c r="AIY137" s="141"/>
      <c r="AIZ137" s="141"/>
    </row>
    <row r="138" spans="2:936" hidden="1" x14ac:dyDescent="0.25">
      <c r="B138" s="729"/>
      <c r="C138" s="568" t="s">
        <v>38</v>
      </c>
      <c r="D138" s="476"/>
      <c r="E138" s="496" t="s">
        <v>14</v>
      </c>
      <c r="F138" s="440">
        <f>F136-F137</f>
        <v>-1043.4558799999068</v>
      </c>
      <c r="G138" s="440" t="e">
        <f>G136-G137</f>
        <v>#REF!</v>
      </c>
      <c r="H138" s="440">
        <f>H136-H137</f>
        <v>0</v>
      </c>
      <c r="I138" s="440" t="e">
        <f t="shared" ref="I138:J138" si="41">I136-I137</f>
        <v>#REF!</v>
      </c>
      <c r="J138" s="440" t="e">
        <f t="shared" si="41"/>
        <v>#REF!</v>
      </c>
      <c r="K138" s="440"/>
      <c r="L138" s="440"/>
      <c r="M138" s="440"/>
      <c r="N138" s="440"/>
      <c r="O138" s="440"/>
      <c r="P138" s="440"/>
      <c r="Q138" s="440"/>
      <c r="R138" s="440"/>
      <c r="S138" s="717"/>
      <c r="T138" s="58" t="e">
        <f t="shared" si="40"/>
        <v>#REF!</v>
      </c>
      <c r="U138" s="667" t="e">
        <f t="shared" si="40"/>
        <v>#REF!</v>
      </c>
      <c r="V138" s="767" t="e">
        <f t="shared" si="40"/>
        <v>#REF!</v>
      </c>
      <c r="X138" s="6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801"/>
      <c r="AK138" s="801"/>
      <c r="AL138" s="801"/>
      <c r="AM138" s="801"/>
      <c r="AN138" s="801"/>
      <c r="AO138" s="801"/>
      <c r="AP138" s="801"/>
      <c r="AQ138" s="801"/>
      <c r="AR138" s="801"/>
      <c r="AS138" s="801"/>
      <c r="AX138" s="1"/>
      <c r="BG138" s="142"/>
      <c r="BH138" s="142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2"/>
      <c r="DA138" s="1"/>
      <c r="DS138" s="5"/>
      <c r="DT138" s="142"/>
      <c r="DU138" s="142"/>
      <c r="DV138" s="142"/>
      <c r="DW138" s="142"/>
      <c r="FZ138" s="142"/>
      <c r="GA138" s="1">
        <f>0.9*12</f>
        <v>10.8</v>
      </c>
      <c r="JU138" s="142"/>
      <c r="JV138" s="142"/>
      <c r="JW138" s="142"/>
      <c r="JX138" s="142"/>
      <c r="PB138" s="142"/>
      <c r="PC138" s="142"/>
      <c r="PE138" s="142"/>
      <c r="PS138" s="145"/>
      <c r="PW138" s="142"/>
      <c r="RZ138" s="145"/>
      <c r="AHI138" s="141"/>
      <c r="AIX138" s="141"/>
      <c r="AIY138" s="141"/>
      <c r="AIZ138" s="141"/>
    </row>
    <row r="139" spans="2:936" hidden="1" x14ac:dyDescent="0.25">
      <c r="B139" s="729"/>
      <c r="C139" s="568" t="s">
        <v>29</v>
      </c>
      <c r="D139" s="476"/>
      <c r="E139" s="464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717"/>
      <c r="T139" s="63" t="s">
        <v>29</v>
      </c>
      <c r="U139" s="686" t="s">
        <v>29</v>
      </c>
      <c r="V139" s="783" t="s">
        <v>29</v>
      </c>
      <c r="X139" s="6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801"/>
      <c r="AK139" s="801"/>
      <c r="AL139" s="801"/>
      <c r="AM139" s="801"/>
      <c r="AN139" s="801"/>
      <c r="AO139" s="801"/>
      <c r="AP139" s="801"/>
      <c r="AQ139" s="801"/>
      <c r="AR139" s="801"/>
      <c r="AS139" s="801"/>
      <c r="AX139" s="1"/>
      <c r="BG139" s="142"/>
      <c r="BH139" s="142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2"/>
      <c r="DA139" s="1"/>
      <c r="DS139" s="5"/>
      <c r="DT139" s="142"/>
      <c r="DU139" s="142"/>
      <c r="DV139" s="142"/>
      <c r="DW139" s="142"/>
      <c r="FZ139" s="142"/>
      <c r="JU139" s="142"/>
      <c r="JV139" s="142"/>
      <c r="JW139" s="142"/>
      <c r="JX139" s="142"/>
      <c r="PB139" s="142"/>
      <c r="PC139" s="142"/>
      <c r="PE139" s="142"/>
      <c r="PS139" s="145"/>
      <c r="PW139" s="142"/>
      <c r="RZ139" s="145"/>
      <c r="AHI139" s="141"/>
      <c r="AIX139" s="141"/>
      <c r="AIY139" s="141"/>
      <c r="AIZ139" s="141"/>
    </row>
    <row r="140" spans="2:936" hidden="1" x14ac:dyDescent="0.25">
      <c r="B140" s="730"/>
      <c r="C140" s="436" t="s">
        <v>42</v>
      </c>
      <c r="D140" s="437"/>
      <c r="E140" s="572" t="s">
        <v>31</v>
      </c>
      <c r="F140" s="282">
        <f>'[7]Januari 24'!AL128</f>
        <v>48858</v>
      </c>
      <c r="G140" s="282" t="e">
        <f>'[7]Februari 24'!AI128</f>
        <v>#REF!</v>
      </c>
      <c r="H140" s="282">
        <f>'[7]Maret 24'!AL128</f>
        <v>0</v>
      </c>
      <c r="I140" s="282" t="e">
        <f>'[7]Januari 24'!AO128</f>
        <v>#REF!</v>
      </c>
      <c r="J140" s="282" t="e">
        <f>'[7]Januari 24'!AP128</f>
        <v>#REF!</v>
      </c>
      <c r="K140" s="282"/>
      <c r="L140" s="282"/>
      <c r="M140" s="282"/>
      <c r="N140" s="282"/>
      <c r="O140" s="282"/>
      <c r="P140" s="282"/>
      <c r="Q140" s="282"/>
      <c r="R140" s="282"/>
      <c r="S140" s="719"/>
      <c r="T140" s="91" t="e">
        <f>SUM(F140:R140)</f>
        <v>#REF!</v>
      </c>
      <c r="U140" s="687">
        <v>296194</v>
      </c>
      <c r="V140" s="787" t="e">
        <f>SUM(H140:T140)</f>
        <v>#REF!</v>
      </c>
      <c r="X140" s="37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815"/>
      <c r="AK140" s="815"/>
      <c r="AL140" s="815"/>
      <c r="AM140" s="815"/>
      <c r="AN140" s="815"/>
      <c r="AO140" s="815"/>
      <c r="AP140" s="815"/>
      <c r="AQ140" s="815"/>
      <c r="AR140" s="815"/>
      <c r="AS140" s="815"/>
      <c r="AX140" s="1"/>
      <c r="BG140" s="148"/>
      <c r="BH140" s="148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8"/>
      <c r="DA140" s="1"/>
      <c r="DS140" s="516"/>
      <c r="DT140" s="148"/>
      <c r="DU140" s="148"/>
      <c r="DV140" s="148"/>
      <c r="DW140" s="148"/>
      <c r="FZ140" s="148"/>
      <c r="JU140" s="148"/>
      <c r="JV140" s="148"/>
      <c r="JW140" s="148"/>
      <c r="JX140" s="148"/>
      <c r="PB140" s="148"/>
      <c r="PC140" s="148"/>
      <c r="PE140" s="148"/>
      <c r="PS140" s="573"/>
      <c r="PW140" s="148"/>
      <c r="RZ140" s="573"/>
      <c r="AHI140" s="144"/>
      <c r="AIX140" s="144"/>
      <c r="AIY140" s="144"/>
      <c r="AIZ140" s="144"/>
    </row>
    <row r="141" spans="2:936" hidden="1" x14ac:dyDescent="0.25">
      <c r="B141" s="730"/>
      <c r="C141" s="436" t="s">
        <v>41</v>
      </c>
      <c r="D141" s="437"/>
      <c r="E141" s="572" t="s">
        <v>31</v>
      </c>
      <c r="F141" s="282">
        <f>'[7]Januari 24'!AL129</f>
        <v>5023</v>
      </c>
      <c r="G141" s="282" t="e">
        <f>'[7]Februari 24'!AI129</f>
        <v>#REF!</v>
      </c>
      <c r="H141" s="282">
        <f>'[7]Maret 24'!AL129</f>
        <v>0</v>
      </c>
      <c r="I141" s="282" t="e">
        <f>'[7]Januari 24'!AO129</f>
        <v>#REF!</v>
      </c>
      <c r="J141" s="282" t="e">
        <f>'[7]Januari 24'!AP129</f>
        <v>#REF!</v>
      </c>
      <c r="K141" s="2"/>
      <c r="L141" s="282"/>
      <c r="M141" s="282"/>
      <c r="N141" s="282"/>
      <c r="O141" s="282"/>
      <c r="P141" s="282"/>
      <c r="Q141" s="282"/>
      <c r="R141" s="282"/>
      <c r="S141" s="719"/>
      <c r="T141" s="91" t="e">
        <f>SUM(F141:R141)</f>
        <v>#REF!</v>
      </c>
      <c r="U141" s="687">
        <v>626151</v>
      </c>
      <c r="V141" s="787" t="e">
        <f>SUM(H141:T141)</f>
        <v>#REF!</v>
      </c>
      <c r="X141" s="37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815"/>
      <c r="AK141" s="815"/>
      <c r="AL141" s="815"/>
      <c r="AM141" s="815"/>
      <c r="AN141" s="815"/>
      <c r="AO141" s="815"/>
      <c r="AP141" s="815"/>
      <c r="AQ141" s="815"/>
      <c r="AR141" s="815"/>
      <c r="AS141" s="815"/>
      <c r="AX141" s="1"/>
      <c r="BG141" s="148"/>
      <c r="BH141" s="148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8"/>
      <c r="DA141" s="1"/>
      <c r="DS141" s="516"/>
      <c r="DT141" s="148"/>
      <c r="DU141" s="148"/>
      <c r="DV141" s="148"/>
      <c r="DW141" s="148"/>
      <c r="FZ141" s="148"/>
      <c r="JU141" s="148"/>
      <c r="JV141" s="148"/>
      <c r="JW141" s="148"/>
      <c r="JX141" s="148"/>
      <c r="PB141" s="148"/>
      <c r="PC141" s="148"/>
      <c r="PE141" s="148"/>
      <c r="PS141" s="573"/>
      <c r="PW141" s="148"/>
      <c r="RZ141" s="573"/>
      <c r="AHI141" s="144"/>
      <c r="AIX141" s="144"/>
      <c r="AIY141" s="144"/>
      <c r="AIZ141" s="144"/>
    </row>
    <row r="142" spans="2:936" hidden="1" x14ac:dyDescent="0.25">
      <c r="B142" s="729"/>
      <c r="C142" s="568" t="s">
        <v>28</v>
      </c>
      <c r="D142" s="476"/>
      <c r="E142" s="464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717"/>
      <c r="T142" s="63" t="s">
        <v>28</v>
      </c>
      <c r="U142" s="686" t="s">
        <v>28</v>
      </c>
      <c r="V142" s="783" t="s">
        <v>28</v>
      </c>
      <c r="X142" s="6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801"/>
      <c r="AK142" s="801"/>
      <c r="AL142" s="801"/>
      <c r="AM142" s="801"/>
      <c r="AN142" s="801"/>
      <c r="AO142" s="801"/>
      <c r="AP142" s="801"/>
      <c r="AQ142" s="801"/>
      <c r="AR142" s="801"/>
      <c r="AS142" s="801"/>
      <c r="AX142" s="1"/>
      <c r="BG142" s="142"/>
      <c r="BH142" s="142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2"/>
      <c r="DA142" s="1"/>
      <c r="DS142" s="5"/>
      <c r="DT142" s="142"/>
      <c r="DU142" s="142"/>
      <c r="DV142" s="142"/>
      <c r="DW142" s="142"/>
      <c r="FZ142" s="142"/>
      <c r="JU142" s="142"/>
      <c r="JV142" s="142"/>
      <c r="JW142" s="142"/>
      <c r="JX142" s="142"/>
      <c r="PB142" s="142"/>
      <c r="PC142" s="142"/>
      <c r="PE142" s="142"/>
      <c r="PS142" s="145"/>
      <c r="PW142" s="142"/>
      <c r="RZ142" s="145"/>
      <c r="AHI142" s="141"/>
      <c r="AIX142" s="141"/>
      <c r="AIY142" s="141"/>
      <c r="AIZ142" s="141"/>
    </row>
    <row r="143" spans="2:936" hidden="1" x14ac:dyDescent="0.25">
      <c r="B143" s="729"/>
      <c r="C143" s="436" t="s">
        <v>42</v>
      </c>
      <c r="D143" s="476"/>
      <c r="E143" s="496" t="s">
        <v>28</v>
      </c>
      <c r="F143" s="439">
        <f>F140*12</f>
        <v>586296</v>
      </c>
      <c r="G143" s="439" t="e">
        <f t="shared" ref="G143:J143" si="42">G140*12</f>
        <v>#REF!</v>
      </c>
      <c r="H143" s="439">
        <f t="shared" si="42"/>
        <v>0</v>
      </c>
      <c r="I143" s="439" t="e">
        <f t="shared" si="42"/>
        <v>#REF!</v>
      </c>
      <c r="J143" s="439" t="e">
        <f t="shared" si="42"/>
        <v>#REF!</v>
      </c>
      <c r="K143" s="439"/>
      <c r="L143" s="439"/>
      <c r="M143" s="439"/>
      <c r="N143" s="439"/>
      <c r="O143" s="439"/>
      <c r="P143" s="439"/>
      <c r="Q143" s="439"/>
      <c r="R143" s="439"/>
      <c r="S143" s="717"/>
      <c r="T143" s="54" t="e">
        <f>T140*12</f>
        <v>#REF!</v>
      </c>
      <c r="U143" s="664">
        <f>U140*12</f>
        <v>3554328</v>
      </c>
      <c r="V143" s="784" t="e">
        <f>V140*12</f>
        <v>#REF!</v>
      </c>
      <c r="X143" s="6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801"/>
      <c r="AK143" s="801"/>
      <c r="AL143" s="801"/>
      <c r="AM143" s="801"/>
      <c r="AN143" s="801"/>
      <c r="AO143" s="801"/>
      <c r="AP143" s="801"/>
      <c r="AQ143" s="801"/>
      <c r="AR143" s="801"/>
      <c r="AS143" s="801"/>
      <c r="AX143" s="1"/>
      <c r="BG143" s="142"/>
      <c r="BH143" s="142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2"/>
      <c r="DA143" s="1"/>
      <c r="DS143" s="5"/>
      <c r="DT143" s="142"/>
      <c r="DU143" s="142"/>
      <c r="DV143" s="142"/>
      <c r="DW143" s="142"/>
      <c r="FZ143" s="142"/>
      <c r="JU143" s="142"/>
      <c r="JV143" s="142"/>
      <c r="JW143" s="142"/>
      <c r="JX143" s="142"/>
      <c r="PB143" s="142"/>
      <c r="PC143" s="142"/>
      <c r="PE143" s="142"/>
      <c r="PS143" s="145"/>
      <c r="PW143" s="142"/>
      <c r="RZ143" s="145"/>
      <c r="AHI143" s="141"/>
      <c r="AIX143" s="141"/>
      <c r="AIY143" s="141"/>
      <c r="AIZ143" s="141"/>
    </row>
    <row r="144" spans="2:936" hidden="1" x14ac:dyDescent="0.25">
      <c r="B144" s="729"/>
      <c r="C144" s="436" t="s">
        <v>41</v>
      </c>
      <c r="D144" s="476"/>
      <c r="E144" s="496" t="s">
        <v>28</v>
      </c>
      <c r="F144" s="439">
        <f>F141*6</f>
        <v>30138</v>
      </c>
      <c r="G144" s="439" t="e">
        <f t="shared" ref="G144:J144" si="43">G141*6</f>
        <v>#REF!</v>
      </c>
      <c r="H144" s="439">
        <f t="shared" si="43"/>
        <v>0</v>
      </c>
      <c r="I144" s="439" t="e">
        <f t="shared" si="43"/>
        <v>#REF!</v>
      </c>
      <c r="J144" s="439" t="e">
        <f t="shared" si="43"/>
        <v>#REF!</v>
      </c>
      <c r="K144" s="439"/>
      <c r="L144" s="439"/>
      <c r="M144" s="439"/>
      <c r="N144" s="439"/>
      <c r="O144" s="439"/>
      <c r="P144" s="439"/>
      <c r="Q144" s="439"/>
      <c r="R144" s="439"/>
      <c r="S144" s="717"/>
      <c r="T144" s="54" t="e">
        <f>T141*6</f>
        <v>#REF!</v>
      </c>
      <c r="U144" s="664">
        <f>U141*6</f>
        <v>3756906</v>
      </c>
      <c r="V144" s="784" t="e">
        <f>V141*6</f>
        <v>#REF!</v>
      </c>
      <c r="X144" s="6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801"/>
      <c r="AK144" s="801"/>
      <c r="AL144" s="801"/>
      <c r="AM144" s="801"/>
      <c r="AN144" s="801"/>
      <c r="AO144" s="801"/>
      <c r="AP144" s="801"/>
      <c r="AQ144" s="801"/>
      <c r="AR144" s="801"/>
      <c r="AS144" s="801"/>
      <c r="AX144" s="1"/>
      <c r="BG144" s="142"/>
      <c r="BH144" s="142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2"/>
      <c r="DA144" s="1"/>
      <c r="DS144" s="5"/>
      <c r="DT144" s="142"/>
      <c r="DU144" s="142"/>
      <c r="DV144" s="142"/>
      <c r="DW144" s="142"/>
      <c r="FZ144" s="142"/>
      <c r="JU144" s="142"/>
      <c r="JV144" s="142"/>
      <c r="JW144" s="142"/>
      <c r="JX144" s="142"/>
      <c r="PB144" s="142"/>
      <c r="PC144" s="142"/>
      <c r="PE144" s="142"/>
      <c r="PS144" s="145"/>
      <c r="PW144" s="142"/>
      <c r="RZ144" s="145"/>
      <c r="AHI144" s="141"/>
      <c r="AIX144" s="141"/>
      <c r="AIY144" s="141"/>
      <c r="AIZ144" s="141"/>
    </row>
    <row r="145" spans="2:936" hidden="1" x14ac:dyDescent="0.25">
      <c r="B145" s="729"/>
      <c r="C145" s="568" t="s">
        <v>36</v>
      </c>
      <c r="D145" s="476"/>
      <c r="E145" s="496" t="s">
        <v>35</v>
      </c>
      <c r="F145" s="439">
        <f>(F136*45)/1700</f>
        <v>13883.394705882356</v>
      </c>
      <c r="G145" s="439" t="e">
        <f>(G136*45)/1700</f>
        <v>#REF!</v>
      </c>
      <c r="H145" s="439">
        <f>(H136*45)/1700</f>
        <v>0</v>
      </c>
      <c r="I145" s="439" t="e">
        <f t="shared" ref="I145:J145" si="44">(I136*45)/1700</f>
        <v>#REF!</v>
      </c>
      <c r="J145" s="439" t="e">
        <f t="shared" si="44"/>
        <v>#REF!</v>
      </c>
      <c r="K145" s="439"/>
      <c r="L145" s="439"/>
      <c r="M145" s="439"/>
      <c r="N145" s="439"/>
      <c r="O145" s="439"/>
      <c r="P145" s="439"/>
      <c r="Q145" s="439"/>
      <c r="R145" s="439"/>
      <c r="S145" s="717"/>
      <c r="T145" s="54" t="e">
        <f t="shared" ref="T145:V146" si="45">SUM(F145:R145)</f>
        <v>#REF!</v>
      </c>
      <c r="U145" s="664" t="e">
        <f t="shared" si="45"/>
        <v>#REF!</v>
      </c>
      <c r="V145" s="784" t="e">
        <f t="shared" si="45"/>
        <v>#REF!</v>
      </c>
      <c r="X145" s="6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801"/>
      <c r="AK145" s="801"/>
      <c r="AL145" s="801"/>
      <c r="AM145" s="801"/>
      <c r="AN145" s="801"/>
      <c r="AO145" s="801"/>
      <c r="AP145" s="801"/>
      <c r="AQ145" s="801"/>
      <c r="AR145" s="801"/>
      <c r="AS145" s="801"/>
      <c r="AX145" s="1"/>
      <c r="BG145" s="142"/>
      <c r="BH145" s="142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2"/>
      <c r="DA145" s="1"/>
      <c r="DS145" s="5"/>
      <c r="DT145" s="142"/>
      <c r="DU145" s="142"/>
      <c r="DV145" s="142"/>
      <c r="DW145" s="142"/>
      <c r="FZ145" s="142"/>
      <c r="JU145" s="142"/>
      <c r="JV145" s="142"/>
      <c r="JW145" s="142"/>
      <c r="JX145" s="142"/>
      <c r="PB145" s="142"/>
      <c r="PC145" s="142"/>
      <c r="PE145" s="142"/>
      <c r="PS145" s="145"/>
      <c r="PW145" s="142"/>
      <c r="RZ145" s="145"/>
      <c r="AHI145" s="141"/>
      <c r="AIX145" s="141"/>
      <c r="AIY145" s="141"/>
      <c r="AIZ145" s="141"/>
    </row>
    <row r="146" spans="2:936" hidden="1" x14ac:dyDescent="0.25">
      <c r="B146" s="729"/>
      <c r="C146" s="568" t="s">
        <v>34</v>
      </c>
      <c r="D146" s="476"/>
      <c r="E146" s="496" t="s">
        <v>33</v>
      </c>
      <c r="F146" s="439">
        <f>SUM(F140:F141)/500</f>
        <v>107.762</v>
      </c>
      <c r="G146" s="439" t="e">
        <f t="shared" ref="G146:J146" si="46">SUM(G140:G141)/500</f>
        <v>#REF!</v>
      </c>
      <c r="H146" s="439">
        <f t="shared" si="46"/>
        <v>0</v>
      </c>
      <c r="I146" s="439" t="e">
        <f t="shared" si="46"/>
        <v>#REF!</v>
      </c>
      <c r="J146" s="439" t="e">
        <f t="shared" si="46"/>
        <v>#REF!</v>
      </c>
      <c r="K146" s="586"/>
      <c r="L146" s="586"/>
      <c r="M146" s="586"/>
      <c r="N146" s="586"/>
      <c r="O146" s="586"/>
      <c r="P146" s="586"/>
      <c r="Q146" s="586"/>
      <c r="R146" s="586"/>
      <c r="S146" s="717"/>
      <c r="T146" s="54" t="e">
        <f t="shared" si="45"/>
        <v>#REF!</v>
      </c>
      <c r="U146" s="664" t="e">
        <f t="shared" si="45"/>
        <v>#REF!</v>
      </c>
      <c r="V146" s="784" t="e">
        <f t="shared" si="45"/>
        <v>#REF!</v>
      </c>
      <c r="X146" s="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801"/>
      <c r="AK146" s="801"/>
      <c r="AL146" s="801"/>
      <c r="AM146" s="801"/>
      <c r="AN146" s="801"/>
      <c r="AO146" s="801"/>
      <c r="AP146" s="801"/>
      <c r="AQ146" s="801"/>
      <c r="AR146" s="801"/>
      <c r="AS146" s="801"/>
      <c r="AX146" s="1"/>
      <c r="BG146" s="142"/>
      <c r="BH146" s="142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42"/>
      <c r="DA146" s="1"/>
      <c r="DS146" s="5"/>
      <c r="DT146" s="142"/>
      <c r="DU146" s="142"/>
      <c r="DV146" s="142"/>
      <c r="DW146" s="142"/>
      <c r="FZ146" s="142"/>
      <c r="JU146" s="142"/>
      <c r="JV146" s="142"/>
      <c r="JW146" s="142"/>
      <c r="JX146" s="142"/>
      <c r="PB146" s="142"/>
      <c r="PC146" s="142"/>
      <c r="PE146" s="142"/>
      <c r="PS146" s="145"/>
      <c r="PW146" s="142"/>
      <c r="RZ146" s="145"/>
      <c r="AHI146" s="141"/>
      <c r="AIX146" s="141"/>
      <c r="AIY146" s="141"/>
      <c r="AIZ146" s="141"/>
    </row>
    <row r="147" spans="2:936" hidden="1" x14ac:dyDescent="0.25">
      <c r="B147" s="726"/>
      <c r="C147" s="419" t="s">
        <v>32</v>
      </c>
      <c r="D147" s="48"/>
      <c r="E147" s="48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3"/>
      <c r="T147" s="521" t="s">
        <v>131</v>
      </c>
      <c r="U147" s="675" t="s">
        <v>131</v>
      </c>
      <c r="V147" s="774" t="s">
        <v>131</v>
      </c>
      <c r="X147" s="1"/>
      <c r="Y147" s="62"/>
      <c r="Z147" s="62"/>
      <c r="AA147" s="62"/>
      <c r="AB147" s="62"/>
      <c r="AC147" s="62"/>
      <c r="AD147" s="62"/>
      <c r="AE147" s="62"/>
      <c r="AF147" s="62"/>
      <c r="AG147" s="801"/>
      <c r="AH147" s="801"/>
      <c r="AI147" s="801"/>
      <c r="AJ147" s="801"/>
      <c r="AK147" s="801"/>
      <c r="AL147" s="801"/>
      <c r="AM147" s="801"/>
      <c r="AN147" s="801"/>
      <c r="AO147" s="801"/>
      <c r="AP147" s="801"/>
      <c r="AR147" s="62"/>
      <c r="AX147" s="1"/>
      <c r="BD147" s="141"/>
      <c r="BE147" s="14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1"/>
      <c r="DA147" s="1"/>
      <c r="DP147" s="5"/>
      <c r="DQ147" s="141"/>
      <c r="DR147" s="141"/>
      <c r="DS147" s="141"/>
      <c r="DT147" s="141"/>
      <c r="FW147" s="141"/>
      <c r="JR147" s="141"/>
      <c r="JS147" s="141"/>
      <c r="JT147" s="141"/>
      <c r="JU147" s="141"/>
      <c r="OY147" s="141"/>
      <c r="OZ147" s="141"/>
      <c r="PB147" s="141"/>
      <c r="PP147" s="481"/>
      <c r="PT147" s="141"/>
      <c r="RW147" s="481"/>
      <c r="AHF147" s="141"/>
      <c r="AIU147" s="141"/>
      <c r="AIV147" s="141"/>
      <c r="AIW147" s="141"/>
    </row>
    <row r="148" spans="2:936" hidden="1" x14ac:dyDescent="0.25">
      <c r="B148" s="729"/>
      <c r="C148" s="568" t="s">
        <v>29</v>
      </c>
      <c r="D148" s="476"/>
      <c r="E148" s="464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717"/>
      <c r="T148" s="63" t="s">
        <v>29</v>
      </c>
      <c r="U148" s="686" t="s">
        <v>29</v>
      </c>
      <c r="V148" s="783" t="s">
        <v>29</v>
      </c>
      <c r="X148" s="1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R148" s="62"/>
      <c r="AX148" s="1"/>
      <c r="BD148" s="142"/>
      <c r="BE148" s="142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2"/>
      <c r="DA148" s="1"/>
      <c r="DP148" s="5"/>
      <c r="DQ148" s="142"/>
      <c r="DR148" s="142"/>
      <c r="DS148" s="142"/>
      <c r="DT148" s="142"/>
      <c r="FW148" s="142"/>
      <c r="JR148" s="142"/>
      <c r="JS148" s="142"/>
      <c r="JT148" s="142"/>
      <c r="JU148" s="142"/>
      <c r="OY148" s="142"/>
      <c r="OZ148" s="142"/>
      <c r="PB148" s="142"/>
      <c r="PP148" s="145"/>
      <c r="PT148" s="142"/>
      <c r="RW148" s="145"/>
      <c r="AHF148" s="141"/>
      <c r="AIU148" s="141"/>
      <c r="AIV148" s="141"/>
      <c r="AIW148" s="141"/>
    </row>
    <row r="149" spans="2:936" hidden="1" x14ac:dyDescent="0.25">
      <c r="B149" s="729"/>
      <c r="C149" s="436" t="s">
        <v>42</v>
      </c>
      <c r="D149" s="476"/>
      <c r="E149" s="496" t="s">
        <v>31</v>
      </c>
      <c r="F149" s="33">
        <f>'[7]Januari 24'!AL131</f>
        <v>586296</v>
      </c>
      <c r="G149" s="33" t="e">
        <f>'[7]Februari 24'!AI137</f>
        <v>#REF!</v>
      </c>
      <c r="H149" s="33">
        <f>'[7]Maret 24'!AL137</f>
        <v>0</v>
      </c>
      <c r="I149" s="33" t="e">
        <f>'[7]Januari 24'!AO131</f>
        <v>#REF!</v>
      </c>
      <c r="J149" s="33" t="e">
        <f>'[7]Januari 24'!AP131</f>
        <v>#REF!</v>
      </c>
      <c r="K149" s="33"/>
      <c r="L149" s="33"/>
      <c r="M149" s="33"/>
      <c r="N149" s="33"/>
      <c r="O149" s="33"/>
      <c r="P149" s="33"/>
      <c r="Q149" s="33"/>
      <c r="R149" s="33"/>
      <c r="S149" s="717"/>
      <c r="T149" s="54" t="e">
        <f t="shared" ref="T149:V150" si="47">SUM(F149:R149)</f>
        <v>#REF!</v>
      </c>
      <c r="U149" s="664" t="e">
        <f t="shared" si="47"/>
        <v>#REF!</v>
      </c>
      <c r="V149" s="784" t="e">
        <f t="shared" si="47"/>
        <v>#REF!</v>
      </c>
      <c r="X149" s="1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R149" s="62"/>
      <c r="AX149" s="1"/>
      <c r="BD149" s="142"/>
      <c r="BE149" s="142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2"/>
      <c r="DA149" s="1"/>
      <c r="DP149" s="5"/>
      <c r="DQ149" s="142"/>
      <c r="DR149" s="142"/>
      <c r="DS149" s="142"/>
      <c r="DT149" s="142"/>
      <c r="FW149" s="142"/>
      <c r="JR149" s="142"/>
      <c r="JS149" s="142"/>
      <c r="JT149" s="142"/>
      <c r="JU149" s="142"/>
      <c r="OY149" s="142"/>
      <c r="OZ149" s="142"/>
      <c r="PB149" s="142"/>
      <c r="PP149" s="145"/>
      <c r="PT149" s="142"/>
      <c r="RW149" s="145"/>
      <c r="AHF149" s="141"/>
      <c r="AIU149" s="141"/>
      <c r="AIV149" s="141"/>
      <c r="AIW149" s="141"/>
    </row>
    <row r="150" spans="2:936" hidden="1" x14ac:dyDescent="0.25">
      <c r="B150" s="729"/>
      <c r="C150" s="436" t="s">
        <v>41</v>
      </c>
      <c r="D150" s="476"/>
      <c r="E150" s="496" t="s">
        <v>31</v>
      </c>
      <c r="F150" s="33">
        <f>'[7]Januari 24'!AL132</f>
        <v>30138</v>
      </c>
      <c r="G150" s="33" t="e">
        <f>'[7]Februari 24'!AI138</f>
        <v>#REF!</v>
      </c>
      <c r="H150" s="33">
        <f>'[7]Maret 24'!AL138</f>
        <v>0</v>
      </c>
      <c r="I150" s="33" t="e">
        <f>'[7]Januari 24'!AO132</f>
        <v>#REF!</v>
      </c>
      <c r="J150" s="33" t="e">
        <f>'[7]Januari 24'!AP132</f>
        <v>#REF!</v>
      </c>
      <c r="K150" s="33"/>
      <c r="L150" s="33"/>
      <c r="M150" s="33"/>
      <c r="N150" s="33"/>
      <c r="O150" s="33"/>
      <c r="P150" s="33"/>
      <c r="Q150" s="33"/>
      <c r="R150" s="33"/>
      <c r="S150" s="717"/>
      <c r="T150" s="54" t="e">
        <f t="shared" si="47"/>
        <v>#REF!</v>
      </c>
      <c r="U150" s="664" t="e">
        <f t="shared" si="47"/>
        <v>#REF!</v>
      </c>
      <c r="V150" s="784" t="e">
        <f t="shared" si="47"/>
        <v>#REF!</v>
      </c>
      <c r="X150" s="1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R150" s="62"/>
      <c r="AX150" s="1"/>
      <c r="BD150" s="142"/>
      <c r="BE150" s="142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2"/>
      <c r="DA150" s="1"/>
      <c r="DP150" s="5"/>
      <c r="DQ150" s="142"/>
      <c r="DR150" s="142"/>
      <c r="DS150" s="142"/>
      <c r="DT150" s="142"/>
      <c r="FW150" s="142"/>
      <c r="JR150" s="142"/>
      <c r="JS150" s="142"/>
      <c r="JT150" s="142"/>
      <c r="JU150" s="142"/>
      <c r="OY150" s="142"/>
      <c r="OZ150" s="142"/>
      <c r="PB150" s="142"/>
      <c r="PP150" s="145"/>
      <c r="PT150" s="142"/>
      <c r="RW150" s="145"/>
      <c r="AHF150" s="141"/>
      <c r="AIU150" s="141"/>
      <c r="AIV150" s="141"/>
      <c r="AIW150" s="141"/>
    </row>
    <row r="151" spans="2:936" hidden="1" x14ac:dyDescent="0.25">
      <c r="B151" s="729"/>
      <c r="C151" s="568" t="s">
        <v>28</v>
      </c>
      <c r="D151" s="476"/>
      <c r="E151" s="464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17"/>
      <c r="T151" s="63" t="s">
        <v>28</v>
      </c>
      <c r="U151" s="686" t="s">
        <v>28</v>
      </c>
      <c r="V151" s="783" t="s">
        <v>28</v>
      </c>
      <c r="X151" s="1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R151" s="62"/>
      <c r="AX151" s="1"/>
      <c r="BD151" s="142"/>
      <c r="BE151" s="142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2"/>
      <c r="DA151" s="1"/>
      <c r="DP151" s="5"/>
      <c r="DQ151" s="142"/>
      <c r="DR151" s="142"/>
      <c r="DS151" s="142"/>
      <c r="DT151" s="142"/>
      <c r="FW151" s="142"/>
      <c r="JR151" s="142"/>
      <c r="JS151" s="142"/>
      <c r="JT151" s="142"/>
      <c r="JU151" s="142"/>
      <c r="OY151" s="142"/>
      <c r="OZ151" s="142"/>
      <c r="PB151" s="142"/>
      <c r="PP151" s="145"/>
      <c r="PT151" s="142"/>
      <c r="RW151" s="145"/>
      <c r="AHF151" s="141"/>
      <c r="AIU151" s="141"/>
      <c r="AIV151" s="141"/>
      <c r="AIW151" s="141"/>
    </row>
    <row r="152" spans="2:936" hidden="1" x14ac:dyDescent="0.25">
      <c r="B152" s="729"/>
      <c r="C152" s="436" t="str">
        <f>C149</f>
        <v xml:space="preserve">INL SP 900 mL  </v>
      </c>
      <c r="D152" s="476"/>
      <c r="E152" s="496" t="s">
        <v>28</v>
      </c>
      <c r="F152" s="33">
        <f>F149*12</f>
        <v>7035552</v>
      </c>
      <c r="G152" s="33" t="e">
        <f t="shared" ref="G152:J152" si="48">G149*12</f>
        <v>#REF!</v>
      </c>
      <c r="H152" s="33">
        <f t="shared" si="48"/>
        <v>0</v>
      </c>
      <c r="I152" s="33" t="e">
        <f t="shared" si="48"/>
        <v>#REF!</v>
      </c>
      <c r="J152" s="33" t="e">
        <f t="shared" si="48"/>
        <v>#REF!</v>
      </c>
      <c r="K152" s="33"/>
      <c r="L152" s="33"/>
      <c r="M152" s="33"/>
      <c r="N152" s="33"/>
      <c r="O152" s="33"/>
      <c r="P152" s="33"/>
      <c r="Q152" s="33"/>
      <c r="R152" s="33"/>
      <c r="S152" s="717"/>
      <c r="T152" s="54" t="e">
        <f t="shared" ref="T152:V153" si="49">SUM(F152:R152)</f>
        <v>#REF!</v>
      </c>
      <c r="U152" s="664" t="e">
        <f t="shared" si="49"/>
        <v>#REF!</v>
      </c>
      <c r="V152" s="784" t="e">
        <f t="shared" si="49"/>
        <v>#REF!</v>
      </c>
      <c r="X152" s="1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R152" s="62"/>
      <c r="AX152" s="1"/>
      <c r="BD152" s="142"/>
      <c r="BE152" s="142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2"/>
      <c r="DA152" s="1"/>
      <c r="DP152" s="5"/>
      <c r="DQ152" s="142"/>
      <c r="DR152" s="142"/>
      <c r="DS152" s="142"/>
      <c r="DT152" s="142"/>
      <c r="FW152" s="142"/>
      <c r="JR152" s="142"/>
      <c r="JS152" s="142"/>
      <c r="JT152" s="142"/>
      <c r="JU152" s="142"/>
      <c r="OY152" s="142"/>
      <c r="OZ152" s="142"/>
      <c r="PB152" s="142"/>
      <c r="PP152" s="145"/>
      <c r="PT152" s="142"/>
      <c r="RW152" s="145"/>
      <c r="AHF152" s="141"/>
      <c r="AIU152" s="141"/>
      <c r="AIV152" s="141"/>
      <c r="AIW152" s="141"/>
    </row>
    <row r="153" spans="2:936" hidden="1" x14ac:dyDescent="0.25">
      <c r="B153" s="729"/>
      <c r="C153" s="436" t="str">
        <f>C150</f>
        <v>INL SP 1,8 L</v>
      </c>
      <c r="D153" s="476"/>
      <c r="E153" s="496" t="s">
        <v>28</v>
      </c>
      <c r="F153" s="33">
        <f>F150*6</f>
        <v>180828</v>
      </c>
      <c r="G153" s="33" t="e">
        <f t="shared" ref="G153:J153" si="50">G150*6</f>
        <v>#REF!</v>
      </c>
      <c r="H153" s="33">
        <f t="shared" si="50"/>
        <v>0</v>
      </c>
      <c r="I153" s="33" t="e">
        <f t="shared" si="50"/>
        <v>#REF!</v>
      </c>
      <c r="J153" s="33" t="e">
        <f t="shared" si="50"/>
        <v>#REF!</v>
      </c>
      <c r="K153" s="33"/>
      <c r="L153" s="33"/>
      <c r="M153" s="33"/>
      <c r="N153" s="33"/>
      <c r="O153" s="33"/>
      <c r="P153" s="33"/>
      <c r="Q153" s="33"/>
      <c r="R153" s="33"/>
      <c r="S153" s="717"/>
      <c r="T153" s="54" t="e">
        <f t="shared" si="49"/>
        <v>#REF!</v>
      </c>
      <c r="U153" s="664" t="e">
        <f t="shared" si="49"/>
        <v>#REF!</v>
      </c>
      <c r="V153" s="784" t="e">
        <f t="shared" si="49"/>
        <v>#REF!</v>
      </c>
      <c r="X153" s="1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R153" s="62"/>
      <c r="AX153" s="1"/>
      <c r="BD153" s="142"/>
      <c r="BE153" s="142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2"/>
      <c r="DA153" s="1"/>
      <c r="DP153" s="5"/>
      <c r="DQ153" s="142"/>
      <c r="DR153" s="142"/>
      <c r="DS153" s="142"/>
      <c r="DT153" s="142"/>
      <c r="FW153" s="142"/>
      <c r="JR153" s="142"/>
      <c r="JS153" s="142"/>
      <c r="JT153" s="142"/>
      <c r="JU153" s="142"/>
      <c r="OY153" s="142"/>
      <c r="OZ153" s="142"/>
      <c r="PB153" s="142"/>
      <c r="PP153" s="145"/>
      <c r="PT153" s="142"/>
      <c r="RW153" s="145"/>
      <c r="AHF153" s="141"/>
      <c r="AIU153" s="141"/>
      <c r="AIV153" s="141"/>
      <c r="AIW153" s="141"/>
    </row>
    <row r="154" spans="2:936" hidden="1" x14ac:dyDescent="0.25">
      <c r="B154" s="729"/>
      <c r="C154" s="419" t="s">
        <v>30</v>
      </c>
      <c r="D154" s="76"/>
      <c r="E154" s="587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588"/>
      <c r="T154" s="95"/>
      <c r="U154" s="689"/>
      <c r="V154" s="788"/>
      <c r="X154" s="1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R154" s="62"/>
      <c r="AX154" s="1"/>
      <c r="BD154" s="142"/>
      <c r="BE154" s="142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2"/>
      <c r="DA154" s="1"/>
      <c r="DP154" s="5"/>
      <c r="DQ154" s="142"/>
      <c r="DR154" s="142"/>
      <c r="DS154" s="142"/>
      <c r="DT154" s="142"/>
      <c r="FW154" s="142"/>
      <c r="JR154" s="142"/>
      <c r="JS154" s="142"/>
      <c r="JT154" s="142"/>
      <c r="JU154" s="142"/>
      <c r="OY154" s="142"/>
      <c r="OZ154" s="142"/>
      <c r="PB154" s="142"/>
      <c r="PP154" s="145"/>
      <c r="PT154" s="142"/>
      <c r="RW154" s="145"/>
      <c r="AHF154" s="141"/>
      <c r="AIU154" s="141"/>
      <c r="AIV154" s="141"/>
      <c r="AIW154" s="141"/>
    </row>
    <row r="155" spans="2:936" hidden="1" x14ac:dyDescent="0.25">
      <c r="B155" s="729"/>
      <c r="C155" s="568" t="s">
        <v>29</v>
      </c>
      <c r="D155" s="476"/>
      <c r="E155" s="496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717"/>
      <c r="T155" s="54"/>
      <c r="U155" s="664"/>
      <c r="V155" s="784"/>
      <c r="X155" s="1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R155" s="62"/>
      <c r="AX155" s="1"/>
      <c r="BD155" s="142"/>
      <c r="BE155" s="142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2"/>
      <c r="DA155" s="1"/>
      <c r="DP155" s="5"/>
      <c r="DQ155" s="142"/>
      <c r="DR155" s="142"/>
      <c r="DS155" s="142"/>
      <c r="DT155" s="142"/>
      <c r="FW155" s="142"/>
      <c r="JR155" s="142"/>
      <c r="JS155" s="142"/>
      <c r="JT155" s="142"/>
      <c r="JU155" s="142"/>
      <c r="OY155" s="142"/>
      <c r="OZ155" s="142"/>
      <c r="PB155" s="142"/>
      <c r="PP155" s="145"/>
      <c r="PT155" s="142"/>
      <c r="RW155" s="145"/>
      <c r="AHF155" s="141"/>
      <c r="AIU155" s="141"/>
      <c r="AIV155" s="141"/>
      <c r="AIW155" s="141"/>
    </row>
    <row r="156" spans="2:936" hidden="1" x14ac:dyDescent="0.25">
      <c r="B156" s="729"/>
      <c r="C156" s="436" t="s">
        <v>42</v>
      </c>
      <c r="D156" s="476"/>
      <c r="E156" s="496" t="s">
        <v>25</v>
      </c>
      <c r="F156" s="440">
        <f>F149/F140*100</f>
        <v>1200</v>
      </c>
      <c r="G156" s="440" t="e">
        <f>G149/G140*100</f>
        <v>#REF!</v>
      </c>
      <c r="H156" s="440" t="e">
        <f t="shared" ref="H156:J157" si="51">H149/H140*100</f>
        <v>#DIV/0!</v>
      </c>
      <c r="I156" s="440" t="e">
        <f t="shared" si="51"/>
        <v>#REF!</v>
      </c>
      <c r="J156" s="440" t="e">
        <f t="shared" si="51"/>
        <v>#REF!</v>
      </c>
      <c r="K156" s="440"/>
      <c r="L156" s="440"/>
      <c r="M156" s="440"/>
      <c r="N156" s="440"/>
      <c r="O156" s="440"/>
      <c r="P156" s="440"/>
      <c r="Q156" s="440"/>
      <c r="R156" s="440"/>
      <c r="S156" s="717"/>
      <c r="T156" s="58" t="e">
        <f>T149/T140*100</f>
        <v>#REF!</v>
      </c>
      <c r="U156" s="664"/>
      <c r="V156" s="784"/>
      <c r="X156" s="1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R156" s="62"/>
      <c r="AX156" s="1"/>
      <c r="BD156" s="142"/>
      <c r="BE156" s="142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2"/>
      <c r="DA156" s="1"/>
      <c r="DP156" s="5"/>
      <c r="DQ156" s="142"/>
      <c r="DR156" s="142"/>
      <c r="DS156" s="142"/>
      <c r="DT156" s="142"/>
      <c r="FW156" s="142"/>
      <c r="JR156" s="142"/>
      <c r="JS156" s="142"/>
      <c r="JT156" s="142"/>
      <c r="JU156" s="142"/>
      <c r="OY156" s="142"/>
      <c r="OZ156" s="142"/>
      <c r="PB156" s="142"/>
      <c r="PP156" s="145"/>
      <c r="PT156" s="142"/>
      <c r="RW156" s="145"/>
      <c r="AHF156" s="141"/>
      <c r="AIU156" s="141"/>
      <c r="AIV156" s="141"/>
      <c r="AIW156" s="141"/>
    </row>
    <row r="157" spans="2:936" hidden="1" x14ac:dyDescent="0.25">
      <c r="B157" s="729"/>
      <c r="C157" s="436" t="s">
        <v>41</v>
      </c>
      <c r="D157" s="476"/>
      <c r="E157" s="496" t="s">
        <v>25</v>
      </c>
      <c r="F157" s="440">
        <f>F150/F141*100</f>
        <v>600</v>
      </c>
      <c r="G157" s="440" t="e">
        <f>G150/G141*100</f>
        <v>#REF!</v>
      </c>
      <c r="H157" s="440" t="e">
        <f t="shared" si="51"/>
        <v>#DIV/0!</v>
      </c>
      <c r="I157" s="440" t="e">
        <f t="shared" si="51"/>
        <v>#REF!</v>
      </c>
      <c r="J157" s="440" t="e">
        <f t="shared" si="51"/>
        <v>#REF!</v>
      </c>
      <c r="K157" s="440"/>
      <c r="L157" s="440"/>
      <c r="M157" s="440"/>
      <c r="N157" s="440"/>
      <c r="O157" s="440"/>
      <c r="P157" s="440"/>
      <c r="Q157" s="440"/>
      <c r="R157" s="440"/>
      <c r="S157" s="717"/>
      <c r="T157" s="58" t="e">
        <f>T150/T141*100</f>
        <v>#REF!</v>
      </c>
      <c r="U157" s="664"/>
      <c r="V157" s="784"/>
      <c r="X157" s="1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R157" s="62"/>
      <c r="AX157" s="1"/>
      <c r="BD157" s="142"/>
      <c r="BE157" s="142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2"/>
      <c r="DA157" s="1"/>
      <c r="DP157" s="5"/>
      <c r="DQ157" s="142"/>
      <c r="DR157" s="142"/>
      <c r="DS157" s="142"/>
      <c r="DT157" s="142"/>
      <c r="FW157" s="142"/>
      <c r="JR157" s="142"/>
      <c r="JS157" s="142"/>
      <c r="JT157" s="142"/>
      <c r="JU157" s="142"/>
      <c r="OY157" s="142"/>
      <c r="OZ157" s="142"/>
      <c r="PB157" s="142"/>
      <c r="PP157" s="145"/>
      <c r="PT157" s="142"/>
      <c r="RW157" s="145"/>
      <c r="AHF157" s="141"/>
      <c r="AIU157" s="141"/>
      <c r="AIV157" s="141"/>
      <c r="AIW157" s="141"/>
    </row>
    <row r="158" spans="2:936" hidden="1" x14ac:dyDescent="0.25">
      <c r="B158" s="729"/>
      <c r="C158" s="568" t="s">
        <v>28</v>
      </c>
      <c r="D158" s="476"/>
      <c r="E158" s="496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717"/>
      <c r="T158" s="54"/>
      <c r="U158" s="664"/>
      <c r="V158" s="784"/>
      <c r="X158" s="1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R158" s="62"/>
      <c r="AX158" s="1"/>
      <c r="BD158" s="142"/>
      <c r="BE158" s="142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2"/>
      <c r="DA158" s="1"/>
      <c r="DP158" s="5"/>
      <c r="DQ158" s="142"/>
      <c r="DR158" s="142"/>
      <c r="DS158" s="142"/>
      <c r="DT158" s="142"/>
      <c r="FW158" s="142"/>
      <c r="JR158" s="142"/>
      <c r="JS158" s="142"/>
      <c r="JT158" s="142"/>
      <c r="JU158" s="142"/>
      <c r="OY158" s="142"/>
      <c r="OZ158" s="142"/>
      <c r="PB158" s="142"/>
      <c r="PP158" s="145"/>
      <c r="PT158" s="142"/>
      <c r="RW158" s="145"/>
      <c r="AHF158" s="141"/>
      <c r="AIU158" s="141"/>
      <c r="AIV158" s="141"/>
      <c r="AIW158" s="141"/>
    </row>
    <row r="159" spans="2:936" hidden="1" x14ac:dyDescent="0.25">
      <c r="B159" s="729"/>
      <c r="C159" s="436" t="s">
        <v>42</v>
      </c>
      <c r="D159" s="476"/>
      <c r="E159" s="496" t="s">
        <v>25</v>
      </c>
      <c r="F159" s="440">
        <f>F152/F143*100</f>
        <v>1200</v>
      </c>
      <c r="G159" s="440" t="e">
        <f>G152/G143*100</f>
        <v>#REF!</v>
      </c>
      <c r="H159" s="440" t="e">
        <f t="shared" ref="H159:J160" si="52">H152/H143*100</f>
        <v>#DIV/0!</v>
      </c>
      <c r="I159" s="440" t="e">
        <f t="shared" si="52"/>
        <v>#REF!</v>
      </c>
      <c r="J159" s="440" t="e">
        <f t="shared" si="52"/>
        <v>#REF!</v>
      </c>
      <c r="K159" s="440"/>
      <c r="L159" s="440"/>
      <c r="M159" s="440"/>
      <c r="N159" s="440"/>
      <c r="O159" s="440"/>
      <c r="P159" s="440"/>
      <c r="Q159" s="440"/>
      <c r="R159" s="440"/>
      <c r="S159" s="717"/>
      <c r="T159" s="58" t="e">
        <f>T152/T143*100</f>
        <v>#REF!</v>
      </c>
      <c r="U159" s="664"/>
      <c r="V159" s="784"/>
      <c r="X159" s="1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R159" s="62"/>
      <c r="AX159" s="1"/>
      <c r="BD159" s="142"/>
      <c r="BE159" s="142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2"/>
      <c r="DA159" s="1"/>
      <c r="DP159" s="5"/>
      <c r="DQ159" s="142"/>
      <c r="DR159" s="142"/>
      <c r="DS159" s="142"/>
      <c r="DT159" s="142"/>
      <c r="FW159" s="142"/>
      <c r="JR159" s="142"/>
      <c r="JS159" s="142"/>
      <c r="JT159" s="142"/>
      <c r="JU159" s="142"/>
      <c r="OY159" s="142"/>
      <c r="OZ159" s="142"/>
      <c r="PB159" s="142"/>
      <c r="PP159" s="145"/>
      <c r="PT159" s="142"/>
      <c r="RW159" s="145"/>
      <c r="AHF159" s="141"/>
      <c r="AIU159" s="141"/>
      <c r="AIV159" s="141"/>
      <c r="AIW159" s="141"/>
    </row>
    <row r="160" spans="2:936" hidden="1" x14ac:dyDescent="0.25">
      <c r="B160" s="729"/>
      <c r="C160" s="436" t="s">
        <v>41</v>
      </c>
      <c r="D160" s="476"/>
      <c r="E160" s="496" t="s">
        <v>25</v>
      </c>
      <c r="F160" s="440">
        <f>F153/F144*100</f>
        <v>600</v>
      </c>
      <c r="G160" s="440" t="e">
        <f>G153/G144*100</f>
        <v>#REF!</v>
      </c>
      <c r="H160" s="440" t="e">
        <f t="shared" si="52"/>
        <v>#DIV/0!</v>
      </c>
      <c r="I160" s="440" t="e">
        <f t="shared" si="52"/>
        <v>#REF!</v>
      </c>
      <c r="J160" s="440" t="e">
        <f t="shared" si="52"/>
        <v>#REF!</v>
      </c>
      <c r="K160" s="440"/>
      <c r="L160" s="440"/>
      <c r="M160" s="440"/>
      <c r="N160" s="440"/>
      <c r="O160" s="440"/>
      <c r="P160" s="440"/>
      <c r="Q160" s="440"/>
      <c r="R160" s="440"/>
      <c r="S160" s="717"/>
      <c r="T160" s="58" t="e">
        <f>T153/T144*100</f>
        <v>#REF!</v>
      </c>
      <c r="U160" s="664"/>
      <c r="V160" s="784"/>
      <c r="X160" s="1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R160" s="62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145"/>
      <c r="PT160" s="142"/>
      <c r="RW160" s="145"/>
      <c r="AHF160" s="141"/>
      <c r="AIU160" s="141"/>
      <c r="AIV160" s="141"/>
      <c r="AIW160" s="141"/>
    </row>
    <row r="161" spans="2:933" hidden="1" x14ac:dyDescent="0.25">
      <c r="B161" s="725">
        <v>8</v>
      </c>
      <c r="C161" s="419" t="s">
        <v>40</v>
      </c>
      <c r="D161" s="48"/>
      <c r="E161" s="48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3"/>
      <c r="T161" s="521" t="s">
        <v>130</v>
      </c>
      <c r="U161" s="675" t="s">
        <v>130</v>
      </c>
      <c r="V161" s="774" t="s">
        <v>130</v>
      </c>
      <c r="X161" s="1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R161" s="62"/>
      <c r="AX161" s="1"/>
      <c r="BD161" s="141"/>
      <c r="BE161" s="14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1"/>
      <c r="DA161" s="1"/>
      <c r="DP161" s="5"/>
      <c r="DQ161" s="141"/>
      <c r="DR161" s="141"/>
      <c r="DS161" s="141"/>
      <c r="DT161" s="141"/>
      <c r="FW161" s="141"/>
      <c r="JR161" s="141"/>
      <c r="JS161" s="141"/>
      <c r="JT161" s="141"/>
      <c r="JU161" s="141"/>
      <c r="OY161" s="141"/>
      <c r="OZ161" s="141"/>
      <c r="PB161" s="141"/>
      <c r="PP161" s="481"/>
      <c r="PT161" s="141"/>
      <c r="RW161" s="481"/>
      <c r="AHF161" s="141"/>
      <c r="AIU161" s="141"/>
      <c r="AIV161" s="141"/>
      <c r="AIW161" s="141"/>
    </row>
    <row r="162" spans="2:933" hidden="1" x14ac:dyDescent="0.25">
      <c r="B162" s="729"/>
      <c r="C162" s="578" t="s">
        <v>115</v>
      </c>
      <c r="D162" s="579"/>
      <c r="E162" s="20" t="s">
        <v>14</v>
      </c>
      <c r="F162" s="589">
        <f>'[7]Januari 24'!AL150</f>
        <v>0</v>
      </c>
      <c r="G162" s="589" t="e">
        <f>'[7]Februari 24'!AI150</f>
        <v>#REF!</v>
      </c>
      <c r="H162" s="589">
        <f>'[7]Maret 24'!AL150</f>
        <v>0</v>
      </c>
      <c r="I162" s="589" t="e">
        <f>'[7]Januari 24'!AO150</f>
        <v>#REF!</v>
      </c>
      <c r="J162" s="589" t="e">
        <f>'[7]Januari 24'!AP150</f>
        <v>#REF!</v>
      </c>
      <c r="K162" s="589"/>
      <c r="L162" s="589"/>
      <c r="M162" s="589"/>
      <c r="N162" s="589"/>
      <c r="O162" s="589"/>
      <c r="P162" s="589"/>
      <c r="Q162" s="589"/>
      <c r="R162" s="589"/>
      <c r="S162" s="731"/>
      <c r="T162" s="89" t="e">
        <f>SUM(T163:T164)</f>
        <v>#REF!</v>
      </c>
      <c r="U162" s="684" t="e">
        <f>SUM(U163:U164)</f>
        <v>#REF!</v>
      </c>
      <c r="V162" s="785" t="e">
        <f>SUM(V163:V164)</f>
        <v>#REF!</v>
      </c>
      <c r="X162" s="1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R162" s="62"/>
      <c r="AX162" s="1"/>
      <c r="BD162" s="142"/>
      <c r="BE162" s="142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2"/>
      <c r="DA162" s="1"/>
      <c r="DP162" s="5"/>
      <c r="DQ162" s="142"/>
      <c r="DR162" s="142"/>
      <c r="DS162" s="142"/>
      <c r="DT162" s="142"/>
      <c r="FW162" s="142"/>
      <c r="JR162" s="142"/>
      <c r="JS162" s="142"/>
      <c r="JT162" s="142"/>
      <c r="JU162" s="142"/>
      <c r="OY162" s="142"/>
      <c r="OZ162" s="142"/>
      <c r="PB162" s="142"/>
      <c r="PP162" s="145"/>
      <c r="PT162" s="142"/>
      <c r="RW162" s="145"/>
      <c r="AHF162" s="141"/>
      <c r="AIU162" s="141"/>
      <c r="AIV162" s="141"/>
      <c r="AIW162" s="141"/>
    </row>
    <row r="163" spans="2:933" hidden="1" x14ac:dyDescent="0.25">
      <c r="B163" s="729"/>
      <c r="C163" s="568" t="s">
        <v>39</v>
      </c>
      <c r="D163" s="476"/>
      <c r="E163" s="496" t="s">
        <v>14</v>
      </c>
      <c r="F163" s="440">
        <f>SUM(F167:F169)*9.75348</f>
        <v>0</v>
      </c>
      <c r="G163" s="440">
        <f t="shared" ref="G163" si="53">SUM(G167:G169)*9.75348</f>
        <v>63348.852599999998</v>
      </c>
      <c r="H163" s="440">
        <f>'[7]Maret 24'!AL151</f>
        <v>0</v>
      </c>
      <c r="I163" s="440" t="e">
        <f t="shared" ref="I163:J163" si="54">SUM(I167:I169)*9.75348</f>
        <v>#REF!</v>
      </c>
      <c r="J163" s="440" t="e">
        <f t="shared" si="54"/>
        <v>#REF!</v>
      </c>
      <c r="K163" s="440"/>
      <c r="L163" s="440"/>
      <c r="M163" s="440"/>
      <c r="N163" s="440"/>
      <c r="O163" s="440"/>
      <c r="P163" s="440"/>
      <c r="Q163" s="440"/>
      <c r="R163" s="440"/>
      <c r="S163" s="717"/>
      <c r="T163" s="58" t="e">
        <f t="shared" ref="T163:V164" si="55">SUM(F163:R163)</f>
        <v>#REF!</v>
      </c>
      <c r="U163" s="667" t="e">
        <f t="shared" si="55"/>
        <v>#REF!</v>
      </c>
      <c r="V163" s="767" t="e">
        <f t="shared" si="55"/>
        <v>#REF!</v>
      </c>
      <c r="X163" s="1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R163" s="62"/>
      <c r="AX163" s="1"/>
      <c r="BD163" s="142"/>
      <c r="BE163" s="142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2"/>
      <c r="DA163" s="1"/>
      <c r="DP163" s="5"/>
      <c r="DQ163" s="142"/>
      <c r="DR163" s="142"/>
      <c r="DS163" s="142"/>
      <c r="DT163" s="142"/>
      <c r="FW163" s="142"/>
      <c r="JR163" s="142"/>
      <c r="JS163" s="142"/>
      <c r="JT163" s="142"/>
      <c r="JU163" s="142"/>
      <c r="OY163" s="142"/>
      <c r="OZ163" s="142"/>
      <c r="PB163" s="142"/>
      <c r="PP163" s="145"/>
      <c r="PT163" s="142"/>
      <c r="RW163" s="145"/>
      <c r="AHF163" s="141"/>
      <c r="AIU163" s="141"/>
      <c r="AIV163" s="141"/>
      <c r="AIW163" s="141"/>
    </row>
    <row r="164" spans="2:933" hidden="1" x14ac:dyDescent="0.25">
      <c r="B164" s="729"/>
      <c r="C164" s="568" t="s">
        <v>38</v>
      </c>
      <c r="D164" s="476"/>
      <c r="E164" s="496" t="s">
        <v>14</v>
      </c>
      <c r="F164" s="440">
        <f>F162-F163</f>
        <v>0</v>
      </c>
      <c r="G164" s="440" t="e">
        <f>G162-G163</f>
        <v>#REF!</v>
      </c>
      <c r="H164" s="440">
        <f t="shared" ref="H164:J164" si="56">H162-H163</f>
        <v>0</v>
      </c>
      <c r="I164" s="440" t="e">
        <f t="shared" si="56"/>
        <v>#REF!</v>
      </c>
      <c r="J164" s="440" t="e">
        <f t="shared" si="56"/>
        <v>#REF!</v>
      </c>
      <c r="K164" s="440"/>
      <c r="L164" s="440"/>
      <c r="M164" s="440"/>
      <c r="N164" s="439"/>
      <c r="O164" s="439"/>
      <c r="P164" s="439"/>
      <c r="Q164" s="440"/>
      <c r="R164" s="440"/>
      <c r="S164" s="717"/>
      <c r="T164" s="58" t="e">
        <f t="shared" si="55"/>
        <v>#REF!</v>
      </c>
      <c r="U164" s="667" t="e">
        <f t="shared" si="55"/>
        <v>#REF!</v>
      </c>
      <c r="V164" s="767" t="e">
        <f t="shared" si="55"/>
        <v>#REF!</v>
      </c>
      <c r="X164" s="1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R164" s="62"/>
      <c r="AX164" s="1"/>
      <c r="BD164" s="142"/>
      <c r="BE164" s="142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2"/>
      <c r="DA164" s="1"/>
      <c r="DP164" s="5"/>
      <c r="DQ164" s="142"/>
      <c r="DR164" s="142"/>
      <c r="DS164" s="142"/>
      <c r="DT164" s="142"/>
      <c r="FW164" s="142"/>
      <c r="JR164" s="142"/>
      <c r="JS164" s="142"/>
      <c r="JT164" s="142"/>
      <c r="JU164" s="142"/>
      <c r="OY164" s="142"/>
      <c r="OZ164" s="142"/>
      <c r="PB164" s="142"/>
      <c r="PP164" s="145"/>
      <c r="PT164" s="142"/>
      <c r="RW164" s="145"/>
      <c r="AHF164" s="141"/>
      <c r="AIU164" s="141"/>
      <c r="AIV164" s="141"/>
      <c r="AIW164" s="141"/>
    </row>
    <row r="165" spans="2:933" hidden="1" x14ac:dyDescent="0.25">
      <c r="B165" s="729"/>
      <c r="C165" s="568" t="s">
        <v>29</v>
      </c>
      <c r="D165" s="476"/>
      <c r="E165" s="464"/>
      <c r="F165" s="439"/>
      <c r="G165" s="439" t="s">
        <v>349</v>
      </c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717"/>
      <c r="T165" s="63" t="s">
        <v>29</v>
      </c>
      <c r="U165" s="686" t="s">
        <v>29</v>
      </c>
      <c r="V165" s="783" t="s">
        <v>29</v>
      </c>
      <c r="X165" s="1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R165" s="62"/>
      <c r="AX165" s="1"/>
      <c r="BD165" s="142"/>
      <c r="BE165" s="142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2"/>
      <c r="DA165" s="1"/>
      <c r="DP165" s="5"/>
      <c r="DQ165" s="142"/>
      <c r="DR165" s="142"/>
      <c r="DS165" s="142"/>
      <c r="DT165" s="142"/>
      <c r="FW165" s="142"/>
      <c r="JR165" s="142"/>
      <c r="JS165" s="142"/>
      <c r="JT165" s="142"/>
      <c r="JU165" s="142"/>
      <c r="OY165" s="142"/>
      <c r="OZ165" s="142"/>
      <c r="PB165" s="142"/>
      <c r="PP165" s="145"/>
      <c r="PT165" s="142"/>
      <c r="RW165" s="145"/>
      <c r="AHF165" s="141"/>
      <c r="AIU165" s="141"/>
      <c r="AIV165" s="141"/>
      <c r="AIW165" s="141"/>
    </row>
    <row r="166" spans="2:933" hidden="1" x14ac:dyDescent="0.25">
      <c r="B166" s="729"/>
      <c r="C166" s="436" t="s">
        <v>116</v>
      </c>
      <c r="D166" s="476"/>
      <c r="E166" s="572" t="s">
        <v>31</v>
      </c>
      <c r="F166" s="439">
        <f>'[7]Januari 24'!AL154</f>
        <v>0</v>
      </c>
      <c r="G166" s="439">
        <f>'[7]Februari 24'!AL154</f>
        <v>202</v>
      </c>
      <c r="H166" s="439">
        <f>'[7]Maret 24'!AL154</f>
        <v>0</v>
      </c>
      <c r="I166" s="439" t="e">
        <f>'[7]Januari 24'!AO154</f>
        <v>#REF!</v>
      </c>
      <c r="J166" s="439" t="e">
        <f>'[7]Januari 24'!AP154</f>
        <v>#REF!</v>
      </c>
      <c r="K166" s="439"/>
      <c r="L166" s="439"/>
      <c r="M166" s="439"/>
      <c r="N166" s="439"/>
      <c r="O166" s="439"/>
      <c r="P166" s="439"/>
      <c r="Q166" s="439"/>
      <c r="R166" s="439"/>
      <c r="S166" s="717"/>
      <c r="T166" s="63"/>
      <c r="U166" s="686">
        <v>11326</v>
      </c>
      <c r="V166" s="783"/>
      <c r="X166" s="1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R166" s="62"/>
      <c r="AX166" s="1"/>
      <c r="BD166" s="142"/>
      <c r="BE166" s="142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2"/>
      <c r="DA166" s="1"/>
      <c r="DP166" s="5"/>
      <c r="DQ166" s="142"/>
      <c r="DR166" s="142"/>
      <c r="DS166" s="142"/>
      <c r="DT166" s="142"/>
      <c r="FW166" s="142"/>
      <c r="JR166" s="142"/>
      <c r="JS166" s="142"/>
      <c r="JT166" s="142"/>
      <c r="JU166" s="142"/>
      <c r="OY166" s="142"/>
      <c r="OZ166" s="142"/>
      <c r="PB166" s="142"/>
      <c r="PP166" s="145"/>
      <c r="PT166" s="142"/>
      <c r="RW166" s="145"/>
      <c r="AHF166" s="141"/>
      <c r="AIU166" s="141"/>
      <c r="AIV166" s="141"/>
      <c r="AIW166" s="141"/>
    </row>
    <row r="167" spans="2:933" hidden="1" x14ac:dyDescent="0.25">
      <c r="B167" s="730"/>
      <c r="C167" s="436" t="s">
        <v>27</v>
      </c>
      <c r="D167" s="437"/>
      <c r="E167" s="572" t="s">
        <v>31</v>
      </c>
      <c r="F167" s="282">
        <f>'[7]Januari 24'!AL155</f>
        <v>0</v>
      </c>
      <c r="G167" s="282">
        <f>'[7]Februari 24'!AL155</f>
        <v>1126</v>
      </c>
      <c r="H167" s="282">
        <f>'[7]Maret 24'!AL155</f>
        <v>0</v>
      </c>
      <c r="I167" s="282" t="e">
        <f>'[7]Januari 24'!AO155</f>
        <v>#REF!</v>
      </c>
      <c r="J167" s="282" t="e">
        <f>'[7]Januari 24'!AP155</f>
        <v>#REF!</v>
      </c>
      <c r="K167" s="282"/>
      <c r="L167" s="282"/>
      <c r="M167" s="282"/>
      <c r="N167" s="282"/>
      <c r="O167" s="282"/>
      <c r="P167" s="282"/>
      <c r="Q167" s="282"/>
      <c r="R167" s="282"/>
      <c r="S167" s="719"/>
      <c r="T167" s="91" t="e">
        <f>SUM(F167:R167)</f>
        <v>#REF!</v>
      </c>
      <c r="U167" s="687">
        <v>62922</v>
      </c>
      <c r="V167" s="787" t="e">
        <f>SUM(H167:T167)</f>
        <v>#REF!</v>
      </c>
      <c r="X167" s="1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R167" s="62"/>
      <c r="AX167" s="16"/>
      <c r="BD167" s="148"/>
      <c r="BE167" s="148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8"/>
      <c r="DA167" s="1"/>
      <c r="DP167" s="516"/>
      <c r="DQ167" s="148"/>
      <c r="DR167" s="148"/>
      <c r="DS167" s="148"/>
      <c r="DT167" s="148"/>
      <c r="FW167" s="148"/>
      <c r="JR167" s="148"/>
      <c r="JS167" s="148"/>
      <c r="JT167" s="148"/>
      <c r="JU167" s="148"/>
      <c r="OY167" s="148"/>
      <c r="OZ167" s="148"/>
      <c r="PB167" s="148"/>
      <c r="PP167" s="573"/>
      <c r="PT167" s="148"/>
      <c r="RW167" s="573"/>
      <c r="AHF167" s="144"/>
      <c r="AIU167" s="144"/>
      <c r="AIV167" s="144"/>
      <c r="AIW167" s="144"/>
    </row>
    <row r="168" spans="2:933" hidden="1" x14ac:dyDescent="0.25">
      <c r="B168" s="730"/>
      <c r="C168" s="436" t="s">
        <v>26</v>
      </c>
      <c r="D168" s="437"/>
      <c r="E168" s="572" t="s">
        <v>31</v>
      </c>
      <c r="F168" s="282">
        <f>'[7]Januari 24'!AL156</f>
        <v>0</v>
      </c>
      <c r="G168" s="282">
        <f>'[7]Februari 24'!AL156</f>
        <v>5369</v>
      </c>
      <c r="H168" s="282">
        <f>'[7]Maret 24'!AL156</f>
        <v>0</v>
      </c>
      <c r="I168" s="282" t="e">
        <f>'[7]Januari 24'!AO156</f>
        <v>#REF!</v>
      </c>
      <c r="J168" s="282" t="e">
        <f>'[7]Januari 24'!AP156</f>
        <v>#REF!</v>
      </c>
      <c r="K168" s="282"/>
      <c r="L168" s="282"/>
      <c r="M168" s="282"/>
      <c r="N168" s="282"/>
      <c r="O168" s="282"/>
      <c r="P168" s="282"/>
      <c r="Q168" s="282"/>
      <c r="R168" s="282"/>
      <c r="S168" s="719"/>
      <c r="T168" s="91" t="e">
        <f>SUM(F168:R168)</f>
        <v>#REF!</v>
      </c>
      <c r="U168" s="687">
        <v>172089</v>
      </c>
      <c r="V168" s="787" t="e">
        <f>SUM(H168:T168)</f>
        <v>#REF!</v>
      </c>
      <c r="X168" s="1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R168" s="62"/>
      <c r="AX168" s="16"/>
      <c r="BD168" s="148"/>
      <c r="BE168" s="148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8"/>
      <c r="DA168" s="1"/>
      <c r="DP168" s="516"/>
      <c r="DQ168" s="148"/>
      <c r="DR168" s="148"/>
      <c r="DS168" s="148"/>
      <c r="DT168" s="148"/>
      <c r="FW168" s="148"/>
      <c r="JR168" s="148"/>
      <c r="JS168" s="148"/>
      <c r="JT168" s="148"/>
      <c r="JU168" s="148"/>
      <c r="OY168" s="148"/>
      <c r="OZ168" s="148"/>
      <c r="PB168" s="148"/>
      <c r="PP168" s="573"/>
      <c r="PT168" s="148"/>
      <c r="RW168" s="573"/>
      <c r="AHF168" s="144"/>
      <c r="AIU168" s="144"/>
      <c r="AIV168" s="144"/>
      <c r="AIW168" s="144"/>
    </row>
    <row r="169" spans="2:933" hidden="1" x14ac:dyDescent="0.25">
      <c r="B169" s="730"/>
      <c r="C169" s="436" t="s">
        <v>37</v>
      </c>
      <c r="D169" s="437"/>
      <c r="E169" s="572" t="s">
        <v>31</v>
      </c>
      <c r="F169" s="282">
        <f>'[7]Januari 24'!AL157</f>
        <v>0</v>
      </c>
      <c r="G169" s="282">
        <f>'[7]Februari 24'!AL157</f>
        <v>0</v>
      </c>
      <c r="H169" s="282">
        <f>'[7]Maret 24'!AL157</f>
        <v>0</v>
      </c>
      <c r="I169" s="282" t="e">
        <f>'[7]Januari 24'!AO157</f>
        <v>#REF!</v>
      </c>
      <c r="J169" s="282" t="e">
        <f>'[7]Januari 24'!AP157</f>
        <v>#REF!</v>
      </c>
      <c r="K169" s="282"/>
      <c r="L169" s="282"/>
      <c r="M169" s="282"/>
      <c r="N169" s="282"/>
      <c r="O169" s="282"/>
      <c r="P169" s="282"/>
      <c r="Q169" s="282"/>
      <c r="R169" s="282"/>
      <c r="S169" s="719"/>
      <c r="T169" s="91" t="e">
        <f>SUM(F169:R169)</f>
        <v>#REF!</v>
      </c>
      <c r="U169" s="687" t="e">
        <f>SUM(G169:S169)</f>
        <v>#REF!</v>
      </c>
      <c r="V169" s="787" t="e">
        <f>SUM(H169:T169)</f>
        <v>#REF!</v>
      </c>
      <c r="X169" s="1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R169" s="62"/>
      <c r="AX169" s="16"/>
      <c r="BD169" s="148"/>
      <c r="BE169" s="148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8"/>
      <c r="DA169" s="1"/>
      <c r="DP169" s="516"/>
      <c r="DQ169" s="148"/>
      <c r="DR169" s="148"/>
      <c r="DS169" s="148"/>
      <c r="DT169" s="148"/>
      <c r="FW169" s="148"/>
      <c r="JR169" s="148"/>
      <c r="JS169" s="148"/>
      <c r="JT169" s="148"/>
      <c r="JU169" s="148"/>
      <c r="OY169" s="148"/>
      <c r="OZ169" s="148"/>
      <c r="PB169" s="148"/>
      <c r="PP169" s="573"/>
      <c r="PT169" s="148"/>
      <c r="RW169" s="573"/>
      <c r="AHF169" s="144"/>
      <c r="AIU169" s="144"/>
      <c r="AIV169" s="144"/>
      <c r="AIW169" s="144"/>
    </row>
    <row r="170" spans="2:933" hidden="1" x14ac:dyDescent="0.25">
      <c r="B170" s="729"/>
      <c r="C170" s="568" t="s">
        <v>28</v>
      </c>
      <c r="D170" s="476"/>
      <c r="E170" s="464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717"/>
      <c r="T170" s="63" t="s">
        <v>28</v>
      </c>
      <c r="U170" s="686" t="s">
        <v>28</v>
      </c>
      <c r="V170" s="783" t="s">
        <v>28</v>
      </c>
      <c r="X170" s="1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R170" s="62"/>
      <c r="AX170" s="1"/>
      <c r="BD170" s="142"/>
      <c r="BE170" s="142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2"/>
      <c r="DA170" s="1"/>
      <c r="DP170" s="5"/>
      <c r="DQ170" s="142"/>
      <c r="DR170" s="142"/>
      <c r="DS170" s="142"/>
      <c r="DT170" s="142"/>
      <c r="FW170" s="142"/>
      <c r="JR170" s="142"/>
      <c r="JS170" s="142"/>
      <c r="JT170" s="142"/>
      <c r="JU170" s="142"/>
      <c r="OY170" s="142"/>
      <c r="OZ170" s="142"/>
      <c r="PB170" s="142"/>
      <c r="PP170" s="145"/>
      <c r="PT170" s="142"/>
      <c r="RW170" s="145"/>
      <c r="AHF170" s="141"/>
      <c r="AIU170" s="141"/>
      <c r="AIV170" s="141"/>
      <c r="AIW170" s="141"/>
    </row>
    <row r="171" spans="2:933" hidden="1" x14ac:dyDescent="0.25">
      <c r="B171" s="729"/>
      <c r="C171" s="436" t="s">
        <v>27</v>
      </c>
      <c r="D171" s="476"/>
      <c r="E171" s="496" t="s">
        <v>28</v>
      </c>
      <c r="F171" s="439">
        <f>F167*24</f>
        <v>0</v>
      </c>
      <c r="G171" s="439">
        <f>G167*24</f>
        <v>27024</v>
      </c>
      <c r="H171" s="439">
        <f t="shared" ref="H171:J171" si="57">H167*24</f>
        <v>0</v>
      </c>
      <c r="I171" s="439" t="e">
        <f t="shared" si="57"/>
        <v>#REF!</v>
      </c>
      <c r="J171" s="439" t="e">
        <f t="shared" si="57"/>
        <v>#REF!</v>
      </c>
      <c r="K171" s="439"/>
      <c r="L171" s="439"/>
      <c r="M171" s="439"/>
      <c r="N171" s="439"/>
      <c r="O171" s="439"/>
      <c r="P171" s="439"/>
      <c r="Q171" s="439"/>
      <c r="R171" s="439"/>
      <c r="S171" s="717"/>
      <c r="T171" s="54" t="e">
        <f>T167*24</f>
        <v>#REF!</v>
      </c>
      <c r="U171" s="664">
        <f>U167*24</f>
        <v>1510128</v>
      </c>
      <c r="V171" s="784" t="e">
        <f>V167*24</f>
        <v>#REF!</v>
      </c>
      <c r="X171" s="1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R171" s="62"/>
      <c r="AX171" s="1"/>
      <c r="BD171" s="142"/>
      <c r="BE171" s="142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2"/>
      <c r="DA171" s="1"/>
      <c r="DP171" s="5"/>
      <c r="DQ171" s="142"/>
      <c r="DR171" s="142"/>
      <c r="DS171" s="142"/>
      <c r="DT171" s="142"/>
      <c r="FW171" s="142"/>
      <c r="JR171" s="142"/>
      <c r="JS171" s="142"/>
      <c r="JT171" s="142"/>
      <c r="JU171" s="142"/>
      <c r="OY171" s="142"/>
      <c r="OZ171" s="142"/>
      <c r="PB171" s="142"/>
      <c r="PP171" s="145"/>
      <c r="PT171" s="142"/>
      <c r="RW171" s="145"/>
      <c r="AHF171" s="141"/>
      <c r="AIU171" s="141"/>
      <c r="AIV171" s="141"/>
      <c r="AIW171" s="141"/>
    </row>
    <row r="172" spans="2:933" hidden="1" x14ac:dyDescent="0.25">
      <c r="B172" s="729"/>
      <c r="C172" s="436" t="s">
        <v>26</v>
      </c>
      <c r="D172" s="476"/>
      <c r="E172" s="496" t="s">
        <v>28</v>
      </c>
      <c r="F172" s="439">
        <f>F168*12</f>
        <v>0</v>
      </c>
      <c r="G172" s="439">
        <f>G168*12</f>
        <v>64428</v>
      </c>
      <c r="H172" s="439">
        <f t="shared" ref="H172:J172" si="58">H168*12</f>
        <v>0</v>
      </c>
      <c r="I172" s="439" t="e">
        <f t="shared" si="58"/>
        <v>#REF!</v>
      </c>
      <c r="J172" s="439" t="e">
        <f t="shared" si="58"/>
        <v>#REF!</v>
      </c>
      <c r="K172" s="439"/>
      <c r="L172" s="439"/>
      <c r="M172" s="439"/>
      <c r="N172" s="439"/>
      <c r="O172" s="439"/>
      <c r="P172" s="439"/>
      <c r="Q172" s="439"/>
      <c r="R172" s="439"/>
      <c r="S172" s="717"/>
      <c r="T172" s="54" t="e">
        <f>T168*12</f>
        <v>#REF!</v>
      </c>
      <c r="U172" s="664">
        <f>U168*12</f>
        <v>2065068</v>
      </c>
      <c r="V172" s="784" t="e">
        <f>V168*12</f>
        <v>#REF!</v>
      </c>
      <c r="X172" s="1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R172" s="62"/>
      <c r="AX172" s="1"/>
      <c r="BD172" s="142"/>
      <c r="BE172" s="142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2"/>
      <c r="DA172" s="1"/>
      <c r="DP172" s="5"/>
      <c r="DQ172" s="142"/>
      <c r="DR172" s="142"/>
      <c r="DS172" s="142"/>
      <c r="DT172" s="142"/>
      <c r="FW172" s="142"/>
      <c r="JR172" s="142"/>
      <c r="JS172" s="142"/>
      <c r="JT172" s="142"/>
      <c r="JU172" s="142"/>
      <c r="OY172" s="142"/>
      <c r="OZ172" s="142"/>
      <c r="PB172" s="142"/>
      <c r="PP172" s="145"/>
      <c r="PT172" s="142"/>
      <c r="RW172" s="145"/>
      <c r="AHF172" s="141"/>
      <c r="AIU172" s="141"/>
      <c r="AIV172" s="141"/>
      <c r="AIW172" s="141"/>
    </row>
    <row r="173" spans="2:933" hidden="1" x14ac:dyDescent="0.25">
      <c r="B173" s="729"/>
      <c r="C173" s="436" t="s">
        <v>37</v>
      </c>
      <c r="D173" s="476"/>
      <c r="E173" s="496" t="s">
        <v>28</v>
      </c>
      <c r="F173" s="439">
        <f>F169*6</f>
        <v>0</v>
      </c>
      <c r="G173" s="439">
        <f>G169*6</f>
        <v>0</v>
      </c>
      <c r="H173" s="439">
        <f t="shared" ref="H173:J173" si="59">H169*6</f>
        <v>0</v>
      </c>
      <c r="I173" s="439" t="e">
        <f t="shared" si="59"/>
        <v>#REF!</v>
      </c>
      <c r="J173" s="439" t="e">
        <f t="shared" si="59"/>
        <v>#REF!</v>
      </c>
      <c r="K173" s="439"/>
      <c r="L173" s="439"/>
      <c r="M173" s="439"/>
      <c r="N173" s="439"/>
      <c r="O173" s="439"/>
      <c r="P173" s="439"/>
      <c r="Q173" s="439"/>
      <c r="R173" s="439"/>
      <c r="S173" s="717"/>
      <c r="T173" s="54" t="e">
        <f>T169*6</f>
        <v>#REF!</v>
      </c>
      <c r="U173" s="664" t="e">
        <f>U169*6</f>
        <v>#REF!</v>
      </c>
      <c r="V173" s="784" t="e">
        <f>V169*6</f>
        <v>#REF!</v>
      </c>
      <c r="X173" s="1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R173" s="62"/>
      <c r="AX173" s="1"/>
      <c r="BD173" s="142"/>
      <c r="BE173" s="142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2"/>
      <c r="DA173" s="1"/>
      <c r="DP173" s="5"/>
      <c r="DQ173" s="142"/>
      <c r="DR173" s="142"/>
      <c r="DS173" s="142"/>
      <c r="DT173" s="142"/>
      <c r="FW173" s="142"/>
      <c r="JR173" s="142"/>
      <c r="JS173" s="142"/>
      <c r="JT173" s="142"/>
      <c r="JU173" s="142"/>
      <c r="OY173" s="142"/>
      <c r="OZ173" s="142"/>
      <c r="PB173" s="142"/>
      <c r="PP173" s="145"/>
      <c r="PT173" s="142"/>
      <c r="RW173" s="145"/>
      <c r="AHF173" s="141"/>
      <c r="AIU173" s="141"/>
      <c r="AIV173" s="141"/>
      <c r="AIW173" s="141"/>
    </row>
    <row r="174" spans="2:933" hidden="1" x14ac:dyDescent="0.25">
      <c r="B174" s="729"/>
      <c r="C174" s="568" t="s">
        <v>36</v>
      </c>
      <c r="D174" s="476"/>
      <c r="E174" s="496" t="s">
        <v>35</v>
      </c>
      <c r="F174" s="439">
        <f>F162*45/1700</f>
        <v>0</v>
      </c>
      <c r="G174" s="439" t="e">
        <f t="shared" ref="G174:J174" si="60">G162*45/1700</f>
        <v>#REF!</v>
      </c>
      <c r="H174" s="439">
        <f t="shared" si="60"/>
        <v>0</v>
      </c>
      <c r="I174" s="439" t="e">
        <f t="shared" si="60"/>
        <v>#REF!</v>
      </c>
      <c r="J174" s="439" t="e">
        <f t="shared" si="60"/>
        <v>#REF!</v>
      </c>
      <c r="K174" s="439"/>
      <c r="L174" s="439"/>
      <c r="M174" s="439"/>
      <c r="N174" s="439"/>
      <c r="O174" s="439"/>
      <c r="P174" s="439"/>
      <c r="Q174" s="439"/>
      <c r="R174" s="439"/>
      <c r="S174" s="717"/>
      <c r="T174" s="54" t="e">
        <f t="shared" ref="T174:V175" si="61">SUM(F174:R174)</f>
        <v>#REF!</v>
      </c>
      <c r="U174" s="664" t="e">
        <f t="shared" si="61"/>
        <v>#REF!</v>
      </c>
      <c r="V174" s="784" t="e">
        <f t="shared" si="61"/>
        <v>#REF!</v>
      </c>
      <c r="X174" s="1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R174" s="62"/>
      <c r="AX174" s="1"/>
      <c r="BD174" s="142"/>
      <c r="BE174" s="142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2"/>
      <c r="DA174" s="1"/>
      <c r="DP174" s="5"/>
      <c r="DQ174" s="142"/>
      <c r="DR174" s="142"/>
      <c r="DS174" s="142"/>
      <c r="DT174" s="142"/>
      <c r="FW174" s="142"/>
      <c r="JR174" s="142"/>
      <c r="JS174" s="142"/>
      <c r="JT174" s="142"/>
      <c r="JU174" s="142"/>
      <c r="OY174" s="142"/>
      <c r="OZ174" s="142"/>
      <c r="PB174" s="142"/>
      <c r="PP174" s="145"/>
      <c r="PT174" s="142"/>
      <c r="RW174" s="145"/>
      <c r="AHF174" s="141"/>
      <c r="AIU174" s="141"/>
      <c r="AIV174" s="141"/>
      <c r="AIW174" s="141"/>
    </row>
    <row r="175" spans="2:933" hidden="1" x14ac:dyDescent="0.25">
      <c r="B175" s="729"/>
      <c r="C175" s="568" t="s">
        <v>34</v>
      </c>
      <c r="D175" s="476"/>
      <c r="E175" s="496" t="s">
        <v>33</v>
      </c>
      <c r="F175" s="439">
        <f>SUM(F167:F169)/500</f>
        <v>0</v>
      </c>
      <c r="G175" s="439">
        <f t="shared" ref="G175:J175" si="62">SUM(G167:G169)/500</f>
        <v>12.99</v>
      </c>
      <c r="H175" s="439">
        <f t="shared" si="62"/>
        <v>0</v>
      </c>
      <c r="I175" s="439" t="e">
        <f t="shared" si="62"/>
        <v>#REF!</v>
      </c>
      <c r="J175" s="439" t="e">
        <f t="shared" si="62"/>
        <v>#REF!</v>
      </c>
      <c r="K175" s="439"/>
      <c r="L175" s="439"/>
      <c r="M175" s="439"/>
      <c r="N175" s="439"/>
      <c r="O175" s="439"/>
      <c r="P175" s="439"/>
      <c r="Q175" s="439"/>
      <c r="R175" s="439"/>
      <c r="S175" s="717"/>
      <c r="T175" s="54" t="e">
        <f t="shared" si="61"/>
        <v>#REF!</v>
      </c>
      <c r="U175" s="664" t="e">
        <f t="shared" si="61"/>
        <v>#REF!</v>
      </c>
      <c r="V175" s="784" t="e">
        <f t="shared" si="61"/>
        <v>#REF!</v>
      </c>
      <c r="X175" s="1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R175" s="62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145"/>
      <c r="PT175" s="142"/>
      <c r="RW175" s="145"/>
      <c r="AHF175" s="141"/>
      <c r="AIU175" s="141"/>
      <c r="AIV175" s="141"/>
      <c r="AIW175" s="141"/>
    </row>
    <row r="176" spans="2:933" hidden="1" x14ac:dyDescent="0.25">
      <c r="B176" s="726"/>
      <c r="C176" s="419" t="s">
        <v>32</v>
      </c>
      <c r="D176" s="48"/>
      <c r="E176" s="48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3"/>
      <c r="T176" s="521" t="s">
        <v>131</v>
      </c>
      <c r="U176" s="675" t="s">
        <v>131</v>
      </c>
      <c r="V176" s="774" t="s">
        <v>131</v>
      </c>
      <c r="X176" s="1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R176" s="62"/>
      <c r="AX176" s="1"/>
      <c r="BD176" s="141"/>
      <c r="BE176" s="14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1"/>
      <c r="DA176" s="1"/>
      <c r="DP176" s="5"/>
      <c r="DQ176" s="141"/>
      <c r="DR176" s="141"/>
      <c r="DS176" s="141"/>
      <c r="DT176" s="141"/>
      <c r="FW176" s="141"/>
      <c r="JR176" s="141"/>
      <c r="JS176" s="141"/>
      <c r="JT176" s="141"/>
      <c r="JU176" s="141"/>
      <c r="OY176" s="141"/>
      <c r="OZ176" s="141"/>
      <c r="PB176" s="141"/>
      <c r="PP176" s="481"/>
      <c r="PT176" s="141"/>
      <c r="RW176" s="481"/>
      <c r="AHF176" s="141"/>
      <c r="AIU176" s="141"/>
      <c r="AIV176" s="141"/>
      <c r="AIW176" s="141"/>
    </row>
    <row r="177" spans="2:933" hidden="1" x14ac:dyDescent="0.25">
      <c r="B177" s="729"/>
      <c r="C177" s="568" t="s">
        <v>29</v>
      </c>
      <c r="D177" s="476"/>
      <c r="E177" s="464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717"/>
      <c r="T177" s="63" t="s">
        <v>29</v>
      </c>
      <c r="U177" s="686" t="s">
        <v>29</v>
      </c>
      <c r="V177" s="783" t="s">
        <v>29</v>
      </c>
      <c r="X177" s="1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R177" s="62"/>
      <c r="AX177" s="1"/>
      <c r="BD177" s="142"/>
      <c r="BE177" s="142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2"/>
      <c r="DA177" s="1"/>
      <c r="DP177" s="5"/>
      <c r="DQ177" s="142"/>
      <c r="DR177" s="142"/>
      <c r="DS177" s="142"/>
      <c r="DT177" s="142"/>
      <c r="FW177" s="142"/>
      <c r="JR177" s="142"/>
      <c r="JS177" s="142"/>
      <c r="JT177" s="142"/>
      <c r="JU177" s="142"/>
      <c r="OY177" s="142"/>
      <c r="OZ177" s="142"/>
      <c r="PB177" s="142"/>
      <c r="PP177" s="145"/>
      <c r="PT177" s="142"/>
      <c r="RW177" s="145"/>
      <c r="AHF177" s="141"/>
      <c r="AIU177" s="141"/>
      <c r="AIV177" s="141"/>
      <c r="AIW177" s="141"/>
    </row>
    <row r="178" spans="2:933" hidden="1" x14ac:dyDescent="0.25">
      <c r="B178" s="729"/>
      <c r="C178" s="436" t="s">
        <v>116</v>
      </c>
      <c r="D178" s="476"/>
      <c r="E178" s="496" t="s">
        <v>31</v>
      </c>
      <c r="F178" s="439"/>
      <c r="G178" s="439" t="e">
        <f>'[7]Februari 24'!AL167</f>
        <v>#REF!</v>
      </c>
      <c r="H178" s="439" t="e">
        <f>'[7]Maret 24'!AL167</f>
        <v>#REF!</v>
      </c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717"/>
      <c r="T178" s="63"/>
      <c r="U178" s="686"/>
      <c r="V178" s="783"/>
      <c r="X178" s="1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R178" s="62"/>
      <c r="AX178" s="1"/>
      <c r="BD178" s="142"/>
      <c r="BE178" s="142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2"/>
      <c r="DA178" s="1"/>
      <c r="DP178" s="5"/>
      <c r="DQ178" s="142"/>
      <c r="DR178" s="142"/>
      <c r="DS178" s="142"/>
      <c r="DT178" s="142"/>
      <c r="FW178" s="142"/>
      <c r="JR178" s="142"/>
      <c r="JS178" s="142"/>
      <c r="JT178" s="142"/>
      <c r="JU178" s="142"/>
      <c r="OY178" s="142"/>
      <c r="OZ178" s="142"/>
      <c r="PB178" s="142"/>
      <c r="PP178" s="145"/>
      <c r="PT178" s="142"/>
      <c r="RW178" s="145"/>
      <c r="AHF178" s="141"/>
      <c r="AIU178" s="141"/>
      <c r="AIV178" s="141"/>
      <c r="AIW178" s="141"/>
    </row>
    <row r="179" spans="2:933" hidden="1" x14ac:dyDescent="0.25">
      <c r="B179" s="729"/>
      <c r="C179" s="436" t="s">
        <v>27</v>
      </c>
      <c r="D179" s="476"/>
      <c r="E179" s="496" t="s">
        <v>31</v>
      </c>
      <c r="F179" s="439">
        <v>0</v>
      </c>
      <c r="G179" s="439">
        <f>'[7]Februari 24'!AL168</f>
        <v>9</v>
      </c>
      <c r="H179" s="439">
        <f>'[7]Maret 24'!AL168</f>
        <v>0</v>
      </c>
      <c r="I179" s="439">
        <v>0</v>
      </c>
      <c r="J179" s="439">
        <v>0</v>
      </c>
      <c r="K179" s="439"/>
      <c r="L179" s="439"/>
      <c r="M179" s="439"/>
      <c r="N179" s="439"/>
      <c r="O179" s="439"/>
      <c r="P179" s="439"/>
      <c r="Q179" s="439"/>
      <c r="R179" s="439"/>
      <c r="S179" s="717"/>
      <c r="T179" s="54">
        <f t="shared" ref="T179:V180" si="63">SUM(F179:R179)</f>
        <v>9</v>
      </c>
      <c r="U179" s="664">
        <f t="shared" si="63"/>
        <v>9</v>
      </c>
      <c r="V179" s="784">
        <f t="shared" si="63"/>
        <v>9</v>
      </c>
      <c r="X179" s="1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R179" s="62"/>
      <c r="AX179" s="1"/>
      <c r="BD179" s="142"/>
      <c r="BE179" s="142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2"/>
      <c r="DA179" s="1"/>
      <c r="DP179" s="5"/>
      <c r="DQ179" s="142"/>
      <c r="DR179" s="142"/>
      <c r="DS179" s="142"/>
      <c r="DT179" s="142"/>
      <c r="FW179" s="142"/>
      <c r="JR179" s="142"/>
      <c r="JS179" s="142"/>
      <c r="JT179" s="142"/>
      <c r="JU179" s="142"/>
      <c r="OY179" s="142"/>
      <c r="OZ179" s="142"/>
      <c r="PB179" s="142"/>
      <c r="PP179" s="145"/>
      <c r="PT179" s="142"/>
      <c r="RW179" s="145"/>
      <c r="AHF179" s="141"/>
      <c r="AIU179" s="141"/>
      <c r="AIV179" s="141"/>
      <c r="AIW179" s="141"/>
    </row>
    <row r="180" spans="2:933" hidden="1" x14ac:dyDescent="0.25">
      <c r="B180" s="729"/>
      <c r="C180" s="436" t="s">
        <v>26</v>
      </c>
      <c r="D180" s="476"/>
      <c r="E180" s="496" t="s">
        <v>31</v>
      </c>
      <c r="F180" s="439">
        <v>0</v>
      </c>
      <c r="G180" s="439">
        <f>'[7]Februari 24'!AL169</f>
        <v>86</v>
      </c>
      <c r="H180" s="439">
        <f>'[7]Maret 24'!AL169</f>
        <v>0</v>
      </c>
      <c r="I180" s="439">
        <v>0</v>
      </c>
      <c r="J180" s="439">
        <v>0</v>
      </c>
      <c r="K180" s="439"/>
      <c r="L180" s="439"/>
      <c r="M180" s="439"/>
      <c r="N180" s="439"/>
      <c r="O180" s="439"/>
      <c r="P180" s="439"/>
      <c r="Q180" s="439"/>
      <c r="R180" s="439"/>
      <c r="S180" s="717"/>
      <c r="T180" s="54">
        <f t="shared" si="63"/>
        <v>86</v>
      </c>
      <c r="U180" s="664">
        <f t="shared" si="63"/>
        <v>86</v>
      </c>
      <c r="V180" s="784">
        <f t="shared" si="63"/>
        <v>86</v>
      </c>
      <c r="X180" s="1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R180" s="62"/>
      <c r="AX180" s="1"/>
      <c r="BD180" s="142"/>
      <c r="BE180" s="142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2"/>
      <c r="DA180" s="1"/>
      <c r="DP180" s="5"/>
      <c r="DQ180" s="142"/>
      <c r="DR180" s="142"/>
      <c r="DS180" s="142"/>
      <c r="DT180" s="142"/>
      <c r="FW180" s="142"/>
      <c r="JR180" s="142"/>
      <c r="JS180" s="142"/>
      <c r="JT180" s="142"/>
      <c r="JU180" s="142"/>
      <c r="OY180" s="142"/>
      <c r="OZ180" s="142"/>
      <c r="PB180" s="142"/>
      <c r="PP180" s="145"/>
      <c r="PT180" s="142"/>
      <c r="RW180" s="145"/>
      <c r="AHF180" s="141"/>
      <c r="AIU180" s="141"/>
      <c r="AIV180" s="141"/>
      <c r="AIW180" s="141"/>
    </row>
    <row r="181" spans="2:933" hidden="1" x14ac:dyDescent="0.25">
      <c r="B181" s="729"/>
      <c r="C181" s="436" t="s">
        <v>37</v>
      </c>
      <c r="D181" s="476"/>
      <c r="E181" s="572" t="s">
        <v>31</v>
      </c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717"/>
      <c r="T181" s="54"/>
      <c r="U181" s="664"/>
      <c r="V181" s="784"/>
      <c r="X181" s="1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R181" s="62"/>
      <c r="AX181" s="1"/>
      <c r="BD181" s="142"/>
      <c r="BE181" s="142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2"/>
      <c r="DA181" s="1"/>
      <c r="DP181" s="5"/>
      <c r="DQ181" s="142"/>
      <c r="DR181" s="142"/>
      <c r="DS181" s="142"/>
      <c r="DT181" s="142"/>
      <c r="FW181" s="142"/>
      <c r="JR181" s="142"/>
      <c r="JS181" s="142"/>
      <c r="JT181" s="142"/>
      <c r="JU181" s="142"/>
      <c r="OY181" s="142"/>
      <c r="OZ181" s="142"/>
      <c r="PB181" s="142"/>
      <c r="PP181" s="145"/>
      <c r="PT181" s="142"/>
      <c r="RW181" s="145"/>
      <c r="AHF181" s="141"/>
      <c r="AIU181" s="141"/>
      <c r="AIV181" s="141"/>
      <c r="AIW181" s="141"/>
    </row>
    <row r="182" spans="2:933" hidden="1" x14ac:dyDescent="0.25">
      <c r="B182" s="729"/>
      <c r="C182" s="568" t="s">
        <v>28</v>
      </c>
      <c r="D182" s="476"/>
      <c r="E182" s="464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717"/>
      <c r="T182" s="63" t="s">
        <v>28</v>
      </c>
      <c r="U182" s="686" t="s">
        <v>28</v>
      </c>
      <c r="V182" s="783" t="s">
        <v>28</v>
      </c>
      <c r="X182" s="1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R182" s="62"/>
      <c r="AX182" s="1"/>
      <c r="BD182" s="142"/>
      <c r="BE182" s="142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2"/>
      <c r="DA182" s="1"/>
      <c r="DP182" s="5"/>
      <c r="DQ182" s="142"/>
      <c r="DR182" s="142"/>
      <c r="DS182" s="142"/>
      <c r="DT182" s="142"/>
      <c r="FW182" s="142"/>
      <c r="JR182" s="142"/>
      <c r="JS182" s="142"/>
      <c r="JT182" s="142"/>
      <c r="JU182" s="142"/>
      <c r="OY182" s="142"/>
      <c r="OZ182" s="142"/>
      <c r="PB182" s="142"/>
      <c r="PP182" s="145"/>
      <c r="PT182" s="142"/>
      <c r="RW182" s="145"/>
      <c r="AHF182" s="141"/>
      <c r="AIU182" s="141"/>
      <c r="AIV182" s="141"/>
      <c r="AIW182" s="141"/>
    </row>
    <row r="183" spans="2:933" hidden="1" x14ac:dyDescent="0.25">
      <c r="B183" s="729"/>
      <c r="C183" s="436" t="s">
        <v>27</v>
      </c>
      <c r="D183" s="476"/>
      <c r="E183" s="496" t="s">
        <v>28</v>
      </c>
      <c r="F183" s="439">
        <v>0</v>
      </c>
      <c r="G183" s="439">
        <v>0</v>
      </c>
      <c r="H183" s="439">
        <v>0</v>
      </c>
      <c r="I183" s="439">
        <v>0</v>
      </c>
      <c r="J183" s="439">
        <v>0</v>
      </c>
      <c r="K183" s="439"/>
      <c r="L183" s="439"/>
      <c r="M183" s="439"/>
      <c r="N183" s="439"/>
      <c r="O183" s="439"/>
      <c r="P183" s="439"/>
      <c r="Q183" s="439"/>
      <c r="R183" s="439"/>
      <c r="S183" s="717"/>
      <c r="T183" s="54">
        <f t="shared" ref="T183:V185" si="64">SUM(F183:R183)</f>
        <v>0</v>
      </c>
      <c r="U183" s="664">
        <f t="shared" si="64"/>
        <v>0</v>
      </c>
      <c r="V183" s="784">
        <f t="shared" si="64"/>
        <v>0</v>
      </c>
      <c r="X183" s="1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R183" s="62"/>
      <c r="AX183" s="1"/>
      <c r="BD183" s="142"/>
      <c r="BE183" s="142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2"/>
      <c r="DA183" s="1"/>
      <c r="DP183" s="5"/>
      <c r="DQ183" s="142"/>
      <c r="DR183" s="142"/>
      <c r="DS183" s="142"/>
      <c r="DT183" s="142"/>
      <c r="FW183" s="142"/>
      <c r="JR183" s="142"/>
      <c r="JS183" s="142"/>
      <c r="JT183" s="142"/>
      <c r="JU183" s="142"/>
      <c r="OY183" s="142"/>
      <c r="OZ183" s="142"/>
      <c r="PB183" s="142"/>
      <c r="PP183" s="145"/>
      <c r="PT183" s="142"/>
      <c r="RW183" s="145"/>
      <c r="AHF183" s="141"/>
      <c r="AIU183" s="141"/>
      <c r="AIV183" s="141"/>
      <c r="AIW183" s="141"/>
    </row>
    <row r="184" spans="2:933" hidden="1" x14ac:dyDescent="0.25">
      <c r="B184" s="729"/>
      <c r="C184" s="436" t="s">
        <v>26</v>
      </c>
      <c r="D184" s="476"/>
      <c r="E184" s="496" t="s">
        <v>28</v>
      </c>
      <c r="F184" s="439">
        <v>0</v>
      </c>
      <c r="G184" s="439">
        <v>0</v>
      </c>
      <c r="H184" s="439">
        <v>0</v>
      </c>
      <c r="I184" s="439">
        <v>0</v>
      </c>
      <c r="J184" s="439">
        <v>0</v>
      </c>
      <c r="K184" s="439"/>
      <c r="L184" s="439"/>
      <c r="M184" s="439"/>
      <c r="N184" s="439"/>
      <c r="O184" s="439"/>
      <c r="P184" s="439"/>
      <c r="Q184" s="439"/>
      <c r="R184" s="439"/>
      <c r="S184" s="717"/>
      <c r="T184" s="54">
        <f t="shared" si="64"/>
        <v>0</v>
      </c>
      <c r="U184" s="664">
        <f t="shared" si="64"/>
        <v>0</v>
      </c>
      <c r="V184" s="784">
        <f t="shared" si="64"/>
        <v>0</v>
      </c>
      <c r="X184" s="1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R184" s="62"/>
      <c r="AX184" s="1"/>
      <c r="BD184" s="142"/>
      <c r="BE184" s="142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2"/>
      <c r="DA184" s="1"/>
      <c r="DP184" s="5"/>
      <c r="DQ184" s="142"/>
      <c r="DR184" s="142"/>
      <c r="DS184" s="142"/>
      <c r="DT184" s="142"/>
      <c r="FW184" s="142"/>
      <c r="JR184" s="142"/>
      <c r="JS184" s="142"/>
      <c r="JT184" s="142"/>
      <c r="JU184" s="142"/>
      <c r="OY184" s="142"/>
      <c r="OZ184" s="142"/>
      <c r="PB184" s="142"/>
      <c r="PP184" s="145"/>
      <c r="PT184" s="142"/>
      <c r="RW184" s="145"/>
      <c r="AHF184" s="141"/>
      <c r="AIU184" s="141"/>
      <c r="AIV184" s="141"/>
      <c r="AIW184" s="141"/>
    </row>
    <row r="185" spans="2:933" hidden="1" x14ac:dyDescent="0.25">
      <c r="B185" s="729"/>
      <c r="C185" s="436" t="s">
        <v>37</v>
      </c>
      <c r="D185" s="476"/>
      <c r="E185" s="496" t="s">
        <v>28</v>
      </c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717"/>
      <c r="T185" s="54">
        <f t="shared" si="64"/>
        <v>0</v>
      </c>
      <c r="U185" s="664">
        <f t="shared" si="64"/>
        <v>0</v>
      </c>
      <c r="V185" s="784">
        <f t="shared" si="64"/>
        <v>0</v>
      </c>
      <c r="X185" s="1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R185" s="62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145"/>
      <c r="PT185" s="142"/>
      <c r="RW185" s="145"/>
      <c r="AHF185" s="141"/>
      <c r="AIU185" s="141"/>
      <c r="AIV185" s="141"/>
      <c r="AIW185" s="141"/>
    </row>
    <row r="186" spans="2:933" hidden="1" x14ac:dyDescent="0.25">
      <c r="B186" s="726"/>
      <c r="C186" s="419" t="s">
        <v>30</v>
      </c>
      <c r="D186" s="48"/>
      <c r="E186" s="48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3"/>
      <c r="T186" s="521" t="s">
        <v>131</v>
      </c>
      <c r="U186" s="675" t="s">
        <v>131</v>
      </c>
      <c r="V186" s="774" t="s">
        <v>131</v>
      </c>
      <c r="X186" s="1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R186" s="62"/>
      <c r="AX186" s="1"/>
      <c r="BD186" s="141"/>
      <c r="BE186" s="14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1"/>
      <c r="DA186" s="1"/>
      <c r="DP186" s="5"/>
      <c r="DQ186" s="141"/>
      <c r="DR186" s="141"/>
      <c r="DS186" s="141"/>
      <c r="DT186" s="141"/>
      <c r="FW186" s="141"/>
      <c r="JR186" s="141"/>
      <c r="JS186" s="141"/>
      <c r="JT186" s="141"/>
      <c r="JU186" s="141"/>
      <c r="OY186" s="141"/>
      <c r="OZ186" s="141"/>
      <c r="PB186" s="141"/>
      <c r="PP186" s="481"/>
      <c r="PT186" s="141"/>
      <c r="RW186" s="481"/>
      <c r="AHF186" s="141"/>
      <c r="AIU186" s="141"/>
      <c r="AIV186" s="141"/>
      <c r="AIW186" s="141"/>
    </row>
    <row r="187" spans="2:933" hidden="1" x14ac:dyDescent="0.25">
      <c r="B187" s="729"/>
      <c r="C187" s="568" t="s">
        <v>29</v>
      </c>
      <c r="D187" s="476"/>
      <c r="E187" s="464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717"/>
      <c r="T187" s="63" t="s">
        <v>29</v>
      </c>
      <c r="U187" s="686" t="s">
        <v>29</v>
      </c>
      <c r="V187" s="783" t="s">
        <v>29</v>
      </c>
      <c r="X187" s="1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R187" s="62"/>
      <c r="AX187" s="1"/>
      <c r="BD187" s="142"/>
      <c r="BE187" s="142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2"/>
      <c r="DA187" s="1"/>
      <c r="DP187" s="5"/>
      <c r="DQ187" s="142"/>
      <c r="DR187" s="142"/>
      <c r="DS187" s="142"/>
      <c r="DT187" s="142"/>
      <c r="FW187" s="142"/>
      <c r="JR187" s="142"/>
      <c r="JS187" s="142"/>
      <c r="JT187" s="142"/>
      <c r="JU187" s="142"/>
      <c r="OY187" s="142"/>
      <c r="OZ187" s="142"/>
      <c r="PB187" s="142"/>
      <c r="PP187" s="145"/>
      <c r="PT187" s="142"/>
      <c r="RW187" s="145"/>
      <c r="AHF187" s="141"/>
      <c r="AIU187" s="141"/>
      <c r="AIV187" s="141"/>
      <c r="AIW187" s="141"/>
    </row>
    <row r="188" spans="2:933" hidden="1" x14ac:dyDescent="0.25">
      <c r="B188" s="729"/>
      <c r="C188" s="436" t="s">
        <v>27</v>
      </c>
      <c r="D188" s="463">
        <v>0.3</v>
      </c>
      <c r="E188" s="496" t="s">
        <v>25</v>
      </c>
      <c r="F188" s="440" t="e">
        <f>F179/F167*100</f>
        <v>#DIV/0!</v>
      </c>
      <c r="G188" s="440">
        <f>G179/G167*100</f>
        <v>0.79928952042628776</v>
      </c>
      <c r="H188" s="440" t="e">
        <f>H179/H167*100</f>
        <v>#DIV/0!</v>
      </c>
      <c r="I188" s="440" t="e">
        <f t="shared" ref="I188:J188" si="65">I179/I167*100</f>
        <v>#REF!</v>
      </c>
      <c r="J188" s="440" t="e">
        <f t="shared" si="65"/>
        <v>#REF!</v>
      </c>
      <c r="K188" s="440"/>
      <c r="L188" s="440"/>
      <c r="M188" s="440"/>
      <c r="N188" s="440"/>
      <c r="O188" s="440"/>
      <c r="P188" s="440"/>
      <c r="Q188" s="440"/>
      <c r="R188" s="440"/>
      <c r="S188" s="717"/>
      <c r="T188" s="58" t="e">
        <f>T179/T167*100</f>
        <v>#REF!</v>
      </c>
      <c r="U188" s="667">
        <f>U179/U167*100</f>
        <v>1.4303423285973109E-2</v>
      </c>
      <c r="V188" s="767" t="e">
        <f>V179/V167*100</f>
        <v>#REF!</v>
      </c>
      <c r="X188" s="1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R188" s="62"/>
      <c r="AX188" s="1"/>
      <c r="BD188" s="142"/>
      <c r="BE188" s="142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2"/>
      <c r="DA188" s="1"/>
      <c r="DP188" s="5"/>
      <c r="DQ188" s="142"/>
      <c r="DR188" s="142"/>
      <c r="DS188" s="142"/>
      <c r="DT188" s="142"/>
      <c r="FW188" s="142"/>
      <c r="JR188" s="142"/>
      <c r="JS188" s="142"/>
      <c r="JT188" s="142"/>
      <c r="JU188" s="142"/>
      <c r="OY188" s="142"/>
      <c r="OZ188" s="142"/>
      <c r="PB188" s="142"/>
      <c r="PP188" s="145"/>
      <c r="PT188" s="142"/>
      <c r="RW188" s="145"/>
      <c r="AHF188" s="141"/>
      <c r="AIU188" s="141"/>
      <c r="AIV188" s="141"/>
      <c r="AIW188" s="141"/>
    </row>
    <row r="189" spans="2:933" hidden="1" x14ac:dyDescent="0.25">
      <c r="B189" s="729"/>
      <c r="C189" s="436" t="s">
        <v>26</v>
      </c>
      <c r="D189" s="463">
        <v>0.3</v>
      </c>
      <c r="E189" s="496" t="s">
        <v>25</v>
      </c>
      <c r="F189" s="440" t="e">
        <f>F180/F168*100</f>
        <v>#DIV/0!</v>
      </c>
      <c r="G189" s="440">
        <f>G180/G168*100</f>
        <v>1.6017880424660087</v>
      </c>
      <c r="H189" s="440" t="e">
        <f t="shared" ref="H189:J190" si="66">H180/H168*100</f>
        <v>#DIV/0!</v>
      </c>
      <c r="I189" s="440" t="e">
        <f t="shared" si="66"/>
        <v>#REF!</v>
      </c>
      <c r="J189" s="440" t="e">
        <f t="shared" si="66"/>
        <v>#REF!</v>
      </c>
      <c r="K189" s="440"/>
      <c r="L189" s="440"/>
      <c r="M189" s="440"/>
      <c r="N189" s="440"/>
      <c r="O189" s="440"/>
      <c r="P189" s="440"/>
      <c r="Q189" s="440"/>
      <c r="R189" s="440"/>
      <c r="S189" s="717"/>
      <c r="T189" s="58" t="e">
        <f>T180/T169*100</f>
        <v>#REF!</v>
      </c>
      <c r="U189" s="667" t="e">
        <f>U180/U169*100</f>
        <v>#REF!</v>
      </c>
      <c r="V189" s="767" t="e">
        <f>V180/V169*100</f>
        <v>#REF!</v>
      </c>
      <c r="X189" s="1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R189" s="62"/>
      <c r="AX189" s="1"/>
      <c r="BD189" s="142"/>
      <c r="BE189" s="142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2"/>
      <c r="DA189" s="1"/>
      <c r="DP189" s="5"/>
      <c r="DQ189" s="142"/>
      <c r="DR189" s="142"/>
      <c r="DS189" s="142"/>
      <c r="DT189" s="142"/>
      <c r="FW189" s="142"/>
      <c r="JR189" s="142"/>
      <c r="JS189" s="142"/>
      <c r="JT189" s="142"/>
      <c r="JU189" s="142"/>
      <c r="OY189" s="142"/>
      <c r="OZ189" s="142"/>
      <c r="PB189" s="142"/>
      <c r="PP189" s="145"/>
      <c r="PT189" s="142"/>
      <c r="RW189" s="145"/>
      <c r="AHF189" s="141"/>
      <c r="AIU189" s="141"/>
      <c r="AIV189" s="141"/>
      <c r="AIW189" s="141"/>
    </row>
    <row r="190" spans="2:933" hidden="1" x14ac:dyDescent="0.25">
      <c r="B190" s="729"/>
      <c r="C190" s="436" t="s">
        <v>37</v>
      </c>
      <c r="D190" s="463">
        <v>0.3</v>
      </c>
      <c r="E190" s="496" t="s">
        <v>25</v>
      </c>
      <c r="F190" s="440" t="e">
        <f>F181/F169*100</f>
        <v>#DIV/0!</v>
      </c>
      <c r="G190" s="440" t="e">
        <f>G181/G169*100</f>
        <v>#DIV/0!</v>
      </c>
      <c r="H190" s="440" t="e">
        <f t="shared" si="66"/>
        <v>#DIV/0!</v>
      </c>
      <c r="I190" s="440" t="e">
        <f t="shared" si="66"/>
        <v>#REF!</v>
      </c>
      <c r="J190" s="440" t="e">
        <f t="shared" si="66"/>
        <v>#REF!</v>
      </c>
      <c r="K190" s="440"/>
      <c r="L190" s="440"/>
      <c r="M190" s="440"/>
      <c r="N190" s="440"/>
      <c r="O190" s="440"/>
      <c r="P190" s="440"/>
      <c r="Q190" s="440"/>
      <c r="R190" s="440"/>
      <c r="S190" s="717"/>
      <c r="T190" s="58"/>
      <c r="U190" s="667"/>
      <c r="V190" s="767"/>
      <c r="X190" s="1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R190" s="62"/>
      <c r="AX190" s="1"/>
      <c r="BD190" s="142"/>
      <c r="BE190" s="142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2"/>
      <c r="DA190" s="1"/>
      <c r="DP190" s="5"/>
      <c r="DQ190" s="142"/>
      <c r="DR190" s="142"/>
      <c r="DS190" s="142"/>
      <c r="DT190" s="142"/>
      <c r="FW190" s="142"/>
      <c r="JR190" s="142"/>
      <c r="JS190" s="142"/>
      <c r="JT190" s="142"/>
      <c r="JU190" s="142"/>
      <c r="OY190" s="142"/>
      <c r="OZ190" s="142"/>
      <c r="PB190" s="142"/>
      <c r="PP190" s="145"/>
      <c r="PT190" s="142"/>
      <c r="RW190" s="145"/>
      <c r="AHF190" s="141"/>
      <c r="AIU190" s="141"/>
      <c r="AIV190" s="141"/>
      <c r="AIW190" s="141"/>
    </row>
    <row r="191" spans="2:933" hidden="1" x14ac:dyDescent="0.25">
      <c r="B191" s="729"/>
      <c r="C191" s="568" t="s">
        <v>28</v>
      </c>
      <c r="D191" s="463"/>
      <c r="E191" s="464"/>
      <c r="F191" s="440"/>
      <c r="G191" s="440"/>
      <c r="H191" s="440"/>
      <c r="I191" s="440"/>
      <c r="J191" s="440"/>
      <c r="K191" s="440"/>
      <c r="L191" s="440"/>
      <c r="M191" s="440"/>
      <c r="N191" s="440"/>
      <c r="O191" s="440"/>
      <c r="P191" s="440"/>
      <c r="Q191" s="440"/>
      <c r="R191" s="440"/>
      <c r="S191" s="717"/>
      <c r="T191" s="63" t="s">
        <v>28</v>
      </c>
      <c r="U191" s="686" t="s">
        <v>28</v>
      </c>
      <c r="V191" s="783" t="s">
        <v>28</v>
      </c>
      <c r="X191" s="1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R191" s="62"/>
      <c r="AX191" s="1"/>
      <c r="BD191" s="142"/>
      <c r="BE191" s="14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2"/>
      <c r="DA191" s="1"/>
      <c r="DP191" s="5"/>
      <c r="DQ191" s="142"/>
      <c r="DR191" s="142"/>
      <c r="DS191" s="142"/>
      <c r="DT191" s="142"/>
      <c r="FW191" s="142"/>
      <c r="JR191" s="142"/>
      <c r="JS191" s="142"/>
      <c r="JT191" s="142"/>
      <c r="JU191" s="142"/>
      <c r="OY191" s="142"/>
      <c r="OZ191" s="142"/>
      <c r="PB191" s="142"/>
      <c r="PP191" s="145"/>
      <c r="PT191" s="142"/>
      <c r="RW191" s="145"/>
      <c r="AHF191" s="141"/>
      <c r="AIU191" s="141"/>
      <c r="AIV191" s="141"/>
      <c r="AIW191" s="141"/>
    </row>
    <row r="192" spans="2:933" hidden="1" x14ac:dyDescent="0.25">
      <c r="B192" s="729"/>
      <c r="C192" s="436" t="s">
        <v>27</v>
      </c>
      <c r="D192" s="463">
        <v>0.5</v>
      </c>
      <c r="E192" s="496" t="s">
        <v>25</v>
      </c>
      <c r="F192" s="440" t="e">
        <f t="shared" ref="F192:G194" si="67">F183/F171*100</f>
        <v>#DIV/0!</v>
      </c>
      <c r="G192" s="440">
        <f t="shared" si="67"/>
        <v>0</v>
      </c>
      <c r="H192" s="440" t="e">
        <f t="shared" ref="H192:J194" si="68">H183/H171*100</f>
        <v>#DIV/0!</v>
      </c>
      <c r="I192" s="440" t="e">
        <f t="shared" si="68"/>
        <v>#REF!</v>
      </c>
      <c r="J192" s="440" t="e">
        <f t="shared" si="68"/>
        <v>#REF!</v>
      </c>
      <c r="K192" s="440"/>
      <c r="L192" s="440"/>
      <c r="M192" s="440"/>
      <c r="N192" s="440"/>
      <c r="O192" s="440"/>
      <c r="P192" s="440"/>
      <c r="Q192" s="440"/>
      <c r="R192" s="440"/>
      <c r="S192" s="717"/>
      <c r="T192" s="58" t="e">
        <f>T183/T171*100</f>
        <v>#REF!</v>
      </c>
      <c r="U192" s="667">
        <f>U183/U171*100</f>
        <v>0</v>
      </c>
      <c r="V192" s="767" t="e">
        <f>V183/V171*100</f>
        <v>#REF!</v>
      </c>
      <c r="X192" s="1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R192" s="62"/>
      <c r="AX192" s="1"/>
      <c r="BD192" s="142"/>
      <c r="BE192" s="142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2"/>
      <c r="DA192" s="1"/>
      <c r="DP192" s="5"/>
      <c r="DQ192" s="142"/>
      <c r="DR192" s="142"/>
      <c r="DS192" s="142"/>
      <c r="DT192" s="142"/>
      <c r="FW192" s="142"/>
      <c r="JR192" s="142"/>
      <c r="JS192" s="142"/>
      <c r="JT192" s="142"/>
      <c r="JU192" s="142"/>
      <c r="OY192" s="142"/>
      <c r="OZ192" s="142"/>
      <c r="PB192" s="142"/>
      <c r="PP192" s="145"/>
      <c r="PT192" s="142"/>
      <c r="RW192" s="145"/>
      <c r="AHF192" s="141"/>
      <c r="AIU192" s="141"/>
      <c r="AIV192" s="141"/>
      <c r="AIW192" s="141"/>
    </row>
    <row r="193" spans="2:933" hidden="1" x14ac:dyDescent="0.25">
      <c r="B193" s="729"/>
      <c r="C193" s="436" t="s">
        <v>26</v>
      </c>
      <c r="D193" s="463">
        <v>0.5</v>
      </c>
      <c r="E193" s="496" t="s">
        <v>25</v>
      </c>
      <c r="F193" s="440" t="e">
        <f t="shared" si="67"/>
        <v>#DIV/0!</v>
      </c>
      <c r="G193" s="440">
        <f t="shared" si="67"/>
        <v>0</v>
      </c>
      <c r="H193" s="440" t="e">
        <f t="shared" si="68"/>
        <v>#DIV/0!</v>
      </c>
      <c r="I193" s="440" t="e">
        <f t="shared" si="68"/>
        <v>#REF!</v>
      </c>
      <c r="J193" s="440" t="e">
        <f t="shared" si="68"/>
        <v>#REF!</v>
      </c>
      <c r="K193" s="440"/>
      <c r="L193" s="440"/>
      <c r="M193" s="440"/>
      <c r="N193" s="440"/>
      <c r="O193" s="440"/>
      <c r="P193" s="440"/>
      <c r="Q193" s="440"/>
      <c r="R193" s="440"/>
      <c r="S193" s="717"/>
      <c r="T193" s="58" t="e">
        <f>T184/T173*100</f>
        <v>#REF!</v>
      </c>
      <c r="U193" s="667" t="e">
        <f>U184/U173*100</f>
        <v>#REF!</v>
      </c>
      <c r="V193" s="767" t="e">
        <f>V184/V173*100</f>
        <v>#REF!</v>
      </c>
      <c r="X193" s="1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R193" s="62"/>
      <c r="AX193" s="1"/>
      <c r="BD193" s="142"/>
      <c r="BE193" s="142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2"/>
      <c r="DA193" s="1"/>
      <c r="DP193" s="5"/>
      <c r="DQ193" s="142"/>
      <c r="DR193" s="142"/>
      <c r="DS193" s="142"/>
      <c r="DT193" s="142"/>
      <c r="FW193" s="142"/>
      <c r="JR193" s="142"/>
      <c r="JS193" s="142"/>
      <c r="JT193" s="142"/>
      <c r="JU193" s="142"/>
      <c r="OY193" s="142"/>
      <c r="OZ193" s="142"/>
      <c r="PB193" s="142"/>
      <c r="PP193" s="145"/>
      <c r="PT193" s="142"/>
      <c r="RW193" s="145"/>
      <c r="AHF193" s="141"/>
      <c r="AIU193" s="141"/>
      <c r="AIV193" s="141"/>
      <c r="AIW193" s="141"/>
    </row>
    <row r="194" spans="2:933" hidden="1" x14ac:dyDescent="0.25">
      <c r="B194" s="729"/>
      <c r="C194" s="436" t="s">
        <v>37</v>
      </c>
      <c r="D194" s="463">
        <v>0.5</v>
      </c>
      <c r="E194" s="496" t="s">
        <v>25</v>
      </c>
      <c r="F194" s="440" t="e">
        <f t="shared" si="67"/>
        <v>#DIV/0!</v>
      </c>
      <c r="G194" s="440" t="e">
        <f t="shared" si="67"/>
        <v>#DIV/0!</v>
      </c>
      <c r="H194" s="440" t="e">
        <f t="shared" si="68"/>
        <v>#DIV/0!</v>
      </c>
      <c r="I194" s="440" t="e">
        <f t="shared" si="68"/>
        <v>#REF!</v>
      </c>
      <c r="J194" s="440" t="e">
        <f t="shared" si="68"/>
        <v>#REF!</v>
      </c>
      <c r="K194" s="440"/>
      <c r="L194" s="440"/>
      <c r="M194" s="440"/>
      <c r="N194" s="440"/>
      <c r="O194" s="440"/>
      <c r="P194" s="440"/>
      <c r="Q194" s="440"/>
      <c r="R194" s="440"/>
      <c r="S194" s="717"/>
      <c r="T194" s="58"/>
      <c r="U194" s="667"/>
      <c r="V194" s="767"/>
      <c r="X194" s="1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R194" s="62"/>
      <c r="AX194" s="1"/>
      <c r="BD194" s="142"/>
      <c r="BE194" s="142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2"/>
      <c r="DA194" s="1"/>
      <c r="DP194" s="5"/>
      <c r="DQ194" s="142"/>
      <c r="DR194" s="142"/>
      <c r="DS194" s="142"/>
      <c r="DT194" s="142"/>
      <c r="FW194" s="142"/>
      <c r="JR194" s="142"/>
      <c r="JS194" s="142"/>
      <c r="JT194" s="142"/>
      <c r="JU194" s="142"/>
      <c r="OY194" s="142"/>
      <c r="OZ194" s="142"/>
      <c r="PB194" s="142"/>
      <c r="PP194" s="145"/>
      <c r="PT194" s="142"/>
      <c r="RW194" s="145"/>
      <c r="AHF194" s="141"/>
      <c r="AIU194" s="141"/>
      <c r="AIV194" s="141"/>
      <c r="AIW194" s="141"/>
    </row>
    <row r="195" spans="2:933" hidden="1" x14ac:dyDescent="0.25">
      <c r="B195" s="729"/>
      <c r="C195" s="590" t="s">
        <v>87</v>
      </c>
      <c r="D195" s="591"/>
      <c r="E195" s="587"/>
      <c r="F195" s="592"/>
      <c r="G195" s="592"/>
      <c r="H195" s="592"/>
      <c r="I195" s="592"/>
      <c r="J195" s="592"/>
      <c r="K195" s="592"/>
      <c r="L195" s="592"/>
      <c r="M195" s="592"/>
      <c r="N195" s="592"/>
      <c r="O195" s="592"/>
      <c r="P195" s="592"/>
      <c r="Q195" s="592"/>
      <c r="R195" s="592"/>
      <c r="S195" s="717"/>
      <c r="T195" s="521" t="s">
        <v>130</v>
      </c>
      <c r="U195" s="675" t="s">
        <v>130</v>
      </c>
      <c r="V195" s="774" t="s">
        <v>130</v>
      </c>
      <c r="X195" s="1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R195" s="62"/>
      <c r="AX195" s="1"/>
      <c r="BD195" s="142"/>
      <c r="BE195" s="142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2"/>
      <c r="DA195" s="1"/>
      <c r="DP195" s="5"/>
      <c r="DQ195" s="142"/>
      <c r="DR195" s="142"/>
      <c r="DS195" s="142"/>
      <c r="DT195" s="142"/>
      <c r="FW195" s="142"/>
      <c r="JR195" s="142"/>
      <c r="JS195" s="142"/>
      <c r="JT195" s="142"/>
      <c r="JU195" s="142"/>
      <c r="OY195" s="142"/>
      <c r="OZ195" s="142"/>
      <c r="PB195" s="142"/>
      <c r="PP195" s="145"/>
      <c r="PT195" s="142"/>
      <c r="RW195" s="145"/>
      <c r="AHF195" s="141"/>
      <c r="AIU195" s="141"/>
      <c r="AIV195" s="141"/>
      <c r="AIW195" s="141"/>
    </row>
    <row r="196" spans="2:933" hidden="1" x14ac:dyDescent="0.25">
      <c r="B196" s="729"/>
      <c r="C196" s="593" t="s">
        <v>92</v>
      </c>
      <c r="D196" s="463"/>
      <c r="E196" s="20" t="s">
        <v>14</v>
      </c>
      <c r="F196" s="589">
        <f>'[7]Januari 24'!AL184</f>
        <v>356139</v>
      </c>
      <c r="G196" s="589">
        <f>'[7]Februari 24'!AL184</f>
        <v>0</v>
      </c>
      <c r="H196" s="589">
        <f>'[7]Maret 24'!AL184</f>
        <v>0</v>
      </c>
      <c r="I196" s="589" t="e">
        <f>'[7]Januari 24'!AO184</f>
        <v>#REF!</v>
      </c>
      <c r="J196" s="589" t="e">
        <f>'[7]Januari 24'!AP184</f>
        <v>#REF!</v>
      </c>
      <c r="K196" s="589"/>
      <c r="L196" s="589"/>
      <c r="M196" s="589"/>
      <c r="N196" s="589"/>
      <c r="O196" s="589"/>
      <c r="P196" s="589"/>
      <c r="Q196" s="589"/>
      <c r="R196" s="589"/>
      <c r="S196" s="717"/>
      <c r="T196" s="89" t="e">
        <f>SUM(F196:R196)</f>
        <v>#REF!</v>
      </c>
      <c r="U196" s="684" t="e">
        <f>SUM(G196:S196)</f>
        <v>#REF!</v>
      </c>
      <c r="V196" s="785" t="e">
        <f>SUM(H196:T196)</f>
        <v>#REF!</v>
      </c>
      <c r="X196" s="1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R196" s="62"/>
      <c r="AX196" s="1"/>
      <c r="BD196" s="142"/>
      <c r="BE196" s="142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2"/>
      <c r="DA196" s="1"/>
      <c r="DP196" s="5"/>
      <c r="DQ196" s="142"/>
      <c r="DR196" s="142"/>
      <c r="DS196" s="142"/>
      <c r="DT196" s="142"/>
      <c r="FW196" s="142"/>
      <c r="JR196" s="142"/>
      <c r="JS196" s="142"/>
      <c r="JT196" s="142"/>
      <c r="JU196" s="142"/>
      <c r="OY196" s="142"/>
      <c r="OZ196" s="142"/>
      <c r="PB196" s="142"/>
      <c r="PP196" s="145"/>
      <c r="PT196" s="142"/>
      <c r="RW196" s="145"/>
      <c r="AHF196" s="141"/>
      <c r="AIU196" s="141"/>
      <c r="AIV196" s="141"/>
      <c r="AIW196" s="141"/>
    </row>
    <row r="197" spans="2:933" hidden="1" x14ac:dyDescent="0.25">
      <c r="B197" s="729"/>
      <c r="C197" s="593" t="s">
        <v>93</v>
      </c>
      <c r="D197" s="463"/>
      <c r="E197" s="20" t="s">
        <v>14</v>
      </c>
      <c r="F197" s="589">
        <f>'[7]Januari 24'!AL185</f>
        <v>364427.63</v>
      </c>
      <c r="G197" s="589" t="e">
        <f>'[7]Februari 24'!AI179</f>
        <v>#REF!</v>
      </c>
      <c r="H197" s="589">
        <f>'[7]Maret 24'!AL185</f>
        <v>0</v>
      </c>
      <c r="I197" s="589" t="e">
        <f>'[7]Januari 24'!AO185</f>
        <v>#REF!</v>
      </c>
      <c r="J197" s="589" t="e">
        <f>'[7]Januari 24'!AP185</f>
        <v>#REF!</v>
      </c>
      <c r="K197" s="589"/>
      <c r="L197" s="589"/>
      <c r="M197" s="589"/>
      <c r="N197" s="589"/>
      <c r="O197" s="589"/>
      <c r="P197" s="589"/>
      <c r="Q197" s="589"/>
      <c r="R197" s="589"/>
      <c r="S197" s="717"/>
      <c r="T197" s="89" t="e">
        <f>SUM(T198:T199)</f>
        <v>#REF!</v>
      </c>
      <c r="U197" s="684" t="e">
        <f>SUM(U198:U199)</f>
        <v>#REF!</v>
      </c>
      <c r="V197" s="785" t="e">
        <f>SUM(V198:V199)</f>
        <v>#REF!</v>
      </c>
      <c r="X197" s="1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R197" s="62"/>
      <c r="AX197" s="1"/>
      <c r="BD197" s="142"/>
      <c r="BE197" s="142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2"/>
      <c r="DA197" s="1"/>
      <c r="DP197" s="5"/>
      <c r="DQ197" s="142"/>
      <c r="DR197" s="142"/>
      <c r="DS197" s="142"/>
      <c r="DT197" s="142"/>
      <c r="FW197" s="142"/>
      <c r="JR197" s="142"/>
      <c r="JS197" s="142"/>
      <c r="JT197" s="142"/>
      <c r="JU197" s="142"/>
      <c r="OY197" s="142"/>
      <c r="OZ197" s="142"/>
      <c r="PB197" s="142"/>
      <c r="PP197" s="145"/>
      <c r="PT197" s="142"/>
      <c r="RW197" s="145"/>
      <c r="AHF197" s="141"/>
      <c r="AIU197" s="141"/>
      <c r="AIV197" s="141"/>
      <c r="AIW197" s="141"/>
    </row>
    <row r="198" spans="2:933" hidden="1" x14ac:dyDescent="0.25">
      <c r="B198" s="729"/>
      <c r="C198" s="594" t="s">
        <v>39</v>
      </c>
      <c r="D198" s="463"/>
      <c r="E198" s="496" t="s">
        <v>14</v>
      </c>
      <c r="F198" s="577">
        <f>SUM(F202:F203)*10.83</f>
        <v>364007.13</v>
      </c>
      <c r="G198" s="577">
        <f>SUM(G202:G203)*10.83</f>
        <v>162.44999999999999</v>
      </c>
      <c r="H198" s="577">
        <f>'[7]Maret 24'!AL186</f>
        <v>0</v>
      </c>
      <c r="I198" s="577" t="e">
        <f t="shared" ref="I198:J198" si="69">SUM(I202:I203)*10.83</f>
        <v>#REF!</v>
      </c>
      <c r="J198" s="577" t="e">
        <f t="shared" si="69"/>
        <v>#REF!</v>
      </c>
      <c r="K198" s="577"/>
      <c r="L198" s="577"/>
      <c r="M198" s="577"/>
      <c r="N198" s="577"/>
      <c r="O198" s="577"/>
      <c r="P198" s="577"/>
      <c r="Q198" s="577"/>
      <c r="R198" s="577"/>
      <c r="S198" s="717"/>
      <c r="T198" s="58" t="e">
        <f t="shared" ref="T198:V199" si="70">SUM(F198:R198)</f>
        <v>#REF!</v>
      </c>
      <c r="U198" s="667" t="e">
        <f t="shared" si="70"/>
        <v>#REF!</v>
      </c>
      <c r="V198" s="767" t="e">
        <f t="shared" si="70"/>
        <v>#REF!</v>
      </c>
      <c r="X198" s="1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R198" s="62"/>
      <c r="AX198" s="1"/>
      <c r="BD198" s="142"/>
      <c r="BE198" s="142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2"/>
      <c r="DA198" s="1"/>
      <c r="DP198" s="5"/>
      <c r="DQ198" s="142"/>
      <c r="DR198" s="142"/>
      <c r="DS198" s="142"/>
      <c r="DT198" s="142"/>
      <c r="FW198" s="142"/>
      <c r="JR198" s="142"/>
      <c r="JS198" s="142"/>
      <c r="JT198" s="142"/>
      <c r="JU198" s="142"/>
      <c r="OY198" s="142"/>
      <c r="OZ198" s="142"/>
      <c r="PB198" s="142"/>
      <c r="PP198" s="145"/>
      <c r="PT198" s="142"/>
      <c r="RW198" s="145"/>
      <c r="AHF198" s="141"/>
      <c r="AIU198" s="141"/>
      <c r="AIV198" s="141"/>
      <c r="AIW198" s="141"/>
    </row>
    <row r="199" spans="2:933" hidden="1" x14ac:dyDescent="0.25">
      <c r="B199" s="729"/>
      <c r="C199" s="594" t="s">
        <v>38</v>
      </c>
      <c r="D199" s="463"/>
      <c r="E199" s="496" t="s">
        <v>14</v>
      </c>
      <c r="F199" s="577">
        <f>F197-F198</f>
        <v>420.5</v>
      </c>
      <c r="G199" s="577" t="e">
        <f>G197-G198</f>
        <v>#REF!</v>
      </c>
      <c r="H199" s="577">
        <f>'[7]Maret 24'!AL187</f>
        <v>0</v>
      </c>
      <c r="I199" s="577" t="e">
        <f t="shared" ref="I199:J199" si="71">I197-I198</f>
        <v>#REF!</v>
      </c>
      <c r="J199" s="577" t="e">
        <f t="shared" si="71"/>
        <v>#REF!</v>
      </c>
      <c r="K199" s="577"/>
      <c r="L199" s="577"/>
      <c r="M199" s="577"/>
      <c r="N199" s="577"/>
      <c r="O199" s="577"/>
      <c r="P199" s="577"/>
      <c r="Q199" s="577"/>
      <c r="R199" s="577"/>
      <c r="S199" s="717"/>
      <c r="T199" s="58" t="e">
        <f t="shared" si="70"/>
        <v>#REF!</v>
      </c>
      <c r="U199" s="667" t="e">
        <f t="shared" si="70"/>
        <v>#REF!</v>
      </c>
      <c r="V199" s="767" t="e">
        <f t="shared" si="70"/>
        <v>#REF!</v>
      </c>
      <c r="X199" s="1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R199" s="62"/>
      <c r="AX199" s="1"/>
      <c r="BD199" s="142"/>
      <c r="BE199" s="14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2"/>
      <c r="DA199" s="1"/>
      <c r="DP199" s="5"/>
      <c r="DQ199" s="142"/>
      <c r="DR199" s="142"/>
      <c r="DS199" s="142"/>
      <c r="DT199" s="142"/>
      <c r="FW199" s="142"/>
      <c r="JR199" s="142"/>
      <c r="JS199" s="142"/>
      <c r="JT199" s="142"/>
      <c r="JU199" s="142"/>
      <c r="OY199" s="142"/>
      <c r="OZ199" s="142"/>
      <c r="PB199" s="142"/>
      <c r="PP199" s="145"/>
      <c r="PT199" s="142"/>
      <c r="RW199" s="145"/>
      <c r="AHF199" s="141"/>
      <c r="AIU199" s="141"/>
      <c r="AIV199" s="141"/>
      <c r="AIW199" s="141"/>
    </row>
    <row r="200" spans="2:933" hidden="1" x14ac:dyDescent="0.25">
      <c r="B200" s="729"/>
      <c r="C200" s="595" t="s">
        <v>50</v>
      </c>
      <c r="D200" s="463"/>
      <c r="E200" s="496" t="s">
        <v>14</v>
      </c>
      <c r="F200" s="577"/>
      <c r="G200" s="577"/>
      <c r="H200" s="577">
        <f>'[7]Maret 24'!AL188</f>
        <v>0</v>
      </c>
      <c r="I200" s="577"/>
      <c r="J200" s="577"/>
      <c r="K200" s="577"/>
      <c r="L200" s="577"/>
      <c r="M200" s="577"/>
      <c r="N200" s="577"/>
      <c r="O200" s="577"/>
      <c r="P200" s="577"/>
      <c r="Q200" s="577"/>
      <c r="R200" s="577"/>
      <c r="S200" s="717"/>
      <c r="T200" s="58"/>
      <c r="U200" s="667"/>
      <c r="V200" s="767"/>
      <c r="X200" s="1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R200" s="62"/>
      <c r="AX200" s="1"/>
      <c r="BD200" s="142"/>
      <c r="BE200" s="142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2"/>
      <c r="DA200" s="1"/>
      <c r="DP200" s="5"/>
      <c r="DQ200" s="142"/>
      <c r="DR200" s="142"/>
      <c r="DS200" s="142"/>
      <c r="DT200" s="142"/>
      <c r="FW200" s="142"/>
      <c r="JR200" s="142"/>
      <c r="JS200" s="142"/>
      <c r="JT200" s="142"/>
      <c r="JU200" s="142"/>
      <c r="OY200" s="142"/>
      <c r="OZ200" s="142"/>
      <c r="PB200" s="142"/>
      <c r="PP200" s="145"/>
      <c r="PT200" s="142"/>
      <c r="RW200" s="145"/>
      <c r="AHF200" s="141"/>
      <c r="AIU200" s="141"/>
      <c r="AIV200" s="141"/>
      <c r="AIW200" s="141"/>
    </row>
    <row r="201" spans="2:933" hidden="1" x14ac:dyDescent="0.25">
      <c r="B201" s="729"/>
      <c r="C201" s="594" t="s">
        <v>29</v>
      </c>
      <c r="D201" s="463"/>
      <c r="E201" s="496"/>
      <c r="F201" s="440"/>
      <c r="G201" s="440"/>
      <c r="H201" s="440"/>
      <c r="I201" s="440"/>
      <c r="J201" s="440"/>
      <c r="K201" s="440"/>
      <c r="L201" s="440"/>
      <c r="M201" s="440"/>
      <c r="N201" s="440"/>
      <c r="O201" s="440"/>
      <c r="P201" s="440"/>
      <c r="Q201" s="440"/>
      <c r="R201" s="440"/>
      <c r="S201" s="717"/>
      <c r="T201" s="58"/>
      <c r="U201" s="667"/>
      <c r="V201" s="767"/>
      <c r="X201" s="1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R201" s="62"/>
      <c r="AX201" s="1"/>
      <c r="BD201" s="142"/>
      <c r="BE201" s="142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2"/>
      <c r="DA201" s="1"/>
      <c r="DP201" s="5"/>
      <c r="DQ201" s="142"/>
      <c r="DR201" s="142"/>
      <c r="DS201" s="142"/>
      <c r="DT201" s="142"/>
      <c r="FW201" s="142"/>
      <c r="JR201" s="142"/>
      <c r="JS201" s="142"/>
      <c r="JT201" s="142"/>
      <c r="JU201" s="142"/>
      <c r="OY201" s="142"/>
      <c r="OZ201" s="142"/>
      <c r="PB201" s="142"/>
      <c r="PP201" s="145"/>
      <c r="PT201" s="142"/>
      <c r="RW201" s="145"/>
      <c r="AHF201" s="141"/>
      <c r="AIU201" s="141"/>
      <c r="AIV201" s="141"/>
      <c r="AIW201" s="141"/>
    </row>
    <row r="202" spans="2:933" hidden="1" x14ac:dyDescent="0.25">
      <c r="B202" s="729"/>
      <c r="C202" s="594" t="s">
        <v>88</v>
      </c>
      <c r="D202" s="463"/>
      <c r="E202" s="496" t="s">
        <v>31</v>
      </c>
      <c r="F202" s="596">
        <f>'[7]Januari 24'!AL190</f>
        <v>25527</v>
      </c>
      <c r="G202" s="596">
        <f>'[7]Februari 24'!AL190</f>
        <v>15</v>
      </c>
      <c r="H202" s="596">
        <f>'[7]Maret 24'!AL190</f>
        <v>0</v>
      </c>
      <c r="I202" s="596" t="e">
        <f>'[7]Januari 24'!AO190</f>
        <v>#REF!</v>
      </c>
      <c r="J202" s="596" t="e">
        <f>'[7]Januari 24'!AP190</f>
        <v>#REF!</v>
      </c>
      <c r="K202" s="596"/>
      <c r="L202" s="596"/>
      <c r="M202" s="596"/>
      <c r="N202" s="596"/>
      <c r="O202" s="596"/>
      <c r="P202" s="596"/>
      <c r="Q202" s="596"/>
      <c r="R202" s="596"/>
      <c r="S202" s="717"/>
      <c r="T202" s="91" t="e">
        <f>SUM(F202:R202)</f>
        <v>#REF!</v>
      </c>
      <c r="U202" s="667">
        <v>2048803</v>
      </c>
      <c r="V202" s="767"/>
      <c r="X202" s="1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R202" s="62"/>
      <c r="AX202" s="1"/>
      <c r="BD202" s="142"/>
      <c r="BE202" s="142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2"/>
      <c r="DA202" s="1"/>
      <c r="DP202" s="5"/>
      <c r="DQ202" s="142"/>
      <c r="DR202" s="142"/>
      <c r="DS202" s="142"/>
      <c r="DT202" s="142"/>
      <c r="FW202" s="142"/>
      <c r="JR202" s="142"/>
      <c r="JS202" s="142"/>
      <c r="JT202" s="142"/>
      <c r="JU202" s="142"/>
      <c r="OY202" s="142"/>
      <c r="OZ202" s="142"/>
      <c r="PB202" s="142"/>
      <c r="PP202" s="145"/>
      <c r="PT202" s="142"/>
      <c r="RW202" s="145"/>
      <c r="AHF202" s="141"/>
      <c r="AIU202" s="141"/>
      <c r="AIV202" s="141"/>
      <c r="AIW202" s="141"/>
    </row>
    <row r="203" spans="2:933" hidden="1" x14ac:dyDescent="0.25">
      <c r="B203" s="729"/>
      <c r="C203" s="594" t="s">
        <v>117</v>
      </c>
      <c r="D203" s="463"/>
      <c r="E203" s="496" t="s">
        <v>31</v>
      </c>
      <c r="F203" s="596">
        <f>'[7]Januari 24'!AL191</f>
        <v>8084</v>
      </c>
      <c r="G203" s="596">
        <f>'[7]Februari 24'!AL191</f>
        <v>0</v>
      </c>
      <c r="H203" s="596">
        <f>'[7]Maret 24'!AL191</f>
        <v>0</v>
      </c>
      <c r="I203" s="596" t="e">
        <f>'[7]Januari 24'!AO191</f>
        <v>#REF!</v>
      </c>
      <c r="J203" s="596" t="e">
        <f>'[7]Januari 24'!AP191</f>
        <v>#REF!</v>
      </c>
      <c r="K203" s="596"/>
      <c r="L203" s="596"/>
      <c r="M203" s="596"/>
      <c r="N203" s="596"/>
      <c r="O203" s="596"/>
      <c r="P203" s="596"/>
      <c r="Q203" s="596"/>
      <c r="R203" s="596"/>
      <c r="S203" s="717"/>
      <c r="T203" s="91" t="e">
        <f>SUM(F203:R203)</f>
        <v>#REF!</v>
      </c>
      <c r="U203" s="667"/>
      <c r="V203" s="767"/>
      <c r="X203" s="1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R203" s="62"/>
      <c r="AX203" s="1"/>
      <c r="BD203" s="142"/>
      <c r="BE203" s="142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2"/>
      <c r="DA203" s="1"/>
      <c r="DP203" s="5"/>
      <c r="DQ203" s="142"/>
      <c r="DR203" s="142"/>
      <c r="DS203" s="142"/>
      <c r="DT203" s="142"/>
      <c r="FW203" s="142"/>
      <c r="JR203" s="142"/>
      <c r="JS203" s="142"/>
      <c r="JT203" s="142"/>
      <c r="JU203" s="142"/>
      <c r="OY203" s="142"/>
      <c r="OZ203" s="142"/>
      <c r="PB203" s="142"/>
      <c r="PP203" s="145"/>
      <c r="PT203" s="142"/>
      <c r="RW203" s="145"/>
      <c r="AHF203" s="141"/>
      <c r="AIU203" s="141"/>
      <c r="AIV203" s="141"/>
      <c r="AIW203" s="141"/>
    </row>
    <row r="204" spans="2:933" hidden="1" x14ac:dyDescent="0.25">
      <c r="B204" s="729"/>
      <c r="C204" s="594" t="s">
        <v>28</v>
      </c>
      <c r="D204" s="463"/>
      <c r="E204" s="496"/>
      <c r="F204" s="440"/>
      <c r="G204" s="440"/>
      <c r="H204" s="440"/>
      <c r="I204" s="440"/>
      <c r="J204" s="440"/>
      <c r="K204" s="440"/>
      <c r="L204" s="440"/>
      <c r="M204" s="440"/>
      <c r="N204" s="440"/>
      <c r="O204" s="440"/>
      <c r="P204" s="440"/>
      <c r="Q204" s="440"/>
      <c r="R204" s="440"/>
      <c r="S204" s="717"/>
      <c r="T204" s="58"/>
      <c r="U204" s="667"/>
      <c r="V204" s="767"/>
      <c r="X204" s="1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R204" s="62"/>
      <c r="AX204" s="1"/>
      <c r="BD204" s="142"/>
      <c r="BE204" s="142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2"/>
      <c r="DA204" s="1"/>
      <c r="DP204" s="5"/>
      <c r="DQ204" s="142"/>
      <c r="DR204" s="142"/>
      <c r="DS204" s="142"/>
      <c r="DT204" s="142"/>
      <c r="FW204" s="142"/>
      <c r="JR204" s="142"/>
      <c r="JS204" s="142"/>
      <c r="JT204" s="142"/>
      <c r="JU204" s="142"/>
      <c r="OY204" s="142"/>
      <c r="OZ204" s="142"/>
      <c r="PB204" s="142"/>
      <c r="PP204" s="145"/>
      <c r="PT204" s="142"/>
      <c r="RW204" s="145"/>
      <c r="AHF204" s="141"/>
      <c r="AIU204" s="141"/>
      <c r="AIV204" s="141"/>
      <c r="AIW204" s="141"/>
    </row>
    <row r="205" spans="2:933" hidden="1" x14ac:dyDescent="0.25">
      <c r="B205" s="729"/>
      <c r="C205" s="594" t="s">
        <v>117</v>
      </c>
      <c r="D205" s="463"/>
      <c r="E205" s="496" t="s">
        <v>28</v>
      </c>
      <c r="F205" s="597">
        <f>F202*12</f>
        <v>306324</v>
      </c>
      <c r="G205" s="597">
        <f t="shared" ref="G205:J206" si="72">G202*12</f>
        <v>180</v>
      </c>
      <c r="H205" s="597">
        <f t="shared" si="72"/>
        <v>0</v>
      </c>
      <c r="I205" s="597" t="e">
        <f t="shared" si="72"/>
        <v>#REF!</v>
      </c>
      <c r="J205" s="597" t="e">
        <f t="shared" si="72"/>
        <v>#REF!</v>
      </c>
      <c r="K205" s="597"/>
      <c r="L205" s="597"/>
      <c r="M205" s="597"/>
      <c r="N205" s="597"/>
      <c r="O205" s="597"/>
      <c r="P205" s="597"/>
      <c r="Q205" s="597"/>
      <c r="R205" s="597"/>
      <c r="S205" s="717"/>
      <c r="T205" s="91" t="e">
        <f>SUM(F205:R205)</f>
        <v>#REF!</v>
      </c>
      <c r="U205" s="667"/>
      <c r="V205" s="767"/>
      <c r="X205" s="1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R205" s="62"/>
      <c r="AX205" s="1"/>
      <c r="BD205" s="142"/>
      <c r="BE205" s="142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2"/>
      <c r="DA205" s="1"/>
      <c r="DP205" s="5"/>
      <c r="DQ205" s="142"/>
      <c r="DR205" s="142"/>
      <c r="DS205" s="142"/>
      <c r="DT205" s="142"/>
      <c r="FW205" s="142"/>
      <c r="JR205" s="142"/>
      <c r="JS205" s="142"/>
      <c r="JT205" s="142"/>
      <c r="JU205" s="142"/>
      <c r="OY205" s="142"/>
      <c r="OZ205" s="142"/>
      <c r="PB205" s="142"/>
      <c r="PP205" s="145"/>
      <c r="PT205" s="142"/>
      <c r="RW205" s="145"/>
      <c r="AHF205" s="141"/>
      <c r="AIU205" s="141"/>
      <c r="AIV205" s="141"/>
      <c r="AIW205" s="141"/>
    </row>
    <row r="206" spans="2:933" hidden="1" x14ac:dyDescent="0.25">
      <c r="B206" s="729"/>
      <c r="C206" s="594" t="s">
        <v>88</v>
      </c>
      <c r="D206" s="463"/>
      <c r="E206" s="496" t="s">
        <v>28</v>
      </c>
      <c r="F206" s="597"/>
      <c r="G206" s="597">
        <f>G203*12</f>
        <v>0</v>
      </c>
      <c r="H206" s="597">
        <f t="shared" si="72"/>
        <v>0</v>
      </c>
      <c r="I206" s="597"/>
      <c r="J206" s="597"/>
      <c r="K206" s="597"/>
      <c r="L206" s="597"/>
      <c r="M206" s="597"/>
      <c r="N206" s="597"/>
      <c r="O206" s="597"/>
      <c r="P206" s="597"/>
      <c r="Q206" s="597"/>
      <c r="R206" s="597"/>
      <c r="S206" s="717"/>
      <c r="T206" s="91">
        <f>SUM(F206:R206)</f>
        <v>0</v>
      </c>
      <c r="U206" s="667"/>
      <c r="V206" s="767"/>
      <c r="X206" s="1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R206" s="62"/>
      <c r="AX206" s="1"/>
      <c r="BD206" s="142"/>
      <c r="BE206" s="142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2"/>
      <c r="DA206" s="1"/>
      <c r="DP206" s="5"/>
      <c r="DQ206" s="142"/>
      <c r="DR206" s="142"/>
      <c r="DS206" s="142"/>
      <c r="DT206" s="142"/>
      <c r="FW206" s="142"/>
      <c r="JR206" s="142"/>
      <c r="JS206" s="142"/>
      <c r="JT206" s="142"/>
      <c r="JU206" s="142"/>
      <c r="OY206" s="142"/>
      <c r="OZ206" s="142"/>
      <c r="PB206" s="142"/>
      <c r="PP206" s="145"/>
      <c r="PT206" s="142"/>
      <c r="RW206" s="145"/>
      <c r="AHF206" s="141"/>
      <c r="AIU206" s="141"/>
      <c r="AIV206" s="141"/>
      <c r="AIW206" s="141"/>
    </row>
    <row r="207" spans="2:933" hidden="1" x14ac:dyDescent="0.25">
      <c r="B207" s="729"/>
      <c r="C207" s="594" t="s">
        <v>36</v>
      </c>
      <c r="D207" s="463"/>
      <c r="E207" s="496"/>
      <c r="F207" s="597">
        <f>F202*45/1700</f>
        <v>675.71470588235297</v>
      </c>
      <c r="G207" s="597">
        <f t="shared" ref="G207:J207" si="73">G202*45/1700</f>
        <v>0.39705882352941174</v>
      </c>
      <c r="H207" s="597">
        <f t="shared" si="73"/>
        <v>0</v>
      </c>
      <c r="I207" s="597" t="e">
        <f t="shared" si="73"/>
        <v>#REF!</v>
      </c>
      <c r="J207" s="597" t="e">
        <f t="shared" si="73"/>
        <v>#REF!</v>
      </c>
      <c r="K207" s="597"/>
      <c r="L207" s="597"/>
      <c r="M207" s="597"/>
      <c r="N207" s="597"/>
      <c r="O207" s="597"/>
      <c r="P207" s="597"/>
      <c r="Q207" s="597"/>
      <c r="R207" s="597"/>
      <c r="S207" s="717"/>
      <c r="T207" s="91" t="e">
        <f>SUM(F207:R207)</f>
        <v>#REF!</v>
      </c>
      <c r="U207" s="667"/>
      <c r="V207" s="767"/>
      <c r="X207" s="1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R207" s="62"/>
      <c r="AX207" s="1"/>
      <c r="BD207" s="142"/>
      <c r="BE207" s="142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2"/>
      <c r="DA207" s="1"/>
      <c r="DP207" s="5"/>
      <c r="DQ207" s="142"/>
      <c r="DR207" s="142"/>
      <c r="DS207" s="142"/>
      <c r="DT207" s="142"/>
      <c r="FW207" s="142"/>
      <c r="JR207" s="142"/>
      <c r="JS207" s="142"/>
      <c r="JT207" s="142"/>
      <c r="JU207" s="142"/>
      <c r="OY207" s="142"/>
      <c r="OZ207" s="142"/>
      <c r="PB207" s="142"/>
      <c r="PP207" s="145"/>
      <c r="PT207" s="142"/>
      <c r="RW207" s="145"/>
      <c r="AHF207" s="141"/>
      <c r="AIU207" s="141"/>
      <c r="AIV207" s="141"/>
      <c r="AIW207" s="141"/>
    </row>
    <row r="208" spans="2:933" hidden="1" x14ac:dyDescent="0.25">
      <c r="B208" s="729"/>
      <c r="C208" s="594" t="s">
        <v>34</v>
      </c>
      <c r="D208" s="463"/>
      <c r="E208" s="496"/>
      <c r="F208" s="597">
        <f>SUM(F202)/500</f>
        <v>51.054000000000002</v>
      </c>
      <c r="G208" s="597">
        <f t="shared" ref="G208:J208" si="74">SUM(G202)/500</f>
        <v>0.03</v>
      </c>
      <c r="H208" s="597">
        <f t="shared" si="74"/>
        <v>0</v>
      </c>
      <c r="I208" s="597" t="e">
        <f t="shared" si="74"/>
        <v>#REF!</v>
      </c>
      <c r="J208" s="597" t="e">
        <f t="shared" si="74"/>
        <v>#REF!</v>
      </c>
      <c r="K208" s="597"/>
      <c r="L208" s="597"/>
      <c r="M208" s="597"/>
      <c r="N208" s="597"/>
      <c r="O208" s="597"/>
      <c r="P208" s="597"/>
      <c r="Q208" s="597"/>
      <c r="R208" s="597"/>
      <c r="S208" s="717"/>
      <c r="T208" s="91" t="e">
        <f>SUM(F208:R208)</f>
        <v>#REF!</v>
      </c>
      <c r="U208" s="667"/>
      <c r="V208" s="767"/>
      <c r="X208" s="1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R208" s="62"/>
      <c r="AX208" s="1"/>
      <c r="BD208" s="142"/>
      <c r="BE208" s="142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2"/>
      <c r="DA208" s="1"/>
      <c r="DP208" s="5"/>
      <c r="DQ208" s="142"/>
      <c r="DR208" s="142"/>
      <c r="DS208" s="142"/>
      <c r="DT208" s="142"/>
      <c r="FW208" s="142"/>
      <c r="JR208" s="142"/>
      <c r="JS208" s="142"/>
      <c r="JT208" s="142"/>
      <c r="JU208" s="142"/>
      <c r="OY208" s="142"/>
      <c r="OZ208" s="142"/>
      <c r="PB208" s="142"/>
      <c r="PP208" s="145"/>
      <c r="PT208" s="142"/>
      <c r="RW208" s="145"/>
      <c r="AHF208" s="141"/>
      <c r="AIU208" s="141"/>
      <c r="AIV208" s="141"/>
      <c r="AIW208" s="141"/>
    </row>
    <row r="209" spans="2:933" hidden="1" x14ac:dyDescent="0.25">
      <c r="B209" s="729"/>
      <c r="C209" s="590" t="s">
        <v>32</v>
      </c>
      <c r="D209" s="591"/>
      <c r="E209" s="587"/>
      <c r="F209" s="592"/>
      <c r="G209" s="592"/>
      <c r="H209" s="592"/>
      <c r="I209" s="592"/>
      <c r="J209" s="592"/>
      <c r="K209" s="592"/>
      <c r="L209" s="592"/>
      <c r="M209" s="592"/>
      <c r="N209" s="592"/>
      <c r="O209" s="592"/>
      <c r="P209" s="592"/>
      <c r="Q209" s="592"/>
      <c r="R209" s="592"/>
      <c r="S209" s="717"/>
      <c r="T209" s="521" t="s">
        <v>131</v>
      </c>
      <c r="U209" s="675" t="s">
        <v>131</v>
      </c>
      <c r="V209" s="774" t="s">
        <v>131</v>
      </c>
      <c r="X209" s="1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R209" s="62"/>
      <c r="AX209" s="1"/>
      <c r="BD209" s="142"/>
      <c r="BE209" s="142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2"/>
      <c r="DA209" s="1"/>
      <c r="DP209" s="5"/>
      <c r="DQ209" s="142"/>
      <c r="DR209" s="142"/>
      <c r="DS209" s="142"/>
      <c r="DT209" s="142"/>
      <c r="FW209" s="142"/>
      <c r="JR209" s="142"/>
      <c r="JS209" s="142"/>
      <c r="JT209" s="142"/>
      <c r="JU209" s="142"/>
      <c r="OY209" s="142"/>
      <c r="OZ209" s="142"/>
      <c r="PB209" s="142"/>
      <c r="PP209" s="145"/>
      <c r="PT209" s="142"/>
      <c r="RW209" s="145"/>
      <c r="AHF209" s="141"/>
      <c r="AIU209" s="141"/>
      <c r="AIV209" s="141"/>
      <c r="AIW209" s="141"/>
    </row>
    <row r="210" spans="2:933" hidden="1" x14ac:dyDescent="0.25">
      <c r="B210" s="729"/>
      <c r="C210" s="594" t="s">
        <v>29</v>
      </c>
      <c r="D210" s="463"/>
      <c r="E210" s="496"/>
      <c r="F210" s="440"/>
      <c r="G210" s="440"/>
      <c r="H210" s="440"/>
      <c r="I210" s="440"/>
      <c r="J210" s="440"/>
      <c r="K210" s="440"/>
      <c r="L210" s="440"/>
      <c r="M210" s="440"/>
      <c r="N210" s="440"/>
      <c r="O210" s="440"/>
      <c r="P210" s="440"/>
      <c r="Q210" s="440"/>
      <c r="R210" s="440"/>
      <c r="S210" s="717"/>
      <c r="T210" s="58"/>
      <c r="U210" s="667"/>
      <c r="V210" s="767"/>
      <c r="X210" s="1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R210" s="62"/>
      <c r="AX210" s="1"/>
      <c r="BD210" s="142"/>
      <c r="BE210" s="142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2"/>
      <c r="DA210" s="1"/>
      <c r="DP210" s="5"/>
      <c r="DQ210" s="142"/>
      <c r="DR210" s="142"/>
      <c r="DS210" s="142"/>
      <c r="DT210" s="142"/>
      <c r="FW210" s="142"/>
      <c r="JR210" s="142"/>
      <c r="JS210" s="142"/>
      <c r="JT210" s="142"/>
      <c r="JU210" s="142"/>
      <c r="OY210" s="142"/>
      <c r="OZ210" s="142"/>
      <c r="PB210" s="142"/>
      <c r="PP210" s="145"/>
      <c r="PT210" s="142"/>
      <c r="RW210" s="145"/>
      <c r="AHF210" s="141"/>
      <c r="AIU210" s="141"/>
      <c r="AIV210" s="141"/>
      <c r="AIW210" s="141"/>
    </row>
    <row r="211" spans="2:933" hidden="1" x14ac:dyDescent="0.25">
      <c r="B211" s="729"/>
      <c r="C211" s="594" t="s">
        <v>88</v>
      </c>
      <c r="D211" s="463"/>
      <c r="E211" s="496" t="s">
        <v>31</v>
      </c>
      <c r="F211" s="440">
        <f>'[7]Januari 24'!AL185</f>
        <v>364427.63</v>
      </c>
      <c r="G211" s="439">
        <f>'[7]Februari 24'!AL199</f>
        <v>0</v>
      </c>
      <c r="H211" s="439">
        <f>'[7]Maret 24'!AL199</f>
        <v>0</v>
      </c>
      <c r="I211" s="440" t="e">
        <f>'[7]Januari 24'!AO185</f>
        <v>#REF!</v>
      </c>
      <c r="J211" s="440" t="e">
        <f>'[7]Januari 24'!AP185</f>
        <v>#REF!</v>
      </c>
      <c r="K211" s="439"/>
      <c r="L211" s="439"/>
      <c r="M211" s="440"/>
      <c r="N211" s="440"/>
      <c r="O211" s="440"/>
      <c r="P211" s="440"/>
      <c r="Q211" s="440"/>
      <c r="R211" s="440"/>
      <c r="S211" s="717"/>
      <c r="T211" s="91" t="e">
        <f>SUM(F211:R211)</f>
        <v>#REF!</v>
      </c>
      <c r="U211" s="687"/>
      <c r="V211" s="767"/>
      <c r="X211" s="1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R211" s="62"/>
      <c r="AX211" s="1"/>
      <c r="BD211" s="142"/>
      <c r="BE211" s="142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2"/>
      <c r="DA211" s="1"/>
      <c r="DP211" s="5"/>
      <c r="DQ211" s="142"/>
      <c r="DR211" s="142"/>
      <c r="DS211" s="142"/>
      <c r="DT211" s="142"/>
      <c r="FW211" s="142"/>
      <c r="JR211" s="142"/>
      <c r="JS211" s="142"/>
      <c r="JT211" s="142"/>
      <c r="JU211" s="142"/>
      <c r="OY211" s="142"/>
      <c r="OZ211" s="142"/>
      <c r="PB211" s="142"/>
      <c r="PP211" s="145"/>
      <c r="PT211" s="142"/>
      <c r="RW211" s="145"/>
      <c r="AHF211" s="141"/>
      <c r="AIU211" s="141"/>
      <c r="AIV211" s="141"/>
      <c r="AIW211" s="141"/>
    </row>
    <row r="212" spans="2:933" hidden="1" x14ac:dyDescent="0.25">
      <c r="B212" s="729"/>
      <c r="C212" s="594" t="s">
        <v>117</v>
      </c>
      <c r="D212" s="463"/>
      <c r="E212" s="496" t="s">
        <v>31</v>
      </c>
      <c r="F212" s="440"/>
      <c r="G212" s="439">
        <f>'[7]Februari 24'!AL200</f>
        <v>0</v>
      </c>
      <c r="H212" s="439">
        <f>'[7]Maret 24'!AL200</f>
        <v>0</v>
      </c>
      <c r="I212" s="440"/>
      <c r="J212" s="440"/>
      <c r="K212" s="439"/>
      <c r="L212" s="439"/>
      <c r="M212" s="440"/>
      <c r="N212" s="440"/>
      <c r="O212" s="440"/>
      <c r="P212" s="440"/>
      <c r="Q212" s="440"/>
      <c r="R212" s="440"/>
      <c r="S212" s="717"/>
      <c r="T212" s="91">
        <f>SUM(F212:R212)</f>
        <v>0</v>
      </c>
      <c r="U212" s="687"/>
      <c r="V212" s="767"/>
      <c r="X212" s="1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R212" s="62"/>
      <c r="AX212" s="1"/>
      <c r="BD212" s="142"/>
      <c r="BE212" s="142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2"/>
      <c r="DA212" s="1"/>
      <c r="DP212" s="5"/>
      <c r="DQ212" s="142"/>
      <c r="DR212" s="142"/>
      <c r="DS212" s="142"/>
      <c r="DT212" s="142"/>
      <c r="FW212" s="142"/>
      <c r="JR212" s="142"/>
      <c r="JS212" s="142"/>
      <c r="JT212" s="142"/>
      <c r="JU212" s="142"/>
      <c r="OY212" s="142"/>
      <c r="OZ212" s="142"/>
      <c r="PB212" s="142"/>
      <c r="PP212" s="145"/>
      <c r="PT212" s="142"/>
      <c r="RW212" s="145"/>
      <c r="AHF212" s="141"/>
      <c r="AIU212" s="141"/>
      <c r="AIV212" s="141"/>
      <c r="AIW212" s="141"/>
    </row>
    <row r="213" spans="2:933" hidden="1" x14ac:dyDescent="0.25">
      <c r="B213" s="729"/>
      <c r="C213" s="594" t="s">
        <v>28</v>
      </c>
      <c r="D213" s="463"/>
      <c r="E213" s="496"/>
      <c r="F213" s="440"/>
      <c r="G213" s="440"/>
      <c r="H213" s="439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717"/>
      <c r="T213" s="91">
        <f>SUM(F213:R213)</f>
        <v>0</v>
      </c>
      <c r="U213" s="667"/>
      <c r="V213" s="767"/>
      <c r="X213" s="1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R213" s="62"/>
      <c r="AX213" s="1"/>
      <c r="BD213" s="142"/>
      <c r="BE213" s="142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2"/>
      <c r="DA213" s="1"/>
      <c r="DP213" s="5"/>
      <c r="DQ213" s="142"/>
      <c r="DR213" s="142"/>
      <c r="DS213" s="142"/>
      <c r="DT213" s="142"/>
      <c r="FW213" s="142"/>
      <c r="JR213" s="142"/>
      <c r="JS213" s="142"/>
      <c r="JT213" s="142"/>
      <c r="JU213" s="142"/>
      <c r="OY213" s="142"/>
      <c r="OZ213" s="142"/>
      <c r="PB213" s="142"/>
      <c r="PP213" s="145"/>
      <c r="PT213" s="142"/>
      <c r="RW213" s="145"/>
      <c r="AHF213" s="141"/>
      <c r="AIU213" s="141"/>
      <c r="AIV213" s="141"/>
      <c r="AIW213" s="141"/>
    </row>
    <row r="214" spans="2:933" hidden="1" x14ac:dyDescent="0.25">
      <c r="B214" s="729"/>
      <c r="C214" s="594" t="s">
        <v>88</v>
      </c>
      <c r="D214" s="463"/>
      <c r="E214" s="496" t="s">
        <v>28</v>
      </c>
      <c r="F214" s="439">
        <f>F211*12</f>
        <v>4373131.5600000005</v>
      </c>
      <c r="G214" s="439">
        <f t="shared" ref="G214:J214" si="75">G211*12</f>
        <v>0</v>
      </c>
      <c r="H214" s="439">
        <f t="shared" si="75"/>
        <v>0</v>
      </c>
      <c r="I214" s="439" t="e">
        <f t="shared" si="75"/>
        <v>#REF!</v>
      </c>
      <c r="J214" s="439" t="e">
        <f t="shared" si="75"/>
        <v>#REF!</v>
      </c>
      <c r="K214" s="439"/>
      <c r="L214" s="439"/>
      <c r="M214" s="439"/>
      <c r="N214" s="439"/>
      <c r="O214" s="439"/>
      <c r="P214" s="439"/>
      <c r="Q214" s="439"/>
      <c r="R214" s="439"/>
      <c r="S214" s="717"/>
      <c r="T214" s="91" t="e">
        <f>SUM(F214:R214)</f>
        <v>#REF!</v>
      </c>
      <c r="U214" s="667"/>
      <c r="V214" s="789"/>
      <c r="X214" s="1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R214" s="62"/>
      <c r="AX214" s="1"/>
      <c r="BD214" s="142"/>
      <c r="BE214" s="142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2"/>
      <c r="DA214" s="1"/>
      <c r="DP214" s="5"/>
      <c r="DQ214" s="142"/>
      <c r="DR214" s="142"/>
      <c r="DS214" s="142"/>
      <c r="DT214" s="142"/>
      <c r="FW214" s="142"/>
      <c r="JR214" s="142"/>
      <c r="JS214" s="142"/>
      <c r="JT214" s="142"/>
      <c r="JU214" s="142"/>
      <c r="OY214" s="142"/>
      <c r="OZ214" s="142"/>
      <c r="PB214" s="142"/>
      <c r="PP214" s="145"/>
      <c r="PT214" s="142"/>
      <c r="RW214" s="145"/>
      <c r="AHF214" s="141"/>
      <c r="AIU214" s="141"/>
      <c r="AIV214" s="141"/>
      <c r="AIW214" s="141"/>
    </row>
    <row r="215" spans="2:933" hidden="1" x14ac:dyDescent="0.25">
      <c r="B215" s="729"/>
      <c r="C215" s="594" t="s">
        <v>117</v>
      </c>
      <c r="D215" s="598"/>
      <c r="E215" s="496" t="s">
        <v>28</v>
      </c>
      <c r="F215" s="439">
        <f>F212*6</f>
        <v>0</v>
      </c>
      <c r="G215" s="439">
        <f t="shared" ref="G215:J215" si="76">G212*6</f>
        <v>0</v>
      </c>
      <c r="H215" s="439">
        <f t="shared" si="76"/>
        <v>0</v>
      </c>
      <c r="I215" s="439">
        <f t="shared" si="76"/>
        <v>0</v>
      </c>
      <c r="J215" s="439">
        <f t="shared" si="76"/>
        <v>0</v>
      </c>
      <c r="K215" s="439"/>
      <c r="L215" s="439"/>
      <c r="M215" s="439"/>
      <c r="N215" s="439"/>
      <c r="O215" s="439"/>
      <c r="P215" s="439"/>
      <c r="Q215" s="439"/>
      <c r="R215" s="439"/>
      <c r="S215" s="717"/>
      <c r="T215" s="91">
        <f>SUM(F215:R215)</f>
        <v>0</v>
      </c>
      <c r="U215" s="667"/>
      <c r="V215" s="767"/>
      <c r="X215" s="1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R215" s="62"/>
      <c r="AX215" s="1"/>
      <c r="BD215" s="142"/>
      <c r="BE215" s="142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2"/>
      <c r="DA215" s="1"/>
      <c r="DP215" s="5"/>
      <c r="DQ215" s="142"/>
      <c r="DR215" s="142"/>
      <c r="DS215" s="142"/>
      <c r="DT215" s="142"/>
      <c r="FW215" s="142"/>
      <c r="JR215" s="142"/>
      <c r="JS215" s="142"/>
      <c r="JT215" s="142"/>
      <c r="JU215" s="142"/>
      <c r="OY215" s="142"/>
      <c r="OZ215" s="142"/>
      <c r="PB215" s="142"/>
      <c r="PP215" s="145"/>
      <c r="PT215" s="142"/>
      <c r="RW215" s="145"/>
      <c r="AHF215" s="141"/>
      <c r="AIU215" s="141"/>
      <c r="AIV215" s="141"/>
      <c r="AIW215" s="141"/>
    </row>
    <row r="216" spans="2:933" hidden="1" x14ac:dyDescent="0.25">
      <c r="B216" s="729"/>
      <c r="C216" s="419" t="s">
        <v>30</v>
      </c>
      <c r="D216" s="599"/>
      <c r="E216" s="587"/>
      <c r="F216" s="592"/>
      <c r="G216" s="592"/>
      <c r="H216" s="592"/>
      <c r="I216" s="592"/>
      <c r="J216" s="592"/>
      <c r="K216" s="592"/>
      <c r="L216" s="592"/>
      <c r="M216" s="592"/>
      <c r="N216" s="592"/>
      <c r="O216" s="592"/>
      <c r="P216" s="592"/>
      <c r="Q216" s="592"/>
      <c r="R216" s="592"/>
      <c r="S216" s="717"/>
      <c r="T216" s="600" t="s">
        <v>30</v>
      </c>
      <c r="U216" s="690" t="s">
        <v>30</v>
      </c>
      <c r="V216" s="790" t="s">
        <v>30</v>
      </c>
      <c r="X216" s="1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R216" s="62"/>
      <c r="AX216" s="1"/>
      <c r="BD216" s="142"/>
      <c r="BE216" s="142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2"/>
      <c r="DA216" s="1"/>
      <c r="DP216" s="5"/>
      <c r="DQ216" s="142"/>
      <c r="DR216" s="142"/>
      <c r="DS216" s="142"/>
      <c r="DT216" s="142"/>
      <c r="FW216" s="142"/>
      <c r="JR216" s="142"/>
      <c r="JS216" s="142"/>
      <c r="JT216" s="142"/>
      <c r="JU216" s="142"/>
      <c r="OY216" s="142"/>
      <c r="OZ216" s="142"/>
      <c r="PB216" s="142"/>
      <c r="PP216" s="145"/>
      <c r="PT216" s="142"/>
      <c r="RW216" s="145"/>
      <c r="AHF216" s="141"/>
      <c r="AIU216" s="141"/>
      <c r="AIV216" s="141"/>
      <c r="AIW216" s="141"/>
    </row>
    <row r="217" spans="2:933" hidden="1" x14ac:dyDescent="0.25">
      <c r="B217" s="729"/>
      <c r="C217" s="568" t="s">
        <v>29</v>
      </c>
      <c r="D217" s="598"/>
      <c r="E217" s="496"/>
      <c r="F217" s="440"/>
      <c r="G217" s="440"/>
      <c r="H217" s="440"/>
      <c r="I217" s="440"/>
      <c r="J217" s="440"/>
      <c r="K217" s="440"/>
      <c r="L217" s="440"/>
      <c r="M217" s="440"/>
      <c r="N217" s="440"/>
      <c r="O217" s="440"/>
      <c r="P217" s="440"/>
      <c r="Q217" s="440"/>
      <c r="R217" s="440"/>
      <c r="S217" s="717"/>
      <c r="T217" s="58"/>
      <c r="U217" s="667"/>
      <c r="V217" s="767"/>
      <c r="X217" s="1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R217" s="62"/>
      <c r="AX217" s="1"/>
      <c r="BD217" s="142"/>
      <c r="BE217" s="142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2"/>
      <c r="DA217" s="1"/>
      <c r="DP217" s="5"/>
      <c r="DQ217" s="142"/>
      <c r="DR217" s="142"/>
      <c r="DS217" s="142"/>
      <c r="DT217" s="142"/>
      <c r="FW217" s="142"/>
      <c r="JR217" s="142"/>
      <c r="JS217" s="142"/>
      <c r="JT217" s="142"/>
      <c r="JU217" s="142"/>
      <c r="OY217" s="142"/>
      <c r="OZ217" s="142"/>
      <c r="PB217" s="142"/>
      <c r="PP217" s="145"/>
      <c r="PT217" s="142"/>
      <c r="RW217" s="145"/>
      <c r="AHF217" s="141"/>
      <c r="AIU217" s="141"/>
      <c r="AIV217" s="141"/>
      <c r="AIW217" s="141"/>
    </row>
    <row r="218" spans="2:933" hidden="1" x14ac:dyDescent="0.25">
      <c r="B218" s="729"/>
      <c r="C218" s="594" t="s">
        <v>88</v>
      </c>
      <c r="D218" s="526">
        <v>0.3</v>
      </c>
      <c r="E218" s="496" t="s">
        <v>25</v>
      </c>
      <c r="F218" s="440">
        <f>F211/F202*100</f>
        <v>1427.6163669839777</v>
      </c>
      <c r="G218" s="440">
        <f>G211/G202*100</f>
        <v>0</v>
      </c>
      <c r="H218" s="440" t="e">
        <f t="shared" ref="H218:J219" si="77">H211/H202*100</f>
        <v>#DIV/0!</v>
      </c>
      <c r="I218" s="440" t="e">
        <f t="shared" si="77"/>
        <v>#REF!</v>
      </c>
      <c r="J218" s="440" t="e">
        <f t="shared" si="77"/>
        <v>#REF!</v>
      </c>
      <c r="K218" s="440"/>
      <c r="L218" s="440"/>
      <c r="M218" s="440"/>
      <c r="N218" s="440"/>
      <c r="O218" s="440"/>
      <c r="P218" s="440"/>
      <c r="Q218" s="440"/>
      <c r="R218" s="440"/>
      <c r="S218" s="717"/>
      <c r="T218" s="524" t="e">
        <f>T211/T202*100</f>
        <v>#REF!</v>
      </c>
      <c r="U218" s="667"/>
      <c r="V218" s="767"/>
      <c r="X218" s="1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R218" s="62"/>
      <c r="AX218" s="1"/>
      <c r="BD218" s="142"/>
      <c r="BE218" s="142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2"/>
      <c r="DA218" s="1"/>
      <c r="DP218" s="5"/>
      <c r="DQ218" s="142"/>
      <c r="DR218" s="142"/>
      <c r="DS218" s="142"/>
      <c r="DT218" s="142"/>
      <c r="FW218" s="142"/>
      <c r="JR218" s="142"/>
      <c r="JS218" s="142"/>
      <c r="JT218" s="142"/>
      <c r="JU218" s="142"/>
      <c r="OY218" s="142"/>
      <c r="OZ218" s="142"/>
      <c r="PB218" s="142"/>
      <c r="PP218" s="145"/>
      <c r="PT218" s="142"/>
      <c r="RW218" s="145"/>
      <c r="AHF218" s="141"/>
      <c r="AIU218" s="141"/>
      <c r="AIV218" s="141"/>
      <c r="AIW218" s="141"/>
    </row>
    <row r="219" spans="2:933" hidden="1" x14ac:dyDescent="0.25">
      <c r="B219" s="729"/>
      <c r="C219" s="594" t="s">
        <v>117</v>
      </c>
      <c r="D219" s="526">
        <v>0.3</v>
      </c>
      <c r="E219" s="496" t="s">
        <v>25</v>
      </c>
      <c r="F219" s="440">
        <f>F212/F203*100</f>
        <v>0</v>
      </c>
      <c r="G219" s="440" t="e">
        <f>G212/G203*100</f>
        <v>#DIV/0!</v>
      </c>
      <c r="H219" s="440" t="e">
        <f t="shared" si="77"/>
        <v>#DIV/0!</v>
      </c>
      <c r="I219" s="440" t="e">
        <f t="shared" si="77"/>
        <v>#REF!</v>
      </c>
      <c r="J219" s="440" t="e">
        <f t="shared" si="77"/>
        <v>#REF!</v>
      </c>
      <c r="K219" s="440"/>
      <c r="L219" s="440"/>
      <c r="M219" s="440"/>
      <c r="N219" s="440"/>
      <c r="O219" s="440"/>
      <c r="P219" s="440"/>
      <c r="Q219" s="440"/>
      <c r="R219" s="440"/>
      <c r="S219" s="717"/>
      <c r="T219" s="524" t="e">
        <f>T212/T203*100</f>
        <v>#REF!</v>
      </c>
      <c r="U219" s="667"/>
      <c r="V219" s="767"/>
      <c r="X219" s="1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R219" s="62"/>
      <c r="AX219" s="1"/>
      <c r="BD219" s="142"/>
      <c r="BE219" s="142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2"/>
      <c r="DA219" s="1"/>
      <c r="DP219" s="5"/>
      <c r="DQ219" s="142"/>
      <c r="DR219" s="142"/>
      <c r="DS219" s="142"/>
      <c r="DT219" s="142"/>
      <c r="FW219" s="142"/>
      <c r="JR219" s="142"/>
      <c r="JS219" s="142"/>
      <c r="JT219" s="142"/>
      <c r="JU219" s="142"/>
      <c r="OY219" s="142"/>
      <c r="OZ219" s="142"/>
      <c r="PB219" s="142"/>
      <c r="PP219" s="145"/>
      <c r="PT219" s="142"/>
      <c r="RW219" s="145"/>
      <c r="AHF219" s="141"/>
      <c r="AIU219" s="141"/>
      <c r="AIV219" s="141"/>
      <c r="AIW219" s="141"/>
    </row>
    <row r="220" spans="2:933" hidden="1" x14ac:dyDescent="0.25">
      <c r="B220" s="729"/>
      <c r="C220" s="568" t="s">
        <v>28</v>
      </c>
      <c r="D220" s="526"/>
      <c r="E220" s="496"/>
      <c r="F220" s="440"/>
      <c r="G220" s="440"/>
      <c r="H220" s="440"/>
      <c r="I220" s="440"/>
      <c r="J220" s="440"/>
      <c r="K220" s="440"/>
      <c r="L220" s="440"/>
      <c r="M220" s="440"/>
      <c r="N220" s="440"/>
      <c r="O220" s="440"/>
      <c r="P220" s="440"/>
      <c r="Q220" s="440"/>
      <c r="R220" s="440"/>
      <c r="S220" s="717"/>
      <c r="T220" s="524"/>
      <c r="U220" s="667"/>
      <c r="V220" s="767"/>
      <c r="X220" s="1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R220" s="62"/>
      <c r="AX220" s="1"/>
      <c r="BD220" s="142"/>
      <c r="BE220" s="142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2"/>
      <c r="DA220" s="1"/>
      <c r="DP220" s="5"/>
      <c r="DQ220" s="142"/>
      <c r="DR220" s="142"/>
      <c r="DS220" s="142"/>
      <c r="DT220" s="142"/>
      <c r="FW220" s="142"/>
      <c r="JR220" s="142"/>
      <c r="JS220" s="142"/>
      <c r="JT220" s="142"/>
      <c r="JU220" s="142"/>
      <c r="OY220" s="142"/>
      <c r="OZ220" s="142"/>
      <c r="PB220" s="142"/>
      <c r="PP220" s="145"/>
      <c r="PT220" s="142"/>
      <c r="RW220" s="145"/>
      <c r="AHF220" s="141"/>
      <c r="AIU220" s="141"/>
      <c r="AIV220" s="141"/>
      <c r="AIW220" s="141"/>
    </row>
    <row r="221" spans="2:933" hidden="1" x14ac:dyDescent="0.25">
      <c r="B221" s="729"/>
      <c r="C221" s="594" t="s">
        <v>88</v>
      </c>
      <c r="D221" s="526">
        <v>0.5</v>
      </c>
      <c r="E221" s="496" t="s">
        <v>25</v>
      </c>
      <c r="F221" s="440">
        <f>F214/F202*100</f>
        <v>17131.396403807736</v>
      </c>
      <c r="G221" s="440">
        <f t="shared" ref="G221:J222" si="78">G214/G202*100</f>
        <v>0</v>
      </c>
      <c r="H221" s="440" t="e">
        <f t="shared" si="78"/>
        <v>#DIV/0!</v>
      </c>
      <c r="I221" s="440" t="e">
        <f t="shared" si="78"/>
        <v>#REF!</v>
      </c>
      <c r="J221" s="440" t="e">
        <f t="shared" si="78"/>
        <v>#REF!</v>
      </c>
      <c r="K221" s="440"/>
      <c r="L221" s="440"/>
      <c r="M221" s="440"/>
      <c r="N221" s="440"/>
      <c r="O221" s="440"/>
      <c r="P221" s="440"/>
      <c r="Q221" s="440"/>
      <c r="R221" s="440"/>
      <c r="S221" s="717"/>
      <c r="T221" s="524" t="e">
        <f>T214/T202*100</f>
        <v>#REF!</v>
      </c>
      <c r="U221" s="667"/>
      <c r="V221" s="789"/>
      <c r="X221" s="1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R221" s="62"/>
      <c r="AX221" s="1"/>
      <c r="BD221" s="142"/>
      <c r="BE221" s="142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2"/>
      <c r="DA221" s="1"/>
      <c r="DP221" s="5"/>
      <c r="DQ221" s="142"/>
      <c r="DR221" s="142"/>
      <c r="DS221" s="142"/>
      <c r="DT221" s="142"/>
      <c r="FW221" s="142"/>
      <c r="JR221" s="142"/>
      <c r="JS221" s="142"/>
      <c r="JT221" s="142"/>
      <c r="JU221" s="142"/>
      <c r="OY221" s="142"/>
      <c r="OZ221" s="142"/>
      <c r="PB221" s="142"/>
      <c r="PP221" s="145"/>
      <c r="PT221" s="142"/>
      <c r="RW221" s="145"/>
      <c r="AHF221" s="141"/>
      <c r="AIU221" s="141"/>
      <c r="AIV221" s="141"/>
      <c r="AIW221" s="141"/>
    </row>
    <row r="222" spans="2:933" hidden="1" x14ac:dyDescent="0.25">
      <c r="B222" s="729"/>
      <c r="C222" s="594" t="s">
        <v>117</v>
      </c>
      <c r="D222" s="526">
        <v>0.5</v>
      </c>
      <c r="E222" s="496" t="s">
        <v>25</v>
      </c>
      <c r="F222" s="440">
        <f>F215/F203*100</f>
        <v>0</v>
      </c>
      <c r="G222" s="440" t="e">
        <f t="shared" si="78"/>
        <v>#DIV/0!</v>
      </c>
      <c r="H222" s="440" t="e">
        <f t="shared" si="78"/>
        <v>#DIV/0!</v>
      </c>
      <c r="I222" s="440" t="e">
        <f t="shared" si="78"/>
        <v>#REF!</v>
      </c>
      <c r="J222" s="440" t="e">
        <f t="shared" si="78"/>
        <v>#REF!</v>
      </c>
      <c r="K222" s="440"/>
      <c r="L222" s="440"/>
      <c r="M222" s="440"/>
      <c r="N222" s="440"/>
      <c r="O222" s="440"/>
      <c r="P222" s="440"/>
      <c r="Q222" s="440"/>
      <c r="R222" s="440"/>
      <c r="S222" s="717"/>
      <c r="T222" s="527" t="e">
        <f>T215/T203*100</f>
        <v>#REF!</v>
      </c>
      <c r="U222" s="667"/>
      <c r="V222" s="789"/>
      <c r="X222" s="1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R222" s="62"/>
      <c r="AX222" s="1"/>
      <c r="BD222" s="142"/>
      <c r="BE222" s="142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2"/>
      <c r="DA222" s="1"/>
      <c r="DP222" s="5"/>
      <c r="DQ222" s="142"/>
      <c r="DR222" s="142"/>
      <c r="DS222" s="142"/>
      <c r="DT222" s="142"/>
      <c r="FW222" s="142"/>
      <c r="JR222" s="142"/>
      <c r="JS222" s="142"/>
      <c r="JT222" s="142"/>
      <c r="JU222" s="142"/>
      <c r="OY222" s="142"/>
      <c r="OZ222" s="142"/>
      <c r="PB222" s="142"/>
      <c r="PP222" s="145"/>
      <c r="PT222" s="142"/>
      <c r="RW222" s="145"/>
      <c r="AHF222" s="141"/>
      <c r="AIU222" s="141"/>
      <c r="AIV222" s="141"/>
      <c r="AIW222" s="141"/>
    </row>
    <row r="223" spans="2:933" hidden="1" x14ac:dyDescent="0.25">
      <c r="B223" s="729"/>
      <c r="C223" s="601" t="s">
        <v>94</v>
      </c>
      <c r="D223" s="602"/>
      <c r="E223" s="603"/>
      <c r="F223" s="604">
        <f>'[7]Januari 24'!AL211</f>
        <v>356139</v>
      </c>
      <c r="G223" s="604">
        <f>'[7]Februari 24'!AL211</f>
        <v>0</v>
      </c>
      <c r="H223" s="604">
        <f>'[7]Maret 24'!AL211</f>
        <v>0</v>
      </c>
      <c r="I223" s="604" t="e">
        <f>'[7]Januari 24'!AO211</f>
        <v>#REF!</v>
      </c>
      <c r="J223" s="604" t="e">
        <f>'[7]Januari 24'!AP211</f>
        <v>#REF!</v>
      </c>
      <c r="K223" s="604"/>
      <c r="L223" s="604"/>
      <c r="M223" s="604"/>
      <c r="N223" s="604"/>
      <c r="O223" s="604"/>
      <c r="P223" s="604"/>
      <c r="Q223" s="604"/>
      <c r="R223" s="604"/>
      <c r="S223" s="718"/>
      <c r="T223" s="605" t="e">
        <f>SUM(F223:R223)</f>
        <v>#REF!</v>
      </c>
      <c r="U223" s="691">
        <v>22250000</v>
      </c>
      <c r="V223" s="791" t="e">
        <f>T223/U223*100</f>
        <v>#REF!</v>
      </c>
      <c r="X223" s="1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R223" s="62"/>
      <c r="AX223" s="1"/>
      <c r="BD223" s="142"/>
      <c r="BE223" s="142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2"/>
      <c r="DA223" s="1"/>
      <c r="DP223" s="5"/>
      <c r="DQ223" s="142"/>
      <c r="DR223" s="142"/>
      <c r="DS223" s="142"/>
      <c r="DT223" s="142"/>
      <c r="FW223" s="142"/>
      <c r="JR223" s="142"/>
      <c r="JS223" s="142"/>
      <c r="JT223" s="142"/>
      <c r="JU223" s="142"/>
      <c r="OY223" s="142"/>
      <c r="OZ223" s="142"/>
      <c r="PB223" s="142"/>
      <c r="PP223" s="145"/>
      <c r="PT223" s="142"/>
      <c r="RW223" s="145"/>
      <c r="AHF223" s="141"/>
      <c r="AIU223" s="141"/>
      <c r="AIV223" s="141"/>
      <c r="AIW223" s="141"/>
    </row>
    <row r="224" spans="2:933" hidden="1" x14ac:dyDescent="0.25">
      <c r="B224" s="729"/>
      <c r="C224" s="601" t="s">
        <v>118</v>
      </c>
      <c r="D224" s="602"/>
      <c r="E224" s="603"/>
      <c r="F224" s="604">
        <f>'[7]Januari 24'!AL212</f>
        <v>534116</v>
      </c>
      <c r="G224" s="604">
        <f>'[7]Februari 24'!AL212</f>
        <v>542142</v>
      </c>
      <c r="H224" s="604">
        <f>'[7]Maret 24'!AL212</f>
        <v>0</v>
      </c>
      <c r="I224" s="604" t="e">
        <f>'[7]Januari 24'!AO212</f>
        <v>#REF!</v>
      </c>
      <c r="J224" s="604" t="e">
        <f>'[7]Januari 24'!AP212</f>
        <v>#REF!</v>
      </c>
      <c r="K224" s="606"/>
      <c r="L224" s="606"/>
      <c r="M224" s="607"/>
      <c r="N224" s="606"/>
      <c r="O224" s="606"/>
      <c r="P224" s="606"/>
      <c r="Q224" s="606"/>
      <c r="R224" s="606"/>
      <c r="S224" s="718"/>
      <c r="T224" s="605" t="e">
        <f>SUM(F224:R224)</f>
        <v>#REF!</v>
      </c>
      <c r="U224" s="691">
        <v>11435000</v>
      </c>
      <c r="V224" s="791" t="e">
        <f>T224/U224*100</f>
        <v>#REF!</v>
      </c>
      <c r="X224" s="1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R224" s="62"/>
      <c r="AX224" s="1"/>
      <c r="BD224" s="142"/>
      <c r="BE224" s="142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2"/>
      <c r="DA224" s="1"/>
      <c r="DP224" s="5"/>
      <c r="DQ224" s="142"/>
      <c r="DR224" s="142"/>
      <c r="DS224" s="142"/>
      <c r="DT224" s="142"/>
      <c r="FW224" s="142"/>
      <c r="JR224" s="142"/>
      <c r="JS224" s="142"/>
      <c r="JT224" s="142"/>
      <c r="JU224" s="142"/>
      <c r="OY224" s="142"/>
      <c r="OZ224" s="142"/>
      <c r="PB224" s="142"/>
      <c r="PP224" s="145"/>
      <c r="PT224" s="142"/>
      <c r="RW224" s="145"/>
      <c r="AHF224" s="141"/>
      <c r="AIU224" s="141"/>
      <c r="AIV224" s="141"/>
      <c r="AIW224" s="141"/>
    </row>
    <row r="225" spans="2:933" hidden="1" x14ac:dyDescent="0.25">
      <c r="B225" s="729"/>
      <c r="C225" s="608" t="s">
        <v>89</v>
      </c>
      <c r="D225" s="602"/>
      <c r="E225" s="603"/>
      <c r="F225" s="604">
        <f>'[7]Januari 24'!AL213</f>
        <v>845858</v>
      </c>
      <c r="G225" s="604">
        <f>'[7]Februari 24'!AL213</f>
        <v>192009</v>
      </c>
      <c r="H225" s="604">
        <f>'[7]Maret 24'!AL213</f>
        <v>0</v>
      </c>
      <c r="I225" s="604" t="e">
        <f>'[7]Januari 24'!AO213</f>
        <v>#REF!</v>
      </c>
      <c r="J225" s="604" t="e">
        <f>'[7]Januari 24'!AP213</f>
        <v>#REF!</v>
      </c>
      <c r="K225" s="604"/>
      <c r="L225" s="604"/>
      <c r="M225" s="607"/>
      <c r="N225" s="604"/>
      <c r="O225" s="604"/>
      <c r="P225" s="607"/>
      <c r="Q225" s="607"/>
      <c r="R225" s="607"/>
      <c r="S225" s="718"/>
      <c r="T225" s="605" t="e">
        <f>SUM(F225:R225)</f>
        <v>#REF!</v>
      </c>
      <c r="U225" s="692">
        <v>71709000</v>
      </c>
      <c r="V225" s="791" t="e">
        <f>T225/U225*100</f>
        <v>#REF!</v>
      </c>
      <c r="X225" s="1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R225" s="62"/>
      <c r="AX225" s="1"/>
      <c r="BD225" s="142"/>
      <c r="BE225" s="142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H225" s="142"/>
      <c r="DA225" s="1"/>
      <c r="DP225" s="5"/>
      <c r="DQ225" s="142"/>
      <c r="DR225" s="142"/>
      <c r="DS225" s="142"/>
      <c r="DT225" s="142"/>
      <c r="FW225" s="142"/>
      <c r="JR225" s="142"/>
      <c r="JS225" s="142"/>
      <c r="JT225" s="142"/>
      <c r="JU225" s="142"/>
      <c r="OY225" s="142"/>
      <c r="OZ225" s="142"/>
      <c r="PB225" s="142"/>
      <c r="PP225" s="145"/>
      <c r="PT225" s="142"/>
      <c r="RW225" s="145"/>
      <c r="AHF225" s="141"/>
      <c r="AIU225" s="141"/>
      <c r="AIV225" s="141"/>
      <c r="AIW225" s="141"/>
    </row>
    <row r="226" spans="2:933" s="614" customFormat="1" hidden="1" x14ac:dyDescent="0.25">
      <c r="B226" s="726"/>
      <c r="C226" s="609" t="s">
        <v>90</v>
      </c>
      <c r="D226" s="610"/>
      <c r="E226" s="108"/>
      <c r="F226" s="611">
        <f>'[7]Januari 24'!AL214</f>
        <v>1736113</v>
      </c>
      <c r="G226" s="611">
        <f>'[7]Februari 24'!AL214</f>
        <v>734151</v>
      </c>
      <c r="H226" s="611">
        <f>'[7]Maret 24'!AL214</f>
        <v>0</v>
      </c>
      <c r="I226" s="611" t="e">
        <f>'[7]Januari 24'!AO214</f>
        <v>#REF!</v>
      </c>
      <c r="J226" s="611" t="e">
        <f>'[7]Januari 24'!AP214</f>
        <v>#REF!</v>
      </c>
      <c r="K226" s="612"/>
      <c r="L226" s="612"/>
      <c r="M226" s="611"/>
      <c r="N226" s="613"/>
      <c r="O226" s="613"/>
      <c r="P226" s="613"/>
      <c r="Q226" s="611"/>
      <c r="R226" s="611"/>
      <c r="S226" s="734"/>
      <c r="T226" s="605" t="e">
        <f>SUM(F226:R226)</f>
        <v>#REF!</v>
      </c>
      <c r="U226" s="683">
        <f>SUM(U223:U225)</f>
        <v>105394000</v>
      </c>
      <c r="V226" s="791" t="e">
        <f>T226/U226*100</f>
        <v>#REF!</v>
      </c>
      <c r="X226" s="2"/>
      <c r="Y226" s="805"/>
      <c r="Z226" s="805"/>
      <c r="AA226" s="805"/>
      <c r="AB226" s="805"/>
      <c r="AC226" s="805"/>
      <c r="AD226" s="805"/>
      <c r="AE226" s="805"/>
      <c r="AF226" s="805"/>
      <c r="AG226" s="805"/>
      <c r="AH226" s="805"/>
      <c r="AI226" s="805"/>
      <c r="AJ226" s="805"/>
      <c r="AK226" s="805"/>
      <c r="AL226" s="805"/>
      <c r="AM226" s="805"/>
      <c r="AN226" s="805"/>
      <c r="AO226" s="805"/>
      <c r="AP226" s="805"/>
      <c r="AR226" s="805"/>
      <c r="AX226" s="1"/>
      <c r="BD226" s="146"/>
      <c r="BE226" s="146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CH226" s="146"/>
      <c r="DA226" s="2"/>
      <c r="DP226" s="435"/>
      <c r="DQ226" s="146"/>
      <c r="DR226" s="146"/>
      <c r="DS226" s="146"/>
      <c r="DT226" s="146"/>
      <c r="FW226" s="146"/>
      <c r="JR226" s="146"/>
      <c r="JS226" s="146"/>
      <c r="JT226" s="146"/>
      <c r="JU226" s="146"/>
      <c r="OY226" s="146"/>
      <c r="OZ226" s="146"/>
      <c r="PB226" s="146"/>
      <c r="PP226" s="562"/>
      <c r="PT226" s="146"/>
      <c r="RW226" s="562"/>
      <c r="AHF226" s="151"/>
      <c r="AIU226" s="151"/>
      <c r="AIV226" s="151"/>
      <c r="AIW226" s="151"/>
    </row>
    <row r="227" spans="2:933" s="614" customFormat="1" hidden="1" x14ac:dyDescent="0.25">
      <c r="B227" s="726"/>
      <c r="C227" s="609" t="s">
        <v>95</v>
      </c>
      <c r="D227" s="610"/>
      <c r="E227" s="108"/>
      <c r="F227" s="611">
        <f>'[7]Januari 24'!AL215</f>
        <v>1749656.7900000003</v>
      </c>
      <c r="G227" s="611">
        <f>'[7]Februari 24'!AL215</f>
        <v>649233.52999999991</v>
      </c>
      <c r="H227" s="611">
        <f>'[7]Maret 24'!AL215</f>
        <v>0</v>
      </c>
      <c r="I227" s="611" t="e">
        <f>'[7]Januari 24'!AO215</f>
        <v>#REF!</v>
      </c>
      <c r="J227" s="611" t="e">
        <f>'[7]Januari 24'!AP215</f>
        <v>#REF!</v>
      </c>
      <c r="K227" s="611"/>
      <c r="L227" s="611"/>
      <c r="M227" s="611"/>
      <c r="N227" s="611"/>
      <c r="O227" s="611"/>
      <c r="P227" s="611"/>
      <c r="Q227" s="611"/>
      <c r="R227" s="611"/>
      <c r="S227" s="734"/>
      <c r="T227" s="615" t="e">
        <f>SUM(F227:R227)</f>
        <v>#REF!</v>
      </c>
      <c r="U227" s="693">
        <f>SUM(U223:U225)</f>
        <v>105394000</v>
      </c>
      <c r="V227" s="791" t="e">
        <f>T227/U227*100</f>
        <v>#REF!</v>
      </c>
      <c r="X227" s="2"/>
      <c r="Y227" s="805"/>
      <c r="Z227" s="805"/>
      <c r="AA227" s="805"/>
      <c r="AB227" s="805"/>
      <c r="AC227" s="805"/>
      <c r="AD227" s="805"/>
      <c r="AE227" s="805"/>
      <c r="AF227" s="805"/>
      <c r="AG227" s="805"/>
      <c r="AH227" s="805"/>
      <c r="AI227" s="805"/>
      <c r="AJ227" s="805"/>
      <c r="AK227" s="805"/>
      <c r="AL227" s="805"/>
      <c r="AM227" s="805"/>
      <c r="AN227" s="805"/>
      <c r="AO227" s="805"/>
      <c r="AP227" s="805"/>
      <c r="AR227" s="805"/>
      <c r="AX227" s="1"/>
      <c r="BD227" s="146"/>
      <c r="BE227" s="146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CH227" s="146"/>
      <c r="DA227" s="2"/>
      <c r="DP227" s="435"/>
      <c r="DQ227" s="146"/>
      <c r="DR227" s="146"/>
      <c r="DS227" s="146"/>
      <c r="DT227" s="146"/>
      <c r="FW227" s="146"/>
      <c r="JR227" s="146"/>
      <c r="JS227" s="146"/>
      <c r="JT227" s="146"/>
      <c r="JU227" s="146"/>
      <c r="OY227" s="146"/>
      <c r="OZ227" s="146"/>
      <c r="PB227" s="146"/>
      <c r="PP227" s="562"/>
      <c r="PT227" s="146"/>
      <c r="RW227" s="562"/>
      <c r="AHF227" s="151"/>
      <c r="AIU227" s="151"/>
      <c r="AIV227" s="151"/>
      <c r="AIW227" s="151"/>
    </row>
    <row r="228" spans="2:933" x14ac:dyDescent="0.25">
      <c r="B228" s="725">
        <v>9</v>
      </c>
      <c r="C228" s="520" t="s">
        <v>24</v>
      </c>
      <c r="D228" s="616"/>
      <c r="E228" s="76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717"/>
      <c r="T228" s="600" t="s">
        <v>132</v>
      </c>
      <c r="U228" s="676" t="s">
        <v>132</v>
      </c>
      <c r="V228" s="777" t="s">
        <v>132</v>
      </c>
      <c r="X228" s="1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R228" s="62"/>
      <c r="AX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DA228" s="1"/>
    </row>
    <row r="229" spans="2:933" x14ac:dyDescent="0.25">
      <c r="B229" s="726"/>
      <c r="C229" s="462" t="s">
        <v>23</v>
      </c>
      <c r="D229" s="617"/>
      <c r="E229" s="496" t="s">
        <v>19</v>
      </c>
      <c r="F229" s="618">
        <v>0</v>
      </c>
      <c r="G229" s="618">
        <f>'[6]FEBUARI 2025'!$AK$238</f>
        <v>13929.277599999999</v>
      </c>
      <c r="H229" s="618">
        <f>'[8]MARET 2025'!$AK$238</f>
        <v>3253.0589999999997</v>
      </c>
      <c r="I229" s="618">
        <v>0</v>
      </c>
      <c r="J229" s="618">
        <v>0</v>
      </c>
      <c r="K229" s="618">
        <f>'JUNI 2025'!AL239</f>
        <v>11483.394299999998</v>
      </c>
      <c r="L229" s="618"/>
      <c r="M229" s="618"/>
      <c r="N229" s="618"/>
      <c r="O229" s="618"/>
      <c r="P229" s="115"/>
      <c r="Q229" s="618"/>
      <c r="R229" s="618"/>
      <c r="T229" s="619">
        <f>SUM(F229:Q229)</f>
        <v>28665.730899999995</v>
      </c>
      <c r="U229" s="694">
        <v>316731.03000000003</v>
      </c>
      <c r="V229" s="769">
        <f>T229/U229*100</f>
        <v>9.0504965364460794</v>
      </c>
      <c r="X229" s="1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R229" s="62"/>
      <c r="AX229" s="1"/>
      <c r="BD229" s="142"/>
      <c r="BE229" s="142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2"/>
      <c r="DA229" s="1"/>
      <c r="DP229" s="5"/>
      <c r="DQ229" s="142"/>
      <c r="DR229" s="142"/>
      <c r="DS229" s="142"/>
      <c r="DT229" s="142"/>
      <c r="FW229" s="142"/>
      <c r="JR229" s="142"/>
      <c r="JS229" s="142"/>
      <c r="JT229" s="142"/>
      <c r="JU229" s="142"/>
      <c r="OY229" s="142"/>
      <c r="OZ229" s="142"/>
      <c r="PB229" s="142"/>
      <c r="PP229" s="145"/>
      <c r="PT229" s="142"/>
      <c r="RW229" s="145"/>
      <c r="AGG229" s="39"/>
      <c r="AHF229" s="141"/>
      <c r="AIU229" s="141"/>
      <c r="AIV229" s="141"/>
      <c r="AIW229" s="141"/>
    </row>
    <row r="230" spans="2:933" x14ac:dyDescent="0.25">
      <c r="B230" s="723"/>
      <c r="C230" s="522" t="s">
        <v>22</v>
      </c>
      <c r="D230" s="620">
        <f>D234</f>
        <v>1460.001</v>
      </c>
      <c r="E230" s="513" t="s">
        <v>19</v>
      </c>
      <c r="F230" s="618">
        <v>0</v>
      </c>
      <c r="G230" s="618">
        <f>'[6]FEBUARI 2025'!$AK$240</f>
        <v>12121.8968</v>
      </c>
      <c r="H230" s="621">
        <f>'[8]MARET 2025'!$AK$240</f>
        <v>2420.2727999999997</v>
      </c>
      <c r="I230" s="618">
        <v>0</v>
      </c>
      <c r="J230" s="618">
        <v>0</v>
      </c>
      <c r="K230" s="621">
        <f>'JUNI 2025'!AL241</f>
        <v>11153.207300000002</v>
      </c>
      <c r="L230" s="621"/>
      <c r="M230" s="618"/>
      <c r="N230" s="618"/>
      <c r="O230" s="618"/>
      <c r="P230" s="115"/>
      <c r="Q230" s="618"/>
      <c r="R230" s="622"/>
      <c r="T230" s="623">
        <f>SUM(F230:Q230)</f>
        <v>25695.376900000003</v>
      </c>
      <c r="U230" s="695">
        <v>316731.03000000003</v>
      </c>
      <c r="V230" s="782">
        <f>T230/U230*100</f>
        <v>8.1126806236824986</v>
      </c>
      <c r="W230" s="816"/>
      <c r="X230" s="1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R230" s="62"/>
      <c r="AX230" s="172" t="e">
        <f>AW230/AW10</f>
        <v>#DIV/0!</v>
      </c>
      <c r="BD230" s="143"/>
      <c r="BE230" s="143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CH230" s="143"/>
      <c r="DA230" s="1"/>
      <c r="DP230" s="515"/>
      <c r="DQ230" s="143"/>
      <c r="DR230" s="143"/>
      <c r="DS230" s="143"/>
      <c r="DT230" s="143"/>
      <c r="FW230" s="143"/>
      <c r="JR230" s="143"/>
      <c r="JS230" s="143"/>
      <c r="JT230" s="143"/>
      <c r="JU230" s="143"/>
      <c r="OY230" s="143"/>
      <c r="OZ230" s="143"/>
      <c r="PB230" s="143"/>
      <c r="PP230" s="152"/>
      <c r="PT230" s="143"/>
      <c r="RW230" s="152"/>
      <c r="AHF230" s="143"/>
      <c r="AIU230" s="143"/>
      <c r="AIV230" s="143"/>
      <c r="AIW230" s="143"/>
    </row>
    <row r="231" spans="2:933" x14ac:dyDescent="0.25">
      <c r="B231" s="729"/>
      <c r="C231" s="578" t="s">
        <v>11</v>
      </c>
      <c r="D231" s="617"/>
      <c r="E231" s="464"/>
      <c r="F231" s="618">
        <v>0</v>
      </c>
      <c r="G231" s="624"/>
      <c r="H231" s="624">
        <v>0</v>
      </c>
      <c r="I231" s="618">
        <v>0</v>
      </c>
      <c r="J231" s="618">
        <v>0</v>
      </c>
      <c r="K231" s="625"/>
      <c r="L231" s="625"/>
      <c r="M231" s="439"/>
      <c r="N231" s="439"/>
      <c r="O231" s="439"/>
      <c r="P231" s="439"/>
      <c r="Q231" s="439"/>
      <c r="R231" s="626"/>
      <c r="S231" s="717"/>
      <c r="T231" s="711" t="s">
        <v>11</v>
      </c>
      <c r="U231" s="696" t="s">
        <v>11</v>
      </c>
      <c r="V231" s="792" t="s">
        <v>11</v>
      </c>
      <c r="X231" s="1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R231" s="62"/>
      <c r="AX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DA231" s="1"/>
    </row>
    <row r="232" spans="2:933" x14ac:dyDescent="0.25">
      <c r="B232" s="729"/>
      <c r="C232" s="462" t="s">
        <v>21</v>
      </c>
      <c r="D232" s="627">
        <v>292</v>
      </c>
      <c r="E232" s="496" t="s">
        <v>19</v>
      </c>
      <c r="F232" s="618">
        <v>0</v>
      </c>
      <c r="G232" s="618">
        <f>'[6]FEBUARI 2025'!$AK$242</f>
        <v>100623.41</v>
      </c>
      <c r="H232" s="618">
        <f>'[8]MARET 2025'!$AK$242</f>
        <v>1579.7199999999998</v>
      </c>
      <c r="I232" s="618">
        <v>0</v>
      </c>
      <c r="J232" s="618">
        <v>0</v>
      </c>
      <c r="K232" s="1524">
        <f>'JUNI 2025'!AL243</f>
        <v>65084.600000000006</v>
      </c>
      <c r="L232" s="618"/>
      <c r="M232" s="618"/>
      <c r="N232" s="618"/>
      <c r="O232" s="618"/>
      <c r="P232" s="115"/>
      <c r="Q232" s="618"/>
      <c r="R232" s="618"/>
      <c r="S232" s="717"/>
      <c r="T232" s="628">
        <f>SUM(F232:Q232)</f>
        <v>167287.73000000001</v>
      </c>
      <c r="U232" s="697">
        <v>47509.77</v>
      </c>
      <c r="V232" s="793">
        <f>T232/U232*100</f>
        <v>352.11227080240553</v>
      </c>
      <c r="X232" s="1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R232" s="62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  <c r="XA232" s="39"/>
      <c r="AFR232" s="39"/>
    </row>
    <row r="233" spans="2:933" x14ac:dyDescent="0.25">
      <c r="B233" s="729"/>
      <c r="C233" s="462" t="s">
        <v>20</v>
      </c>
      <c r="D233" s="627">
        <v>1168.001</v>
      </c>
      <c r="E233" s="496" t="s">
        <v>19</v>
      </c>
      <c r="F233" s="618">
        <v>0</v>
      </c>
      <c r="G233" s="618">
        <v>0</v>
      </c>
      <c r="H233" s="618">
        <v>0</v>
      </c>
      <c r="I233" s="618">
        <v>0</v>
      </c>
      <c r="J233" s="618">
        <v>0</v>
      </c>
      <c r="K233" s="618"/>
      <c r="L233" s="618"/>
      <c r="M233" s="618"/>
      <c r="N233" s="618"/>
      <c r="O233" s="618"/>
      <c r="P233" s="115"/>
      <c r="Q233" s="618"/>
      <c r="R233" s="618"/>
      <c r="S233" s="717"/>
      <c r="T233" s="628">
        <f>SUM(F233:Q233)</f>
        <v>0</v>
      </c>
      <c r="U233" s="697">
        <v>269221.26</v>
      </c>
      <c r="V233" s="793">
        <f>T233/U233*100</f>
        <v>0</v>
      </c>
      <c r="X233" s="1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R233" s="62"/>
      <c r="AX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DA233" s="1"/>
      <c r="WZ233" s="39"/>
    </row>
    <row r="234" spans="2:933" x14ac:dyDescent="0.25">
      <c r="B234" s="735"/>
      <c r="C234" s="629" t="s">
        <v>1</v>
      </c>
      <c r="D234" s="630">
        <f>SUM(D232:D233)</f>
        <v>1460.001</v>
      </c>
      <c r="E234" s="25" t="s">
        <v>19</v>
      </c>
      <c r="F234" s="631">
        <v>0</v>
      </c>
      <c r="G234" s="631">
        <f>'[6]FEBUARI 2025'!$AK$245</f>
        <v>13929.277600000001</v>
      </c>
      <c r="H234" s="631">
        <f>'JUNI 2025'!AL246</f>
        <v>9451.1159496222481</v>
      </c>
      <c r="I234" s="631">
        <v>0</v>
      </c>
      <c r="J234" s="631">
        <v>0</v>
      </c>
      <c r="K234" s="631">
        <f>'JUNI 2025'!AL246</f>
        <v>9451.1159496222481</v>
      </c>
      <c r="L234" s="631"/>
      <c r="M234" s="631"/>
      <c r="N234" s="631"/>
      <c r="O234" s="631"/>
      <c r="P234" s="117"/>
      <c r="Q234" s="631"/>
      <c r="R234" s="631"/>
      <c r="S234" s="731"/>
      <c r="T234" s="117">
        <f>SUM(T232:T233)</f>
        <v>167287.73000000001</v>
      </c>
      <c r="U234" s="698">
        <f>SUM(U232:U233)</f>
        <v>316731.03000000003</v>
      </c>
      <c r="V234" s="793">
        <f>T234/U234*100</f>
        <v>52.816969022580452</v>
      </c>
      <c r="X234" s="1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R234" s="62"/>
      <c r="AX234" s="2"/>
      <c r="BD234" s="151"/>
      <c r="BE234" s="15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51"/>
      <c r="DA234" s="1"/>
      <c r="DP234" s="435"/>
      <c r="DQ234" s="151"/>
      <c r="DR234" s="151"/>
      <c r="DS234" s="151"/>
      <c r="DT234" s="151"/>
      <c r="FW234" s="151"/>
      <c r="JR234" s="151"/>
      <c r="JS234" s="151"/>
      <c r="JT234" s="151"/>
      <c r="JU234" s="151"/>
      <c r="OY234" s="151"/>
      <c r="OZ234" s="151"/>
      <c r="PB234" s="151"/>
      <c r="PP234" s="632"/>
      <c r="PT234" s="151"/>
      <c r="RW234" s="632"/>
      <c r="AHF234" s="151"/>
      <c r="AIU234" s="151"/>
      <c r="AIV234" s="151"/>
      <c r="AIW234" s="151"/>
    </row>
    <row r="235" spans="2:933" x14ac:dyDescent="0.25">
      <c r="B235" s="726">
        <v>10</v>
      </c>
      <c r="C235" s="633" t="s">
        <v>18</v>
      </c>
      <c r="D235" s="634"/>
      <c r="E235" s="119"/>
      <c r="F235" s="635"/>
      <c r="G235" s="635"/>
      <c r="H235" s="635">
        <v>0</v>
      </c>
      <c r="I235" s="635"/>
      <c r="J235" s="635"/>
      <c r="K235" s="635"/>
      <c r="L235" s="635"/>
      <c r="M235" s="635"/>
      <c r="N235" s="635"/>
      <c r="O235" s="635"/>
      <c r="P235" s="635"/>
      <c r="Q235" s="635"/>
      <c r="R235" s="635"/>
      <c r="S235" s="731"/>
      <c r="T235" s="713" t="s">
        <v>133</v>
      </c>
      <c r="U235" s="699" t="s">
        <v>133</v>
      </c>
      <c r="V235" s="794" t="s">
        <v>133</v>
      </c>
      <c r="X235" s="1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R235" s="62"/>
      <c r="AX235" s="2"/>
      <c r="BD235" s="151"/>
      <c r="BE235" s="15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51"/>
      <c r="DA235" s="1"/>
      <c r="DP235" s="435"/>
      <c r="DQ235" s="151"/>
      <c r="DR235" s="151"/>
      <c r="DS235" s="151"/>
      <c r="DT235" s="151"/>
      <c r="FW235" s="151"/>
      <c r="JR235" s="151"/>
      <c r="JS235" s="151"/>
      <c r="JT235" s="151"/>
      <c r="JU235" s="151"/>
      <c r="OY235" s="151"/>
      <c r="OZ235" s="151"/>
      <c r="PB235" s="151"/>
      <c r="PP235" s="632"/>
      <c r="PT235" s="151"/>
      <c r="RW235" s="632"/>
      <c r="AHF235" s="151"/>
      <c r="AIU235" s="151"/>
      <c r="AIV235" s="151"/>
      <c r="AIW235" s="151"/>
    </row>
    <row r="236" spans="2:933" x14ac:dyDescent="0.25">
      <c r="B236" s="729"/>
      <c r="C236" s="462" t="s">
        <v>4</v>
      </c>
      <c r="D236" s="637">
        <f>17000*24</f>
        <v>408000</v>
      </c>
      <c r="E236" s="496" t="s">
        <v>14</v>
      </c>
      <c r="F236" s="282">
        <v>0</v>
      </c>
      <c r="G236" s="282">
        <f>'[6]FEBUARI 2025'!$AK$247</f>
        <v>990381.245</v>
      </c>
      <c r="H236" s="282">
        <f>'[8]MARET 2025'!$AK$247</f>
        <v>537.64499999999998</v>
      </c>
      <c r="I236" s="282">
        <v>0</v>
      </c>
      <c r="J236" s="282">
        <v>0</v>
      </c>
      <c r="K236" s="282" t="str">
        <f>'JUNI 2025'!AL248</f>
        <v>Steam</v>
      </c>
      <c r="L236" s="282"/>
      <c r="M236" s="282"/>
      <c r="N236" s="596"/>
      <c r="O236" s="596"/>
      <c r="P236" s="1739"/>
      <c r="Q236" s="638"/>
      <c r="R236" s="596"/>
      <c r="S236" s="717"/>
      <c r="T236" s="639">
        <f>SUM(F236:Q236)</f>
        <v>990918.89</v>
      </c>
      <c r="U236" s="700">
        <v>110880000</v>
      </c>
      <c r="V236" s="782">
        <f>T236/U236*100</f>
        <v>0.89368586760461766</v>
      </c>
      <c r="W236" s="3"/>
      <c r="X236" s="1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R236" s="62"/>
      <c r="AX236" s="2"/>
      <c r="BD236" s="141"/>
      <c r="BE236" s="14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41"/>
      <c r="DA236" s="1"/>
      <c r="DP236" s="5"/>
      <c r="DQ236" s="141"/>
      <c r="DR236" s="141"/>
      <c r="DS236" s="141"/>
      <c r="DT236" s="141"/>
      <c r="FW236" s="141"/>
      <c r="JR236" s="141"/>
      <c r="JS236" s="141"/>
      <c r="JT236" s="141"/>
      <c r="JU236" s="141"/>
      <c r="OY236" s="141"/>
      <c r="OZ236" s="141"/>
      <c r="PB236" s="141"/>
      <c r="PP236" s="481"/>
      <c r="PT236" s="141"/>
      <c r="RW236" s="481"/>
      <c r="AHF236" s="141"/>
      <c r="AIU236" s="141"/>
      <c r="AIV236" s="141"/>
      <c r="AIW236" s="141"/>
    </row>
    <row r="237" spans="2:933" x14ac:dyDescent="0.25">
      <c r="B237" s="726"/>
      <c r="C237" s="568" t="s">
        <v>17</v>
      </c>
      <c r="D237" s="640"/>
      <c r="E237" s="13"/>
      <c r="F237" s="596"/>
      <c r="G237" s="596"/>
      <c r="H237" s="596">
        <v>0</v>
      </c>
      <c r="I237" s="596"/>
      <c r="J237" s="596"/>
      <c r="K237" s="596"/>
      <c r="L237" s="596"/>
      <c r="M237" s="596"/>
      <c r="N237" s="596"/>
      <c r="O237" s="596"/>
      <c r="P237" s="596"/>
      <c r="Q237" s="596"/>
      <c r="R237" s="596"/>
      <c r="S237" s="731"/>
      <c r="T237" s="714" t="s">
        <v>17</v>
      </c>
      <c r="U237" s="701" t="s">
        <v>17</v>
      </c>
      <c r="V237" s="795" t="s">
        <v>17</v>
      </c>
      <c r="W237" s="27"/>
      <c r="X237" s="1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R237" s="62"/>
      <c r="AX237" s="2"/>
      <c r="BD237" s="151"/>
      <c r="BE237" s="15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51"/>
      <c r="DA237" s="1"/>
      <c r="DP237" s="435"/>
      <c r="DQ237" s="151"/>
      <c r="DR237" s="151"/>
      <c r="DS237" s="151"/>
      <c r="DT237" s="151"/>
      <c r="FW237" s="151"/>
      <c r="JR237" s="151"/>
      <c r="JS237" s="151"/>
      <c r="JT237" s="151"/>
      <c r="JU237" s="151"/>
      <c r="OY237" s="151"/>
      <c r="OZ237" s="151"/>
      <c r="PB237" s="151"/>
      <c r="PP237" s="632"/>
      <c r="PT237" s="151"/>
      <c r="RW237" s="632"/>
      <c r="AHF237" s="151"/>
      <c r="AIU237" s="151"/>
      <c r="AIV237" s="151"/>
      <c r="AIW237" s="151"/>
    </row>
    <row r="238" spans="2:933" x14ac:dyDescent="0.25">
      <c r="B238" s="729"/>
      <c r="C238" s="462" t="s">
        <v>16</v>
      </c>
      <c r="D238" s="637">
        <v>180000</v>
      </c>
      <c r="E238" s="496" t="s">
        <v>14</v>
      </c>
      <c r="F238" s="33">
        <v>0</v>
      </c>
      <c r="G238" s="33">
        <f>'[6]FEBUARI 2025'!$AK$249</f>
        <v>836.87</v>
      </c>
      <c r="H238" s="33">
        <f>'[8]MARET 2025'!$AK$249</f>
        <v>200.51</v>
      </c>
      <c r="I238" s="33">
        <v>0</v>
      </c>
      <c r="J238" s="33">
        <v>0</v>
      </c>
      <c r="K238" s="33">
        <f>'JUNI 2025'!AL250</f>
        <v>102.13059751059855</v>
      </c>
      <c r="L238" s="33"/>
      <c r="M238" s="33"/>
      <c r="N238" s="33"/>
      <c r="O238" s="33"/>
      <c r="P238" s="519"/>
      <c r="Q238" s="439"/>
      <c r="R238" s="439"/>
      <c r="S238" s="717"/>
      <c r="T238" s="54">
        <f>SUM(F238:Q238)</f>
        <v>1139.5105975105987</v>
      </c>
      <c r="U238" s="664">
        <v>41580000</v>
      </c>
      <c r="V238" s="767">
        <f>T238/U238*100</f>
        <v>2.7405257275387174E-3</v>
      </c>
      <c r="W238" s="497"/>
      <c r="X238" s="1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R238" s="62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 x14ac:dyDescent="0.25">
      <c r="B239" s="729"/>
      <c r="C239" s="462" t="s">
        <v>15</v>
      </c>
      <c r="D239" s="637">
        <v>122000</v>
      </c>
      <c r="E239" s="496" t="s">
        <v>14</v>
      </c>
      <c r="F239" s="33">
        <v>0</v>
      </c>
      <c r="G239" s="33">
        <f>'[6]FEBUARI 2025'!$AK$251</f>
        <v>173581.89199999999</v>
      </c>
      <c r="H239" s="33">
        <f>'[8]MARET 2025'!$AK$251</f>
        <v>127.407</v>
      </c>
      <c r="I239" s="33">
        <v>0</v>
      </c>
      <c r="J239" s="33">
        <v>0</v>
      </c>
      <c r="K239" s="33">
        <f>'JUNI 2025'!AL252</f>
        <v>44.386779300076959</v>
      </c>
      <c r="L239" s="33"/>
      <c r="M239" s="33"/>
      <c r="N239" s="33"/>
      <c r="O239" s="33"/>
      <c r="P239" s="519"/>
      <c r="Q239" s="439"/>
      <c r="R239" s="439"/>
      <c r="S239" s="717"/>
      <c r="T239" s="54">
        <f>SUM(F239:Q239)</f>
        <v>173753.68577930008</v>
      </c>
      <c r="U239" s="664">
        <v>28182000</v>
      </c>
      <c r="V239" s="767">
        <f>T239/U239*100</f>
        <v>0.61654135895003936</v>
      </c>
      <c r="X239" s="1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R239" s="62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</row>
    <row r="240" spans="2:933" x14ac:dyDescent="0.25">
      <c r="B240" s="729"/>
      <c r="C240" s="462" t="s">
        <v>7</v>
      </c>
      <c r="D240" s="637">
        <f>D236-D238-D239</f>
        <v>106000</v>
      </c>
      <c r="E240" s="496" t="s">
        <v>14</v>
      </c>
      <c r="F240" s="439">
        <v>0</v>
      </c>
      <c r="G240" s="439">
        <f>'[6]FEBUARI 2025'!$AK$253</f>
        <v>815962.48300000012</v>
      </c>
      <c r="H240" s="439">
        <f>'[8]MARET 2025'!$AK$253</f>
        <v>209.72800000000001</v>
      </c>
      <c r="I240" s="439">
        <v>0</v>
      </c>
      <c r="J240" s="439">
        <v>0</v>
      </c>
      <c r="K240" s="439">
        <f>'JUNI 2025'!AL254</f>
        <v>23.927690866212018</v>
      </c>
      <c r="L240" s="33"/>
      <c r="M240" s="439"/>
      <c r="N240" s="439"/>
      <c r="O240" s="439"/>
      <c r="P240" s="1185"/>
      <c r="Q240" s="439"/>
      <c r="R240" s="439"/>
      <c r="S240" s="717"/>
      <c r="T240" s="54">
        <f>SUM(F240:Q240)</f>
        <v>816196.1386908663</v>
      </c>
      <c r="U240" s="664">
        <v>41118000</v>
      </c>
      <c r="V240" s="767">
        <f>T240/U240*100</f>
        <v>1.9850093357917855</v>
      </c>
      <c r="X240" s="1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R240" s="62"/>
      <c r="AX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DA240" s="1"/>
    </row>
    <row r="241" spans="2:933" x14ac:dyDescent="0.25">
      <c r="B241" s="726"/>
      <c r="C241" s="578" t="s">
        <v>1</v>
      </c>
      <c r="D241" s="641">
        <f>SUM(D238:D240)</f>
        <v>408000</v>
      </c>
      <c r="E241" s="496" t="s">
        <v>14</v>
      </c>
      <c r="F241" s="596">
        <v>0</v>
      </c>
      <c r="G241" s="596">
        <f>'[6]FEBUARI 2025'!$AK$255</f>
        <v>990381.245</v>
      </c>
      <c r="H241" s="596">
        <f>'[8]MARET 2025'!$AK$255</f>
        <v>537.64499999999998</v>
      </c>
      <c r="I241" s="596">
        <v>0</v>
      </c>
      <c r="J241" s="596">
        <v>0</v>
      </c>
      <c r="K241" s="596">
        <f>'JUNI 2025'!AL256</f>
        <v>33.816127344309578</v>
      </c>
      <c r="L241" s="596"/>
      <c r="M241" s="596"/>
      <c r="N241" s="596"/>
      <c r="O241" s="596"/>
      <c r="P241" s="54"/>
      <c r="Q241" s="596"/>
      <c r="R241" s="596"/>
      <c r="S241" s="731"/>
      <c r="T241" s="642">
        <f>SUM(T238:T240)</f>
        <v>991089.33506767696</v>
      </c>
      <c r="U241" s="702">
        <f>SUM(U238:U240)</f>
        <v>110880000</v>
      </c>
      <c r="V241" s="767">
        <f>T241/U241*100</f>
        <v>0.89383958790374907</v>
      </c>
      <c r="X241" s="1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R241" s="62"/>
      <c r="AX241" s="2"/>
      <c r="BD241" s="151"/>
      <c r="BE241" s="15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CH241" s="151"/>
      <c r="DA241" s="1"/>
      <c r="DP241" s="435"/>
      <c r="DQ241" s="151"/>
      <c r="DR241" s="151"/>
      <c r="DS241" s="151"/>
      <c r="DT241" s="151"/>
      <c r="FW241" s="151"/>
      <c r="JR241" s="151"/>
      <c r="JS241" s="151"/>
      <c r="JT241" s="151"/>
      <c r="JU241" s="151"/>
      <c r="OY241" s="151"/>
      <c r="OZ241" s="151"/>
      <c r="PB241" s="151"/>
      <c r="PP241" s="632"/>
      <c r="PT241" s="151"/>
      <c r="RW241" s="632"/>
      <c r="AHF241" s="151"/>
      <c r="AIU241" s="151"/>
      <c r="AIV241" s="151"/>
      <c r="AIW241" s="151"/>
    </row>
    <row r="242" spans="2:933" x14ac:dyDescent="0.25">
      <c r="B242" s="725">
        <v>11</v>
      </c>
      <c r="C242" s="520" t="s">
        <v>13</v>
      </c>
      <c r="D242" s="643"/>
      <c r="E242" s="76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717"/>
      <c r="T242" s="636" t="s">
        <v>134</v>
      </c>
      <c r="U242" s="699" t="s">
        <v>134</v>
      </c>
      <c r="V242" s="794" t="s">
        <v>134</v>
      </c>
      <c r="X242" s="1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R242" s="62"/>
      <c r="AX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DA242" s="1"/>
    </row>
    <row r="243" spans="2:933" ht="16.5" x14ac:dyDescent="0.25">
      <c r="B243" s="730"/>
      <c r="C243" s="571" t="s">
        <v>12</v>
      </c>
      <c r="D243" s="644">
        <v>750</v>
      </c>
      <c r="E243" s="572" t="s">
        <v>350</v>
      </c>
      <c r="F243" s="580">
        <v>0</v>
      </c>
      <c r="G243" s="580">
        <f>'[6]FEBUARI 2025'!$AK$257</f>
        <v>12166</v>
      </c>
      <c r="H243" s="580">
        <f>'[8]MARET 2025'!$AK$257</f>
        <v>3462</v>
      </c>
      <c r="I243" s="580">
        <v>0</v>
      </c>
      <c r="J243" s="580">
        <v>0</v>
      </c>
      <c r="K243" s="580" t="str">
        <f>'JUNI 2025'!AL258</f>
        <v>Water</v>
      </c>
      <c r="L243" s="580"/>
      <c r="M243" s="580"/>
      <c r="N243" s="580"/>
      <c r="O243" s="580"/>
      <c r="P243" s="1739"/>
      <c r="Q243" s="645"/>
      <c r="R243" s="645"/>
      <c r="T243" s="646">
        <f>SUM(F243:Q243)</f>
        <v>15628</v>
      </c>
      <c r="U243" s="703">
        <v>232503.81</v>
      </c>
      <c r="V243" s="782">
        <f>T243/U243*100</f>
        <v>6.7216102824293511</v>
      </c>
      <c r="W243" s="817"/>
      <c r="X243" s="1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R243" s="62"/>
      <c r="AX243" s="172">
        <f>AW243/4</f>
        <v>0</v>
      </c>
      <c r="BD243" s="144"/>
      <c r="BE243" s="144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4"/>
      <c r="DA243" s="1"/>
      <c r="DP243" s="516"/>
      <c r="DQ243" s="144"/>
      <c r="DR243" s="144"/>
      <c r="DS243" s="144"/>
      <c r="DT243" s="144"/>
      <c r="FW243" s="144"/>
      <c r="JR243" s="144"/>
      <c r="JS243" s="144"/>
      <c r="JT243" s="144"/>
      <c r="JU243" s="144"/>
      <c r="OY243" s="144"/>
      <c r="OZ243" s="144"/>
      <c r="PB243" s="144"/>
      <c r="PP243" s="509"/>
      <c r="PT243" s="144"/>
      <c r="RW243" s="509"/>
      <c r="AHF243" s="144"/>
      <c r="AIU243" s="144"/>
      <c r="AIV243" s="144"/>
      <c r="AIW243" s="144"/>
    </row>
    <row r="244" spans="2:933" x14ac:dyDescent="0.25">
      <c r="B244" s="730"/>
      <c r="C244" s="647" t="s">
        <v>11</v>
      </c>
      <c r="D244" s="648"/>
      <c r="E244" s="438"/>
      <c r="F244" s="274"/>
      <c r="G244" s="274">
        <v>0</v>
      </c>
      <c r="H244" s="274">
        <v>0</v>
      </c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T244" s="709" t="s">
        <v>11</v>
      </c>
      <c r="U244" s="704" t="s">
        <v>11</v>
      </c>
      <c r="V244" s="796" t="s">
        <v>11</v>
      </c>
      <c r="X244" s="1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R244" s="62"/>
      <c r="AX244" s="16"/>
      <c r="BD244" s="144"/>
      <c r="BE244" s="144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44"/>
      <c r="DA244" s="1"/>
      <c r="DP244" s="516"/>
      <c r="DQ244" s="144"/>
      <c r="DR244" s="144"/>
      <c r="DS244" s="144"/>
      <c r="DT244" s="144"/>
      <c r="FW244" s="144"/>
      <c r="JR244" s="144"/>
      <c r="JS244" s="144"/>
      <c r="JT244" s="144"/>
      <c r="JU244" s="144"/>
      <c r="OY244" s="144"/>
      <c r="OZ244" s="144"/>
      <c r="PB244" s="144"/>
      <c r="PP244" s="509"/>
      <c r="PT244" s="144"/>
      <c r="RW244" s="509"/>
      <c r="AHF244" s="144"/>
      <c r="AIU244" s="144"/>
      <c r="AIV244" s="144"/>
      <c r="AIW244" s="144"/>
    </row>
    <row r="245" spans="2:933" ht="16.5" x14ac:dyDescent="0.25">
      <c r="B245" s="730"/>
      <c r="C245" s="571" t="s">
        <v>10</v>
      </c>
      <c r="D245" s="649">
        <v>91.5</v>
      </c>
      <c r="E245" s="572" t="s">
        <v>350</v>
      </c>
      <c r="F245" s="29">
        <v>0</v>
      </c>
      <c r="G245" s="29">
        <f>'[6]FEBUARI 2025'!$AK$259</f>
        <v>1430</v>
      </c>
      <c r="H245" s="2020">
        <f>'[8]MARET 2025'!$AK$259</f>
        <v>308</v>
      </c>
      <c r="I245" s="29">
        <v>0</v>
      </c>
      <c r="J245" s="29">
        <v>0</v>
      </c>
      <c r="K245" s="29">
        <f>'JUNI 2025'!AL260</f>
        <v>5429</v>
      </c>
      <c r="L245" s="29"/>
      <c r="M245" s="29"/>
      <c r="N245" s="29"/>
      <c r="O245" s="29"/>
      <c r="P245" s="519"/>
      <c r="Q245" s="274"/>
      <c r="R245" s="274"/>
      <c r="T245" s="650">
        <f>SUM(F245:Q245)</f>
        <v>7167</v>
      </c>
      <c r="U245" s="705">
        <v>18496.169999999998</v>
      </c>
      <c r="V245" s="797">
        <f>T245/U245*100</f>
        <v>38.748562540244826</v>
      </c>
      <c r="W245" s="651"/>
      <c r="X245" s="1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R245" s="62"/>
      <c r="AX245" s="16"/>
      <c r="BD245" s="144"/>
      <c r="BE245" s="144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4"/>
      <c r="DA245" s="1"/>
      <c r="DP245" s="516"/>
      <c r="DQ245" s="144"/>
      <c r="DR245" s="144"/>
      <c r="DS245" s="144"/>
      <c r="DT245" s="144"/>
      <c r="FW245" s="144"/>
      <c r="JR245" s="144"/>
      <c r="JS245" s="144"/>
      <c r="JT245" s="144"/>
      <c r="JU245" s="144"/>
      <c r="OY245" s="144"/>
      <c r="OZ245" s="144"/>
      <c r="PB245" s="144"/>
      <c r="PP245" s="509"/>
      <c r="PT245" s="144"/>
      <c r="RW245" s="509"/>
      <c r="AFR245" s="652" t="e">
        <f>#REF!-T245</f>
        <v>#REF!</v>
      </c>
      <c r="AHF245" s="144"/>
      <c r="AIU245" s="144"/>
      <c r="AIV245" s="144"/>
      <c r="AIW245" s="144"/>
    </row>
    <row r="246" spans="2:933" ht="16.5" x14ac:dyDescent="0.25">
      <c r="B246" s="730"/>
      <c r="C246" s="571" t="s">
        <v>9</v>
      </c>
      <c r="D246" s="649">
        <v>179.63</v>
      </c>
      <c r="E246" s="572" t="s">
        <v>350</v>
      </c>
      <c r="F246" s="29">
        <v>0</v>
      </c>
      <c r="G246" s="29">
        <f>'[6]FEBUARI 2025'!$AK$261</f>
        <v>895</v>
      </c>
      <c r="H246" s="2020">
        <f>'[8]MARET 2025'!$AK$261</f>
        <v>218</v>
      </c>
      <c r="I246" s="29">
        <v>0</v>
      </c>
      <c r="J246" s="29">
        <v>0</v>
      </c>
      <c r="K246" s="29">
        <f>'JUNI 2025'!AL262</f>
        <v>71.800739530775715</v>
      </c>
      <c r="L246" s="29"/>
      <c r="M246" s="29"/>
      <c r="N246" s="29"/>
      <c r="O246" s="29"/>
      <c r="P246" s="519"/>
      <c r="Q246" s="274"/>
      <c r="R246" s="274"/>
      <c r="T246" s="650">
        <f>SUM(F246:Q246)</f>
        <v>1184.8007395307757</v>
      </c>
      <c r="U246" s="705">
        <v>31949.61</v>
      </c>
      <c r="V246" s="797">
        <f>T246/U246*100</f>
        <v>3.7083417904968967</v>
      </c>
      <c r="X246" s="1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R246" s="62"/>
      <c r="AX246" s="16"/>
      <c r="BD246" s="144"/>
      <c r="BE246" s="144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4"/>
      <c r="DA246" s="1"/>
      <c r="DP246" s="516"/>
      <c r="DQ246" s="144"/>
      <c r="DR246" s="144"/>
      <c r="DS246" s="144"/>
      <c r="DT246" s="144"/>
      <c r="FW246" s="144"/>
      <c r="JR246" s="144"/>
      <c r="JS246" s="144"/>
      <c r="JT246" s="144"/>
      <c r="JU246" s="144"/>
      <c r="OY246" s="144"/>
      <c r="OZ246" s="144"/>
      <c r="PB246" s="144"/>
      <c r="PP246" s="509"/>
      <c r="PT246" s="144"/>
      <c r="RW246" s="509"/>
      <c r="AFR246" s="652" t="e">
        <f>#REF!-T246</f>
        <v>#REF!</v>
      </c>
      <c r="AHF246" s="144"/>
      <c r="AIU246" s="144"/>
      <c r="AIV246" s="144"/>
      <c r="AIW246" s="144"/>
    </row>
    <row r="247" spans="2:933" ht="16.5" x14ac:dyDescent="0.25">
      <c r="B247" s="730"/>
      <c r="C247" s="571" t="s">
        <v>8</v>
      </c>
      <c r="D247" s="644">
        <f>44.69%*D243</f>
        <v>335.17499999999995</v>
      </c>
      <c r="E247" s="572" t="s">
        <v>350</v>
      </c>
      <c r="F247" s="274">
        <v>0</v>
      </c>
      <c r="G247" s="274">
        <f>'[6]FEBUARI 2025'!$AK$263</f>
        <v>4089</v>
      </c>
      <c r="H247" s="2019">
        <f>'[8]MARET 2025'!$AK$263</f>
        <v>1072</v>
      </c>
      <c r="I247" s="274">
        <v>0</v>
      </c>
      <c r="J247" s="274">
        <v>0</v>
      </c>
      <c r="K247" s="274">
        <f>'JUNI 2025'!AL264</f>
        <v>53.392962593958266</v>
      </c>
      <c r="L247" s="274"/>
      <c r="M247" s="274"/>
      <c r="N247" s="274"/>
      <c r="O247" s="274"/>
      <c r="P247" s="519"/>
      <c r="Q247" s="274"/>
      <c r="R247" s="274"/>
      <c r="T247" s="650">
        <f>SUM(F247:Q247)</f>
        <v>5214.3929625939581</v>
      </c>
      <c r="U247" s="705">
        <v>134857.79999999999</v>
      </c>
      <c r="V247" s="797">
        <f>T247/U247*100</f>
        <v>3.8665861096606635</v>
      </c>
      <c r="W247" s="652"/>
      <c r="X247" s="1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R247" s="62"/>
      <c r="AX247" s="16"/>
      <c r="BD247" s="144"/>
      <c r="BE247" s="144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4"/>
      <c r="DA247" s="1"/>
      <c r="DP247" s="516"/>
      <c r="DQ247" s="144"/>
      <c r="DR247" s="144"/>
      <c r="DS247" s="144"/>
      <c r="DT247" s="144"/>
      <c r="FW247" s="144"/>
      <c r="JR247" s="144"/>
      <c r="JS247" s="144"/>
      <c r="JT247" s="144"/>
      <c r="JU247" s="144"/>
      <c r="OY247" s="144"/>
      <c r="OZ247" s="144"/>
      <c r="PB247" s="144"/>
      <c r="PP247" s="509"/>
      <c r="PT247" s="144"/>
      <c r="RW247" s="509"/>
      <c r="AHF247" s="144"/>
      <c r="AIU247" s="144"/>
      <c r="AIV247" s="144"/>
      <c r="AIW247" s="144"/>
    </row>
    <row r="248" spans="2:933" ht="16.5" x14ac:dyDescent="0.25">
      <c r="B248" s="730"/>
      <c r="C248" s="571" t="s">
        <v>7</v>
      </c>
      <c r="D248" s="644">
        <f>D243-SUM(D245:D247)</f>
        <v>143.69500000000005</v>
      </c>
      <c r="E248" s="572" t="s">
        <v>350</v>
      </c>
      <c r="F248" s="274">
        <v>0</v>
      </c>
      <c r="G248" s="274">
        <f>'[6]FEBUARI 2025'!$AK$264</f>
        <v>5752</v>
      </c>
      <c r="H248" s="2019">
        <f>'[8]MARET 2025'!$AK$264</f>
        <v>1864</v>
      </c>
      <c r="I248" s="274">
        <v>0</v>
      </c>
      <c r="J248" s="274">
        <v>0</v>
      </c>
      <c r="K248" s="274">
        <f>'JUNI 2025'!AL265</f>
        <v>3200</v>
      </c>
      <c r="L248" s="274"/>
      <c r="M248" s="274"/>
      <c r="N248" s="274"/>
      <c r="O248" s="274"/>
      <c r="P248" s="519"/>
      <c r="Q248" s="274"/>
      <c r="R248" s="274"/>
      <c r="T248" s="650">
        <f>SUM(F248:Q248)</f>
        <v>10816</v>
      </c>
      <c r="U248" s="705">
        <f>143.7*231</f>
        <v>33194.699999999997</v>
      </c>
      <c r="V248" s="797">
        <f>T248/U248*100</f>
        <v>32.583514838212132</v>
      </c>
      <c r="W248" s="818"/>
      <c r="X248" s="1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R248" s="62"/>
      <c r="AX248" s="16"/>
      <c r="BD248" s="144"/>
      <c r="BE248" s="144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4"/>
      <c r="DA248" s="1"/>
      <c r="DP248" s="516"/>
      <c r="DQ248" s="144"/>
      <c r="DR248" s="144"/>
      <c r="DS248" s="144"/>
      <c r="DT248" s="144"/>
      <c r="FW248" s="144"/>
      <c r="JR248" s="144"/>
      <c r="JS248" s="144"/>
      <c r="JT248" s="144"/>
      <c r="JU248" s="144"/>
      <c r="OY248" s="144"/>
      <c r="OZ248" s="144"/>
      <c r="PB248" s="144"/>
      <c r="PP248" s="509"/>
      <c r="PT248" s="144"/>
      <c r="RW248" s="509"/>
      <c r="AHF248" s="144"/>
      <c r="AIU248" s="144"/>
      <c r="AIV248" s="144"/>
      <c r="AIW248" s="144"/>
    </row>
    <row r="249" spans="2:933" ht="16.5" x14ac:dyDescent="0.25">
      <c r="B249" s="730"/>
      <c r="C249" s="571" t="s">
        <v>6</v>
      </c>
      <c r="D249" s="644">
        <f>30%*D243</f>
        <v>225</v>
      </c>
      <c r="E249" s="572" t="s">
        <v>350</v>
      </c>
      <c r="F249" s="274">
        <v>0</v>
      </c>
      <c r="G249" s="274">
        <f>'[6]FEBUARI 2025'!$AK$265</f>
        <v>1967</v>
      </c>
      <c r="H249" s="274">
        <f>'[8]MARET 2025'!$AK$265</f>
        <v>434</v>
      </c>
      <c r="I249" s="274">
        <v>0</v>
      </c>
      <c r="J249" s="274">
        <v>0</v>
      </c>
      <c r="K249" s="274">
        <f>'JUNI 2025'!AL266</f>
        <v>2712</v>
      </c>
      <c r="L249" s="274"/>
      <c r="M249" s="274"/>
      <c r="N249" s="274"/>
      <c r="O249" s="274"/>
      <c r="P249" s="1748"/>
      <c r="Q249" s="274"/>
      <c r="R249" s="274"/>
      <c r="T249" s="650">
        <f>SUM(F249:Q249)</f>
        <v>5113</v>
      </c>
      <c r="U249" s="705">
        <v>47200.23</v>
      </c>
      <c r="V249" s="797">
        <f>T249/U249*100</f>
        <v>10.832574332794564</v>
      </c>
      <c r="X249" s="1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R249" s="62"/>
      <c r="AX249" s="16"/>
      <c r="BD249" s="144"/>
      <c r="BE249" s="144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CH249" s="144"/>
      <c r="DA249" s="1"/>
      <c r="DP249" s="516"/>
      <c r="DQ249" s="144"/>
      <c r="DR249" s="144"/>
      <c r="DS249" s="144"/>
      <c r="DT249" s="144"/>
      <c r="FW249" s="144"/>
      <c r="JR249" s="144"/>
      <c r="JS249" s="144"/>
      <c r="JT249" s="144"/>
      <c r="JU249" s="144"/>
      <c r="OY249" s="144"/>
      <c r="OZ249" s="144"/>
      <c r="PB249" s="144"/>
      <c r="PP249" s="509"/>
      <c r="PT249" s="144"/>
      <c r="RW249" s="509"/>
      <c r="AHF249" s="144"/>
      <c r="AIU249" s="144"/>
      <c r="AIV249" s="144"/>
      <c r="AIW249" s="144"/>
    </row>
    <row r="250" spans="2:933" x14ac:dyDescent="0.25">
      <c r="B250" s="2343">
        <v>12</v>
      </c>
      <c r="C250" s="520" t="s">
        <v>5</v>
      </c>
      <c r="D250" s="643"/>
      <c r="E250" s="76"/>
      <c r="F250" s="50"/>
      <c r="G250" s="50"/>
      <c r="H250" s="50">
        <v>0</v>
      </c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717"/>
      <c r="T250" s="653" t="s">
        <v>135</v>
      </c>
      <c r="U250" s="706" t="s">
        <v>135</v>
      </c>
      <c r="V250" s="798" t="s">
        <v>135</v>
      </c>
      <c r="X250" s="1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R250" s="62"/>
      <c r="AX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DA250" s="1"/>
    </row>
    <row r="251" spans="2:933" x14ac:dyDescent="0.25">
      <c r="B251" s="2344"/>
      <c r="C251" s="654" t="s">
        <v>4</v>
      </c>
      <c r="D251" s="655"/>
      <c r="E251" s="656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717"/>
      <c r="T251" s="711" t="s">
        <v>4</v>
      </c>
      <c r="U251" s="696" t="s">
        <v>4</v>
      </c>
      <c r="V251" s="792" t="s">
        <v>4</v>
      </c>
      <c r="X251" s="1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R251" s="62"/>
      <c r="AX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DA251" s="1"/>
    </row>
    <row r="252" spans="2:933" x14ac:dyDescent="0.25">
      <c r="B252" s="2344"/>
      <c r="C252" s="522" t="s">
        <v>3</v>
      </c>
      <c r="D252" s="637">
        <v>28770</v>
      </c>
      <c r="E252" s="477" t="s">
        <v>2</v>
      </c>
      <c r="F252" s="439">
        <v>0</v>
      </c>
      <c r="G252" s="439">
        <f>'[6]FEBUARI 2025'!$AK$269</f>
        <v>496.29999999999995</v>
      </c>
      <c r="H252" s="597">
        <f>'[8]MARET 2025'!$AK$269</f>
        <v>114.8</v>
      </c>
      <c r="I252" s="439">
        <v>0</v>
      </c>
      <c r="J252" s="439">
        <v>0</v>
      </c>
      <c r="K252" s="597" t="str">
        <f>'JUNI 2025'!AL270</f>
        <v>Incoming</v>
      </c>
      <c r="L252" s="439"/>
      <c r="M252" s="597"/>
      <c r="N252" s="439"/>
      <c r="O252" s="439"/>
      <c r="P252" s="1749"/>
      <c r="Q252" s="1734"/>
      <c r="R252" s="439"/>
      <c r="S252" s="717"/>
      <c r="T252" s="450">
        <f>SUM(F252:Q252)</f>
        <v>611.09999999999991</v>
      </c>
      <c r="U252" s="666">
        <v>6906893</v>
      </c>
      <c r="V252" s="769">
        <f>T252/U252*100</f>
        <v>8.8476830320087466E-3</v>
      </c>
      <c r="X252" s="1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R252" s="62"/>
      <c r="AX252" s="172">
        <f>AW252/4</f>
        <v>0</v>
      </c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 ht="15.75" thickBot="1" x14ac:dyDescent="0.3">
      <c r="B253" s="2344"/>
      <c r="C253" s="654" t="s">
        <v>1</v>
      </c>
      <c r="D253" s="640"/>
      <c r="E253" s="69" t="s">
        <v>0</v>
      </c>
      <c r="F253" s="596">
        <v>0</v>
      </c>
      <c r="G253" s="596">
        <f>G252</f>
        <v>496.29999999999995</v>
      </c>
      <c r="H253" s="596">
        <f>H252</f>
        <v>114.8</v>
      </c>
      <c r="I253" s="596">
        <v>0</v>
      </c>
      <c r="J253" s="596">
        <v>0</v>
      </c>
      <c r="K253" s="596">
        <f>'JUNI 2025'!AL271</f>
        <v>44.78</v>
      </c>
      <c r="L253" s="596"/>
      <c r="M253" s="596"/>
      <c r="N253" s="596"/>
      <c r="O253" s="596"/>
      <c r="P253" s="596"/>
      <c r="Q253" s="1735"/>
      <c r="R253" s="596"/>
      <c r="S253" s="718"/>
      <c r="T253" s="642">
        <f>SUM(F253:Q253)</f>
        <v>655.87999999999988</v>
      </c>
      <c r="U253" s="659">
        <v>9666771</v>
      </c>
      <c r="V253" s="799">
        <f>T253/U253*100</f>
        <v>6.784892287197036E-3</v>
      </c>
      <c r="W253" s="415"/>
      <c r="X253" s="1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R253" s="62"/>
      <c r="AX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DA253" s="1"/>
    </row>
    <row r="254" spans="2:933" x14ac:dyDescent="0.25">
      <c r="B254" s="2344"/>
      <c r="C254" s="743" t="s">
        <v>16</v>
      </c>
      <c r="D254" s="749"/>
      <c r="E254" s="749"/>
      <c r="F254" s="750"/>
      <c r="G254" s="750"/>
      <c r="H254" s="750"/>
      <c r="I254" s="750"/>
      <c r="J254" s="750"/>
      <c r="K254" s="750"/>
      <c r="L254" s="532"/>
      <c r="M254" s="532"/>
      <c r="N254" s="750"/>
      <c r="O254" s="750"/>
      <c r="P254" s="750"/>
      <c r="Q254" s="750"/>
      <c r="R254" s="657"/>
      <c r="S254" s="749"/>
      <c r="T254" s="124" t="s">
        <v>16</v>
      </c>
      <c r="AO254" s="62"/>
      <c r="AP254" s="800"/>
      <c r="AQ254" s="62"/>
      <c r="AS254" s="62"/>
      <c r="BX254" s="1"/>
      <c r="BY254" s="1"/>
      <c r="BZ254" s="1"/>
      <c r="DB254" s="1"/>
    </row>
    <row r="255" spans="2:933" ht="15.75" thickBot="1" x14ac:dyDescent="0.3">
      <c r="B255" s="2344"/>
      <c r="C255" s="744" t="s">
        <v>119</v>
      </c>
      <c r="D255" s="747">
        <v>5404.17</v>
      </c>
      <c r="E255" s="748" t="s">
        <v>2</v>
      </c>
      <c r="F255" s="823">
        <v>0</v>
      </c>
      <c r="G255" s="532">
        <f>'[6]FEBUARI 2025'!$AK$274</f>
        <v>129287.00000000001</v>
      </c>
      <c r="H255" s="532">
        <f>'[8]MARET 2025'!$AK$272</f>
        <v>23943.4</v>
      </c>
      <c r="I255" s="823">
        <v>0</v>
      </c>
      <c r="J255" s="823">
        <v>0</v>
      </c>
      <c r="K255" s="532" t="str">
        <f>'JUNI 2025'!AL273</f>
        <v>Refinery</v>
      </c>
      <c r="L255" s="823"/>
      <c r="M255" s="823"/>
      <c r="N255" s="825"/>
      <c r="O255" s="825"/>
      <c r="P255" s="1750"/>
      <c r="Q255" s="532"/>
      <c r="R255" s="657"/>
      <c r="S255" s="749"/>
      <c r="T255" s="642">
        <f>SUM(E255:Q255)</f>
        <v>153230.40000000002</v>
      </c>
      <c r="U255" s="658">
        <f>SUM(F255:S255)</f>
        <v>153230.40000000002</v>
      </c>
    </row>
    <row r="256" spans="2:933" ht="15.75" thickBot="1" x14ac:dyDescent="0.3">
      <c r="B256" s="2344"/>
      <c r="C256" s="744" t="s">
        <v>120</v>
      </c>
      <c r="D256" s="747">
        <v>3850.42</v>
      </c>
      <c r="E256" s="748" t="s">
        <v>2</v>
      </c>
      <c r="F256" s="823">
        <v>0</v>
      </c>
      <c r="G256" s="532">
        <f>'[6]FEBUARI 2025'!$AK$272</f>
        <v>158148.79999999999</v>
      </c>
      <c r="H256" s="532">
        <f>'[8]MARET 2025'!$AK$274</f>
        <v>28307.8</v>
      </c>
      <c r="I256" s="823">
        <v>0</v>
      </c>
      <c r="J256" s="823">
        <v>0</v>
      </c>
      <c r="K256" s="532">
        <f>'JUNI 2025'!AL275</f>
        <v>7.6214885073625513</v>
      </c>
      <c r="L256" s="823"/>
      <c r="M256" s="823"/>
      <c r="N256" s="825"/>
      <c r="O256" s="825"/>
      <c r="P256" s="825"/>
      <c r="Q256" s="532"/>
      <c r="R256" s="657"/>
      <c r="S256" s="749"/>
      <c r="T256" s="642">
        <f>SUM(E256:Q256)</f>
        <v>186464.22148850735</v>
      </c>
      <c r="U256" s="659">
        <f>SUM(F256:S256)</f>
        <v>186464.22148850735</v>
      </c>
    </row>
    <row r="257" spans="2:40" ht="15.75" thickBot="1" x14ac:dyDescent="0.3">
      <c r="B257" s="2344"/>
      <c r="C257" s="745" t="s">
        <v>15</v>
      </c>
      <c r="D257" s="747"/>
      <c r="E257" s="749"/>
      <c r="F257" s="823"/>
      <c r="G257" s="532"/>
      <c r="H257" s="532"/>
      <c r="I257" s="823"/>
      <c r="J257" s="823"/>
      <c r="K257" s="532"/>
      <c r="L257" s="823"/>
      <c r="M257" s="823"/>
      <c r="N257" s="825"/>
      <c r="O257" s="825"/>
      <c r="P257" s="825"/>
      <c r="Q257" s="532"/>
      <c r="R257" s="657"/>
      <c r="S257" s="749"/>
      <c r="T257" s="125" t="s">
        <v>15</v>
      </c>
    </row>
    <row r="258" spans="2:40" ht="15.75" thickBot="1" x14ac:dyDescent="0.3">
      <c r="B258" s="2344"/>
      <c r="C258" s="744" t="s">
        <v>121</v>
      </c>
      <c r="D258" s="747">
        <v>5759.67</v>
      </c>
      <c r="E258" s="748" t="s">
        <v>2</v>
      </c>
      <c r="F258" s="823">
        <v>0</v>
      </c>
      <c r="G258" s="532">
        <f>'[6]FEBUARI 2025'!$AK$279</f>
        <v>76079.8</v>
      </c>
      <c r="H258" s="532">
        <f>'[8]MARET 2025'!$AK$277</f>
        <v>2889.6</v>
      </c>
      <c r="I258" s="823">
        <v>0</v>
      </c>
      <c r="J258" s="823">
        <v>0</v>
      </c>
      <c r="K258" s="532" t="str">
        <f>'JUNI 2025'!AL278</f>
        <v>Fractionation</v>
      </c>
      <c r="L258" s="823"/>
      <c r="M258" s="823"/>
      <c r="N258" s="825"/>
      <c r="O258" s="825"/>
      <c r="P258" s="825"/>
      <c r="Q258" s="532"/>
      <c r="R258" s="657"/>
      <c r="S258" s="749"/>
      <c r="T258" s="642">
        <f>SUM(E258:Q258)</f>
        <v>78969.400000000009</v>
      </c>
      <c r="U258" s="660">
        <f>SUM(F258:S258)</f>
        <v>78969.400000000009</v>
      </c>
    </row>
    <row r="259" spans="2:40" ht="15.75" thickBot="1" x14ac:dyDescent="0.3">
      <c r="B259" s="2344"/>
      <c r="C259" s="744" t="s">
        <v>120</v>
      </c>
      <c r="D259" s="747">
        <v>1308.96</v>
      </c>
      <c r="E259" s="748" t="s">
        <v>2</v>
      </c>
      <c r="F259" s="823">
        <v>0</v>
      </c>
      <c r="G259" s="532">
        <f>'[6]FEBUARI 2025'!$AK$277</f>
        <v>108720</v>
      </c>
      <c r="H259" s="532">
        <f>'[8]MARET 2025'!$AK$279</f>
        <v>18452.600000000002</v>
      </c>
      <c r="I259" s="823">
        <v>0</v>
      </c>
      <c r="J259" s="823">
        <v>0</v>
      </c>
      <c r="K259" s="532">
        <f>'JUNI 2025'!AL280</f>
        <v>8.4439565264381997</v>
      </c>
      <c r="L259" s="823"/>
      <c r="M259" s="823"/>
      <c r="N259" s="825"/>
      <c r="O259" s="825"/>
      <c r="P259" s="825"/>
      <c r="Q259" s="532"/>
      <c r="R259" s="657"/>
      <c r="S259" s="749"/>
      <c r="T259" s="642">
        <f>SUM(E259:Q259)</f>
        <v>127181.04395652644</v>
      </c>
      <c r="U259" s="659">
        <f>SUM(F259:S259)</f>
        <v>127181.04395652644</v>
      </c>
    </row>
    <row r="260" spans="2:40" ht="15.75" thickBot="1" x14ac:dyDescent="0.3">
      <c r="B260" s="2344"/>
      <c r="C260" s="745" t="s">
        <v>7</v>
      </c>
      <c r="D260" s="747"/>
      <c r="E260" s="749"/>
      <c r="F260" s="823"/>
      <c r="G260" s="532">
        <v>0</v>
      </c>
      <c r="H260" s="532"/>
      <c r="I260" s="823"/>
      <c r="J260" s="823"/>
      <c r="K260" s="532"/>
      <c r="L260" s="823"/>
      <c r="M260" s="823"/>
      <c r="N260" s="825"/>
      <c r="O260" s="825"/>
      <c r="P260" s="825"/>
      <c r="Q260" s="532"/>
      <c r="R260" s="657"/>
      <c r="S260" s="749"/>
      <c r="T260" s="125" t="s">
        <v>7</v>
      </c>
      <c r="AL260" s="433"/>
      <c r="AM260" s="433"/>
      <c r="AN260" s="433"/>
    </row>
    <row r="261" spans="2:40" ht="15.75" thickBot="1" x14ac:dyDescent="0.3">
      <c r="B261" s="2344"/>
      <c r="C261" s="744" t="s">
        <v>122</v>
      </c>
      <c r="D261" s="747">
        <v>11.81</v>
      </c>
      <c r="E261" s="748" t="s">
        <v>2</v>
      </c>
      <c r="F261" s="823">
        <v>0</v>
      </c>
      <c r="G261" s="532">
        <v>0</v>
      </c>
      <c r="H261" s="532"/>
      <c r="I261" s="823">
        <v>0</v>
      </c>
      <c r="J261" s="823">
        <v>0</v>
      </c>
      <c r="K261" s="532"/>
      <c r="L261" s="823"/>
      <c r="M261" s="823"/>
      <c r="N261" s="825"/>
      <c r="O261" s="825"/>
      <c r="P261" s="825"/>
      <c r="Q261" s="532"/>
      <c r="R261" s="657"/>
      <c r="S261" s="749"/>
      <c r="T261" s="642">
        <f>SUM(E261:Q261)</f>
        <v>0</v>
      </c>
      <c r="U261" s="660">
        <f>SUM(F261:S261)</f>
        <v>0</v>
      </c>
      <c r="AL261" s="433"/>
      <c r="AM261" s="433"/>
      <c r="AN261" s="433"/>
    </row>
    <row r="262" spans="2:40" ht="15.75" thickBot="1" x14ac:dyDescent="0.3">
      <c r="B262" s="2345"/>
      <c r="C262" s="746" t="s">
        <v>123</v>
      </c>
      <c r="D262" s="753">
        <v>241.12</v>
      </c>
      <c r="E262" s="754" t="s">
        <v>2</v>
      </c>
      <c r="F262" s="824"/>
      <c r="G262" s="736">
        <v>0</v>
      </c>
      <c r="H262" s="736"/>
      <c r="I262" s="824"/>
      <c r="J262" s="824"/>
      <c r="K262" s="736"/>
      <c r="L262" s="824"/>
      <c r="M262" s="824"/>
      <c r="N262" s="826"/>
      <c r="O262" s="826"/>
      <c r="P262" s="826"/>
      <c r="Q262" s="736"/>
      <c r="R262" s="737"/>
      <c r="S262" s="751"/>
      <c r="T262" s="752">
        <f>SUM(E262:Q262)</f>
        <v>0</v>
      </c>
      <c r="U262" s="659">
        <f>SUM(F262:S262)</f>
        <v>0</v>
      </c>
      <c r="AL262" s="433"/>
      <c r="AM262" s="433"/>
      <c r="AN262" s="433"/>
    </row>
    <row r="263" spans="2:40" x14ac:dyDescent="0.25">
      <c r="I263" s="1"/>
      <c r="AK263" s="4"/>
      <c r="AL263" s="4"/>
    </row>
    <row r="264" spans="2:40" x14ac:dyDescent="0.25">
      <c r="I264" s="1"/>
      <c r="P264" s="415"/>
      <c r="AK264" s="4"/>
      <c r="AL264" s="4"/>
    </row>
    <row r="265" spans="2:40" x14ac:dyDescent="0.25">
      <c r="I265" s="1"/>
      <c r="P265" s="415"/>
    </row>
  </sheetData>
  <mergeCells count="12">
    <mergeCell ref="F4:R4"/>
    <mergeCell ref="B6:B68"/>
    <mergeCell ref="B250:B262"/>
    <mergeCell ref="B4:B5"/>
    <mergeCell ref="C4:C5"/>
    <mergeCell ref="D4:D5"/>
    <mergeCell ref="E4:E5"/>
    <mergeCell ref="AF33:AG33"/>
    <mergeCell ref="AF35:AG35"/>
    <mergeCell ref="AF36:AG36"/>
    <mergeCell ref="AH36:AL36"/>
    <mergeCell ref="B69:B7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99BF-79B4-42E8-803D-EFA336CC22EC}">
  <dimension ref="B3:P40"/>
  <sheetViews>
    <sheetView zoomScale="80" zoomScaleNormal="80" workbookViewId="0">
      <selection activeCell="F55" sqref="F55"/>
    </sheetView>
  </sheetViews>
  <sheetFormatPr defaultRowHeight="15" x14ac:dyDescent="0.25"/>
  <cols>
    <col min="1" max="1" width="4" customWidth="1"/>
    <col min="2" max="2" width="11.140625" customWidth="1"/>
    <col min="3" max="3" width="16" bestFit="1" customWidth="1"/>
    <col min="4" max="4" width="16.42578125" hidden="1" customWidth="1"/>
    <col min="5" max="5" width="60" customWidth="1"/>
    <col min="6" max="8" width="9.42578125" customWidth="1"/>
    <col min="9" max="9" width="5.42578125" customWidth="1"/>
    <col min="10" max="10" width="9.42578125" hidden="1" customWidth="1"/>
    <col min="11" max="11" width="10.5703125" customWidth="1"/>
    <col min="12" max="12" width="15.140625" customWidth="1"/>
    <col min="13" max="13" width="39.42578125" customWidth="1"/>
    <col min="14" max="14" width="8.5703125" bestFit="1" customWidth="1"/>
    <col min="15" max="15" width="8.42578125" customWidth="1"/>
  </cols>
  <sheetData>
    <row r="3" spans="2:16" x14ac:dyDescent="0.25">
      <c r="B3" s="2358" t="s">
        <v>1109</v>
      </c>
      <c r="C3" s="2358"/>
      <c r="D3" s="2358"/>
      <c r="E3" s="2358"/>
      <c r="F3" s="2358"/>
      <c r="G3" s="2358"/>
      <c r="H3" s="1525"/>
      <c r="I3" s="1525"/>
      <c r="J3" s="1525"/>
      <c r="K3" s="2357" t="s">
        <v>1110</v>
      </c>
      <c r="L3" s="2357"/>
      <c r="M3" s="2357"/>
      <c r="N3" s="2357"/>
      <c r="O3" s="2357"/>
      <c r="P3" s="2357"/>
    </row>
    <row r="4" spans="2:16" ht="15.6" customHeight="1" x14ac:dyDescent="0.25">
      <c r="B4" s="1526"/>
      <c r="C4" s="1527"/>
      <c r="D4" s="1527"/>
      <c r="E4" s="1528"/>
      <c r="F4" s="16"/>
      <c r="G4" s="16"/>
      <c r="H4" s="16"/>
      <c r="I4" s="16"/>
      <c r="J4" s="16"/>
      <c r="L4" s="2109"/>
    </row>
    <row r="5" spans="2:16" ht="15.6" customHeight="1" thickBot="1" x14ac:dyDescent="0.3">
      <c r="B5" s="1529" t="s">
        <v>1112</v>
      </c>
      <c r="C5" s="1527"/>
      <c r="D5" s="1527"/>
      <c r="E5" s="1528"/>
      <c r="F5" s="16"/>
      <c r="G5" s="16"/>
      <c r="H5" s="16"/>
      <c r="I5" s="16"/>
      <c r="J5" s="16"/>
      <c r="K5" t="s">
        <v>1111</v>
      </c>
      <c r="L5" s="2109"/>
    </row>
    <row r="6" spans="2:16" ht="15.6" customHeight="1" thickTop="1" thickBot="1" x14ac:dyDescent="0.3">
      <c r="B6" s="2359" t="s">
        <v>174</v>
      </c>
      <c r="C6" s="2361" t="s">
        <v>823</v>
      </c>
      <c r="D6" s="2361" t="s">
        <v>1081</v>
      </c>
      <c r="E6" s="2363" t="s">
        <v>824</v>
      </c>
      <c r="F6" s="2365" t="s">
        <v>825</v>
      </c>
      <c r="G6" s="2366"/>
      <c r="H6" s="2367"/>
      <c r="I6" s="1531"/>
      <c r="J6" s="516" t="s">
        <v>826</v>
      </c>
      <c r="K6" s="2355" t="s">
        <v>174</v>
      </c>
      <c r="L6" s="2355" t="s">
        <v>823</v>
      </c>
      <c r="M6" s="2355" t="s">
        <v>824</v>
      </c>
      <c r="N6" s="2352" t="s">
        <v>825</v>
      </c>
      <c r="O6" s="2353"/>
      <c r="P6" s="2354"/>
    </row>
    <row r="7" spans="2:16" ht="16.5" thickTop="1" thickBot="1" x14ac:dyDescent="0.3">
      <c r="B7" s="2360"/>
      <c r="C7" s="2362"/>
      <c r="D7" s="2362"/>
      <c r="E7" s="2364"/>
      <c r="F7" s="1532" t="s">
        <v>827</v>
      </c>
      <c r="G7" s="1533" t="s">
        <v>828</v>
      </c>
      <c r="H7" s="1532" t="s">
        <v>25</v>
      </c>
      <c r="I7" s="1531"/>
      <c r="J7" s="1531"/>
      <c r="K7" s="2356"/>
      <c r="L7" s="2356"/>
      <c r="M7" s="2356"/>
      <c r="N7" s="2117" t="s">
        <v>827</v>
      </c>
      <c r="O7" s="2117" t="s">
        <v>828</v>
      </c>
      <c r="P7" s="2117" t="s">
        <v>25</v>
      </c>
    </row>
    <row r="8" spans="2:16" ht="15.6" hidden="1" customHeight="1" thickTop="1" thickBot="1" x14ac:dyDescent="0.3">
      <c r="B8" s="1534">
        <v>1</v>
      </c>
      <c r="C8" s="1535">
        <v>0</v>
      </c>
      <c r="D8" s="1539">
        <f>(C8/1000)*24</f>
        <v>0</v>
      </c>
      <c r="E8" s="2108" t="s">
        <v>1076</v>
      </c>
      <c r="F8" s="1536"/>
      <c r="G8" s="1536">
        <f>(2500-(C8/1000))/105</f>
        <v>23.80952380952381</v>
      </c>
      <c r="H8" s="1537">
        <f>C8/2500/1000</f>
        <v>0</v>
      </c>
      <c r="I8" s="1538"/>
      <c r="J8" s="1539">
        <f t="shared" ref="J8:J38" si="0">(C8/1000)/24</f>
        <v>0</v>
      </c>
      <c r="K8" s="2110">
        <v>1</v>
      </c>
      <c r="L8" s="2111">
        <v>0</v>
      </c>
      <c r="M8" s="2110" t="s">
        <v>1076</v>
      </c>
      <c r="N8" s="2112"/>
      <c r="O8" s="2112">
        <v>23.80952380952381</v>
      </c>
      <c r="P8" s="2113">
        <v>0</v>
      </c>
    </row>
    <row r="9" spans="2:16" ht="15.6" hidden="1" customHeight="1" thickTop="1" thickBot="1" x14ac:dyDescent="0.3">
      <c r="B9" s="1540">
        <v>2</v>
      </c>
      <c r="C9" s="1541">
        <v>0</v>
      </c>
      <c r="D9" s="1539">
        <f t="shared" ref="D9:D38" si="1">(C9/1000)*24</f>
        <v>0</v>
      </c>
      <c r="E9" s="2108" t="s">
        <v>1076</v>
      </c>
      <c r="F9" s="1542"/>
      <c r="G9" s="1536">
        <f t="shared" ref="G9:G38" si="2">(2500-(C9/1000))/105</f>
        <v>23.80952380952381</v>
      </c>
      <c r="H9" s="1537">
        <f t="shared" ref="H9:H38" si="3">C9/2500/1000</f>
        <v>0</v>
      </c>
      <c r="I9" s="1538"/>
      <c r="J9" s="1539">
        <f t="shared" si="0"/>
        <v>0</v>
      </c>
      <c r="K9" s="2110">
        <v>2</v>
      </c>
      <c r="L9" s="2111">
        <v>0</v>
      </c>
      <c r="M9" s="2110" t="s">
        <v>1076</v>
      </c>
      <c r="N9" s="2112"/>
      <c r="O9" s="2112">
        <v>23.80952380952381</v>
      </c>
      <c r="P9" s="2113">
        <v>0</v>
      </c>
    </row>
    <row r="10" spans="2:16" ht="15.6" hidden="1" customHeight="1" thickTop="1" thickBot="1" x14ac:dyDescent="0.3">
      <c r="B10" s="1544">
        <v>3</v>
      </c>
      <c r="C10" s="1541">
        <v>0</v>
      </c>
      <c r="D10" s="1539">
        <f t="shared" si="1"/>
        <v>0</v>
      </c>
      <c r="E10" s="2108" t="s">
        <v>1076</v>
      </c>
      <c r="F10" s="1542"/>
      <c r="G10" s="1536">
        <f t="shared" si="2"/>
        <v>23.80952380952381</v>
      </c>
      <c r="H10" s="1537">
        <f t="shared" si="3"/>
        <v>0</v>
      </c>
      <c r="I10" s="1538"/>
      <c r="J10" s="1539">
        <f t="shared" si="0"/>
        <v>0</v>
      </c>
      <c r="K10" s="2110">
        <v>3</v>
      </c>
      <c r="L10" s="2111">
        <v>0</v>
      </c>
      <c r="M10" s="2110" t="s">
        <v>1076</v>
      </c>
      <c r="N10" s="2112"/>
      <c r="O10" s="2112">
        <v>23.80952380952381</v>
      </c>
      <c r="P10" s="2113">
        <v>0</v>
      </c>
    </row>
    <row r="11" spans="2:16" ht="15.6" hidden="1" customHeight="1" thickTop="1" thickBot="1" x14ac:dyDescent="0.3">
      <c r="B11" s="1544">
        <v>4</v>
      </c>
      <c r="C11" s="1541">
        <v>0</v>
      </c>
      <c r="D11" s="1539">
        <f t="shared" si="1"/>
        <v>0</v>
      </c>
      <c r="E11" s="2108" t="s">
        <v>1076</v>
      </c>
      <c r="F11" s="1542"/>
      <c r="G11" s="1536">
        <f t="shared" si="2"/>
        <v>23.80952380952381</v>
      </c>
      <c r="H11" s="1537">
        <f t="shared" si="3"/>
        <v>0</v>
      </c>
      <c r="I11" s="1538"/>
      <c r="J11" s="1539">
        <f t="shared" si="0"/>
        <v>0</v>
      </c>
      <c r="K11" s="2110">
        <v>4</v>
      </c>
      <c r="L11" s="2111">
        <v>0</v>
      </c>
      <c r="M11" s="2110" t="s">
        <v>1076</v>
      </c>
      <c r="N11" s="2112"/>
      <c r="O11" s="2112">
        <v>23.80952380952381</v>
      </c>
      <c r="P11" s="2113">
        <v>0</v>
      </c>
    </row>
    <row r="12" spans="2:16" ht="15.6" hidden="1" customHeight="1" thickTop="1" thickBot="1" x14ac:dyDescent="0.3">
      <c r="B12" s="1544">
        <v>5</v>
      </c>
      <c r="C12" s="1541">
        <v>0</v>
      </c>
      <c r="D12" s="1539">
        <f t="shared" si="1"/>
        <v>0</v>
      </c>
      <c r="E12" s="2108" t="s">
        <v>1076</v>
      </c>
      <c r="F12" s="1542"/>
      <c r="G12" s="1536">
        <f t="shared" si="2"/>
        <v>23.80952380952381</v>
      </c>
      <c r="H12" s="1537">
        <f t="shared" si="3"/>
        <v>0</v>
      </c>
      <c r="I12" s="1538"/>
      <c r="J12" s="1539">
        <f t="shared" si="0"/>
        <v>0</v>
      </c>
      <c r="K12" s="2110">
        <v>5</v>
      </c>
      <c r="L12" s="2111">
        <v>0</v>
      </c>
      <c r="M12" s="2110" t="s">
        <v>1076</v>
      </c>
      <c r="N12" s="2112"/>
      <c r="O12" s="2112">
        <v>23.80952380952381</v>
      </c>
      <c r="P12" s="2113">
        <v>0</v>
      </c>
    </row>
    <row r="13" spans="2:16" ht="15.6" hidden="1" customHeight="1" thickTop="1" thickBot="1" x14ac:dyDescent="0.3">
      <c r="B13" s="1544">
        <v>6</v>
      </c>
      <c r="C13" s="1541">
        <v>0</v>
      </c>
      <c r="D13" s="1539">
        <f t="shared" si="1"/>
        <v>0</v>
      </c>
      <c r="E13" s="2108" t="s">
        <v>1076</v>
      </c>
      <c r="F13" s="1542"/>
      <c r="G13" s="1536">
        <f t="shared" si="2"/>
        <v>23.80952380952381</v>
      </c>
      <c r="H13" s="1537">
        <f t="shared" si="3"/>
        <v>0</v>
      </c>
      <c r="I13" s="1538"/>
      <c r="J13" s="1539">
        <f t="shared" si="0"/>
        <v>0</v>
      </c>
      <c r="K13" s="2110">
        <v>6</v>
      </c>
      <c r="L13" s="2111">
        <v>0</v>
      </c>
      <c r="M13" s="2110" t="s">
        <v>1076</v>
      </c>
      <c r="N13" s="2112"/>
      <c r="O13" s="2112">
        <v>23.80952380952381</v>
      </c>
      <c r="P13" s="2113">
        <v>0</v>
      </c>
    </row>
    <row r="14" spans="2:16" ht="15.6" hidden="1" customHeight="1" thickTop="1" thickBot="1" x14ac:dyDescent="0.3">
      <c r="B14" s="1544">
        <v>7</v>
      </c>
      <c r="C14" s="1541">
        <v>0</v>
      </c>
      <c r="D14" s="1539">
        <f t="shared" si="1"/>
        <v>0</v>
      </c>
      <c r="E14" s="2108" t="s">
        <v>1076</v>
      </c>
      <c r="F14" s="1547"/>
      <c r="G14" s="1536">
        <f t="shared" si="2"/>
        <v>23.80952380952381</v>
      </c>
      <c r="H14" s="1537">
        <f t="shared" si="3"/>
        <v>0</v>
      </c>
      <c r="I14" s="1538"/>
      <c r="J14" s="1539">
        <f t="shared" si="0"/>
        <v>0</v>
      </c>
      <c r="K14" s="2110">
        <v>7</v>
      </c>
      <c r="L14" s="2111">
        <v>0</v>
      </c>
      <c r="M14" s="2110" t="s">
        <v>1076</v>
      </c>
      <c r="N14" s="2112"/>
      <c r="O14" s="2112">
        <v>23.80952380952381</v>
      </c>
      <c r="P14" s="2113">
        <v>0</v>
      </c>
    </row>
    <row r="15" spans="2:16" ht="16.5" thickTop="1" thickBot="1" x14ac:dyDescent="0.3">
      <c r="B15" s="1544">
        <v>8</v>
      </c>
      <c r="C15" s="1541">
        <v>738858</v>
      </c>
      <c r="D15" s="1539">
        <f>(C15/1000)*24</f>
        <v>17732.591999999997</v>
      </c>
      <c r="E15" s="2108" t="s">
        <v>1077</v>
      </c>
      <c r="F15" s="2116"/>
      <c r="G15" s="1536">
        <f t="shared" si="2"/>
        <v>16.772780952380952</v>
      </c>
      <c r="H15" s="1537">
        <f t="shared" si="3"/>
        <v>0.29554320000000001</v>
      </c>
      <c r="I15" s="1538"/>
      <c r="J15" s="1539">
        <f t="shared" si="0"/>
        <v>30.785749999999997</v>
      </c>
      <c r="K15" s="2118">
        <v>8</v>
      </c>
      <c r="L15" s="2114">
        <v>190528</v>
      </c>
      <c r="M15" s="2115" t="s">
        <v>1077</v>
      </c>
      <c r="N15" s="2112"/>
      <c r="O15" s="2116">
        <f t="shared" ref="O15:O25" si="4">(2500-(L15/1000))/105</f>
        <v>21.994971428571432</v>
      </c>
      <c r="P15" s="1537">
        <f t="shared" ref="P15:P25" si="5">L15/2500/1000</f>
        <v>7.6211200000000007E-2</v>
      </c>
    </row>
    <row r="16" spans="2:16" ht="16.5" thickTop="1" thickBot="1" x14ac:dyDescent="0.3">
      <c r="B16" s="1544">
        <v>9</v>
      </c>
      <c r="C16" s="1541">
        <v>2231331</v>
      </c>
      <c r="D16" s="1539">
        <f t="shared" si="1"/>
        <v>53551.944000000003</v>
      </c>
      <c r="E16" s="2108" t="s">
        <v>1082</v>
      </c>
      <c r="F16" s="2116"/>
      <c r="G16" s="1536">
        <f t="shared" si="2"/>
        <v>2.5587523809523796</v>
      </c>
      <c r="H16" s="1537">
        <f t="shared" si="3"/>
        <v>0.8925324</v>
      </c>
      <c r="I16" s="1538"/>
      <c r="J16" s="1539">
        <f t="shared" si="0"/>
        <v>92.972125000000005</v>
      </c>
      <c r="K16" s="2118">
        <v>9</v>
      </c>
      <c r="L16" s="2114">
        <v>1817708</v>
      </c>
      <c r="M16" s="2115" t="s">
        <v>1097</v>
      </c>
      <c r="N16" s="2112"/>
      <c r="O16" s="2116">
        <f t="shared" si="4"/>
        <v>6.4980190476190467</v>
      </c>
      <c r="P16" s="1537">
        <f t="shared" si="5"/>
        <v>0.72708320000000004</v>
      </c>
    </row>
    <row r="17" spans="2:16" ht="16.5" thickTop="1" thickBot="1" x14ac:dyDescent="0.3">
      <c r="B17" s="1544">
        <v>10</v>
      </c>
      <c r="C17" s="1541">
        <v>2186600</v>
      </c>
      <c r="D17" s="1539">
        <f t="shared" si="1"/>
        <v>52478.399999999994</v>
      </c>
      <c r="E17" s="2108" t="s">
        <v>1113</v>
      </c>
      <c r="F17" s="2116"/>
      <c r="G17" s="1536">
        <f t="shared" si="2"/>
        <v>2.9847619047619056</v>
      </c>
      <c r="H17" s="1537">
        <f t="shared" si="3"/>
        <v>0.87463999999999997</v>
      </c>
      <c r="I17" s="1538"/>
      <c r="J17" s="1539">
        <f t="shared" si="0"/>
        <v>91.108333333333334</v>
      </c>
      <c r="K17" s="2118">
        <v>10</v>
      </c>
      <c r="L17" s="2114">
        <v>2405788</v>
      </c>
      <c r="M17" s="2115" t="s">
        <v>1098</v>
      </c>
      <c r="N17" s="2112"/>
      <c r="O17" s="2116">
        <f t="shared" si="4"/>
        <v>0.89725714285714275</v>
      </c>
      <c r="P17" s="1537">
        <f t="shared" si="5"/>
        <v>0.96231520000000004</v>
      </c>
    </row>
    <row r="18" spans="2:16" ht="16.5" thickTop="1" thickBot="1" x14ac:dyDescent="0.3">
      <c r="B18" s="1544">
        <v>11</v>
      </c>
      <c r="C18" s="1541">
        <v>2513351</v>
      </c>
      <c r="D18" s="1539">
        <f t="shared" si="1"/>
        <v>60320.423999999999</v>
      </c>
      <c r="E18" s="2108" t="s">
        <v>1078</v>
      </c>
      <c r="F18" s="2116"/>
      <c r="G18" s="2120" t="s">
        <v>1114</v>
      </c>
      <c r="H18" s="1537">
        <f t="shared" si="3"/>
        <v>1.0053404000000001</v>
      </c>
      <c r="I18" s="1538"/>
      <c r="J18" s="1539">
        <f t="shared" si="0"/>
        <v>104.72295833333334</v>
      </c>
      <c r="K18" s="2118">
        <v>11</v>
      </c>
      <c r="L18" s="2114">
        <v>2393434</v>
      </c>
      <c r="M18" s="2115" t="s">
        <v>1098</v>
      </c>
      <c r="N18" s="2112"/>
      <c r="O18" s="2116">
        <f t="shared" si="4"/>
        <v>1.0149142857142839</v>
      </c>
      <c r="P18" s="1537">
        <f t="shared" si="5"/>
        <v>0.95737360000000005</v>
      </c>
    </row>
    <row r="19" spans="2:16" ht="16.5" thickTop="1" thickBot="1" x14ac:dyDescent="0.3">
      <c r="B19" s="1544">
        <v>12</v>
      </c>
      <c r="C19" s="1541">
        <v>2299670</v>
      </c>
      <c r="D19" s="1539">
        <f t="shared" si="1"/>
        <v>55192.08</v>
      </c>
      <c r="E19" s="2108" t="s">
        <v>1084</v>
      </c>
      <c r="F19" s="2116"/>
      <c r="G19" s="1536">
        <f t="shared" si="2"/>
        <v>1.9079047619047611</v>
      </c>
      <c r="H19" s="1537">
        <f t="shared" si="3"/>
        <v>0.91986800000000002</v>
      </c>
      <c r="I19" s="1538"/>
      <c r="J19" s="1539">
        <f t="shared" si="0"/>
        <v>95.819583333333341</v>
      </c>
      <c r="K19" s="2118">
        <v>12</v>
      </c>
      <c r="L19" s="2114">
        <v>2405045</v>
      </c>
      <c r="M19" s="2115" t="s">
        <v>1099</v>
      </c>
      <c r="N19" s="2112"/>
      <c r="O19" s="2116">
        <f t="shared" si="4"/>
        <v>0.90433333333333266</v>
      </c>
      <c r="P19" s="1537">
        <f t="shared" si="5"/>
        <v>0.96201800000000004</v>
      </c>
    </row>
    <row r="20" spans="2:16" ht="16.5" thickTop="1" thickBot="1" x14ac:dyDescent="0.3">
      <c r="B20" s="1544">
        <v>13</v>
      </c>
      <c r="C20" s="1541">
        <v>1987933</v>
      </c>
      <c r="D20" s="1539">
        <f t="shared" si="1"/>
        <v>47710.392</v>
      </c>
      <c r="E20" s="2108" t="s">
        <v>1084</v>
      </c>
      <c r="F20" s="2116"/>
      <c r="G20" s="1536">
        <f t="shared" si="2"/>
        <v>4.8768285714285717</v>
      </c>
      <c r="H20" s="1537">
        <f t="shared" si="3"/>
        <v>0.79517319999999991</v>
      </c>
      <c r="I20" s="1538"/>
      <c r="J20" s="1539">
        <f t="shared" si="0"/>
        <v>82.830541666666662</v>
      </c>
      <c r="K20" s="2118">
        <v>13</v>
      </c>
      <c r="L20" s="2114">
        <v>1825948</v>
      </c>
      <c r="M20" s="2115" t="s">
        <v>1099</v>
      </c>
      <c r="N20" s="2112"/>
      <c r="O20" s="2116">
        <f t="shared" si="4"/>
        <v>6.4195428571428561</v>
      </c>
      <c r="P20" s="1537">
        <f t="shared" si="5"/>
        <v>0.73037920000000001</v>
      </c>
    </row>
    <row r="21" spans="2:16" ht="16.5" thickTop="1" thickBot="1" x14ac:dyDescent="0.3">
      <c r="B21" s="1544">
        <v>14</v>
      </c>
      <c r="C21" s="1541">
        <v>1601122</v>
      </c>
      <c r="D21" s="1539">
        <f t="shared" si="1"/>
        <v>38426.928</v>
      </c>
      <c r="E21" s="2108" t="s">
        <v>1116</v>
      </c>
      <c r="F21" s="2116"/>
      <c r="G21" s="1536">
        <f t="shared" si="2"/>
        <v>8.5607428571428557</v>
      </c>
      <c r="H21" s="1537">
        <f t="shared" si="3"/>
        <v>0.64044880000000004</v>
      </c>
      <c r="I21" s="1538"/>
      <c r="J21" s="1539">
        <f t="shared" si="0"/>
        <v>66.713416666666674</v>
      </c>
      <c r="K21" s="2118">
        <v>14</v>
      </c>
      <c r="L21" s="2114">
        <v>2236014</v>
      </c>
      <c r="M21" s="2115" t="s">
        <v>1099</v>
      </c>
      <c r="N21" s="2112"/>
      <c r="O21" s="2116">
        <f t="shared" si="4"/>
        <v>2.5141523809523796</v>
      </c>
      <c r="P21" s="1537">
        <f t="shared" si="5"/>
        <v>0.89440560000000002</v>
      </c>
    </row>
    <row r="22" spans="2:16" ht="30" thickTop="1" thickBot="1" x14ac:dyDescent="0.3">
      <c r="B22" s="1544">
        <v>15</v>
      </c>
      <c r="C22" s="1541">
        <v>2010199</v>
      </c>
      <c r="D22" s="1539">
        <f t="shared" si="1"/>
        <v>48244.775999999998</v>
      </c>
      <c r="E22" s="2108" t="s">
        <v>1117</v>
      </c>
      <c r="F22" s="2116"/>
      <c r="G22" s="1536">
        <f t="shared" si="2"/>
        <v>4.6647714285714281</v>
      </c>
      <c r="H22" s="1537">
        <f t="shared" si="3"/>
        <v>0.80407960000000001</v>
      </c>
      <c r="I22" s="1538"/>
      <c r="J22" s="1539">
        <f t="shared" si="0"/>
        <v>83.758291666666665</v>
      </c>
      <c r="K22" s="2118">
        <v>15</v>
      </c>
      <c r="L22" s="2114">
        <v>1160345</v>
      </c>
      <c r="M22" s="2115" t="s">
        <v>1100</v>
      </c>
      <c r="N22" s="2112"/>
      <c r="O22" s="2116">
        <f>(2500-(L22/1000))/105</f>
        <v>12.758619047619048</v>
      </c>
      <c r="P22" s="1537">
        <f t="shared" si="5"/>
        <v>0.464138</v>
      </c>
    </row>
    <row r="23" spans="2:16" ht="30" thickTop="1" thickBot="1" x14ac:dyDescent="0.3">
      <c r="B23" s="1544">
        <v>16</v>
      </c>
      <c r="C23" s="1541">
        <v>1922414</v>
      </c>
      <c r="D23" s="1539">
        <f t="shared" si="1"/>
        <v>46137.936000000002</v>
      </c>
      <c r="E23" s="2108" t="s">
        <v>1117</v>
      </c>
      <c r="F23" s="2116"/>
      <c r="G23" s="1536">
        <f t="shared" si="2"/>
        <v>5.5008190476190482</v>
      </c>
      <c r="H23" s="1537">
        <f t="shared" si="3"/>
        <v>0.76896560000000003</v>
      </c>
      <c r="I23" s="1538"/>
      <c r="J23" s="1539">
        <f t="shared" si="0"/>
        <v>80.100583333333333</v>
      </c>
      <c r="K23" s="2118">
        <v>16</v>
      </c>
      <c r="L23" s="2114">
        <v>1890275</v>
      </c>
      <c r="M23" s="2115" t="s">
        <v>1100</v>
      </c>
      <c r="N23" s="2112"/>
      <c r="O23" s="2116">
        <f t="shared" si="4"/>
        <v>5.8069047619047609</v>
      </c>
      <c r="P23" s="1537">
        <f t="shared" si="5"/>
        <v>0.75611000000000006</v>
      </c>
    </row>
    <row r="24" spans="2:16" ht="16.5" thickTop="1" thickBot="1" x14ac:dyDescent="0.3">
      <c r="B24" s="1544">
        <v>17</v>
      </c>
      <c r="C24" s="1541">
        <v>321709</v>
      </c>
      <c r="D24" s="1539">
        <f t="shared" si="1"/>
        <v>7721.0159999999996</v>
      </c>
      <c r="E24" s="2108" t="s">
        <v>1115</v>
      </c>
      <c r="F24" s="2116"/>
      <c r="G24" s="1536">
        <f t="shared" si="2"/>
        <v>20.745628571428572</v>
      </c>
      <c r="H24" s="1537">
        <f t="shared" si="3"/>
        <v>0.12868360000000001</v>
      </c>
      <c r="I24" s="1538"/>
      <c r="J24" s="1539">
        <f t="shared" si="0"/>
        <v>13.404541666666667</v>
      </c>
      <c r="K24" s="2118">
        <v>17</v>
      </c>
      <c r="L24" s="2114">
        <v>1443135</v>
      </c>
      <c r="M24" s="2115" t="s">
        <v>1100</v>
      </c>
      <c r="N24" s="2112"/>
      <c r="O24" s="2116">
        <f t="shared" si="4"/>
        <v>10.065380952380952</v>
      </c>
      <c r="P24" s="1537">
        <f t="shared" si="5"/>
        <v>0.57725400000000004</v>
      </c>
    </row>
    <row r="25" spans="2:16" ht="15.6" hidden="1" customHeight="1" thickTop="1" thickBot="1" x14ac:dyDescent="0.3">
      <c r="B25" s="1545">
        <v>18</v>
      </c>
      <c r="C25" s="1541">
        <v>0</v>
      </c>
      <c r="D25" s="1539">
        <f t="shared" si="1"/>
        <v>0</v>
      </c>
      <c r="E25" s="2108" t="s">
        <v>1076</v>
      </c>
      <c r="F25" s="1542"/>
      <c r="G25" s="1536">
        <f t="shared" si="2"/>
        <v>23.80952380952381</v>
      </c>
      <c r="H25" s="1537">
        <f t="shared" si="3"/>
        <v>0</v>
      </c>
      <c r="I25" s="1538"/>
      <c r="J25" s="1539">
        <f t="shared" si="0"/>
        <v>0</v>
      </c>
      <c r="K25" s="2110">
        <v>18</v>
      </c>
      <c r="L25" s="2114">
        <v>24387</v>
      </c>
      <c r="M25" s="2115" t="s">
        <v>1076</v>
      </c>
      <c r="N25" s="2112"/>
      <c r="O25" s="1542">
        <f t="shared" si="4"/>
        <v>23.577266666666667</v>
      </c>
      <c r="P25" s="1537">
        <f t="shared" si="5"/>
        <v>9.7547999999999992E-3</v>
      </c>
    </row>
    <row r="26" spans="2:16" ht="15.6" hidden="1" customHeight="1" thickTop="1" thickBot="1" x14ac:dyDescent="0.3">
      <c r="B26" s="1545">
        <v>19</v>
      </c>
      <c r="C26" s="1541">
        <v>0</v>
      </c>
      <c r="D26" s="1539">
        <f t="shared" si="1"/>
        <v>0</v>
      </c>
      <c r="E26" s="2108" t="s">
        <v>1076</v>
      </c>
      <c r="F26" s="1542"/>
      <c r="G26" s="1536">
        <f t="shared" si="2"/>
        <v>23.80952380952381</v>
      </c>
      <c r="H26" s="1537">
        <f t="shared" si="3"/>
        <v>0</v>
      </c>
      <c r="I26" s="1538"/>
      <c r="J26" s="1539">
        <f t="shared" si="0"/>
        <v>0</v>
      </c>
      <c r="K26" s="2110">
        <v>19</v>
      </c>
      <c r="L26" s="2111">
        <v>0</v>
      </c>
      <c r="M26" s="2110" t="s">
        <v>1076</v>
      </c>
      <c r="N26" s="2112"/>
      <c r="O26" s="2112">
        <v>23.80952380952381</v>
      </c>
      <c r="P26" s="2113">
        <v>0</v>
      </c>
    </row>
    <row r="27" spans="2:16" ht="15.6" hidden="1" customHeight="1" thickTop="1" thickBot="1" x14ac:dyDescent="0.3">
      <c r="B27" s="1545">
        <v>20</v>
      </c>
      <c r="C27" s="1541">
        <v>0</v>
      </c>
      <c r="D27" s="1539">
        <f t="shared" si="1"/>
        <v>0</v>
      </c>
      <c r="E27" s="2108" t="s">
        <v>1076</v>
      </c>
      <c r="F27" s="1542"/>
      <c r="G27" s="1536">
        <f t="shared" si="2"/>
        <v>23.80952380952381</v>
      </c>
      <c r="H27" s="1537">
        <f t="shared" si="3"/>
        <v>0</v>
      </c>
      <c r="I27" s="1538"/>
      <c r="J27" s="1539">
        <f t="shared" si="0"/>
        <v>0</v>
      </c>
      <c r="K27" s="2110">
        <v>20</v>
      </c>
      <c r="L27" s="2111">
        <v>0</v>
      </c>
      <c r="M27" s="2110" t="s">
        <v>1076</v>
      </c>
      <c r="N27" s="2112"/>
      <c r="O27" s="2112">
        <v>23.80952380952381</v>
      </c>
      <c r="P27" s="2113">
        <v>0</v>
      </c>
    </row>
    <row r="28" spans="2:16" ht="15.6" hidden="1" customHeight="1" thickTop="1" thickBot="1" x14ac:dyDescent="0.3">
      <c r="B28" s="1545">
        <v>21</v>
      </c>
      <c r="C28" s="1541">
        <v>0</v>
      </c>
      <c r="D28" s="1539">
        <f t="shared" si="1"/>
        <v>0</v>
      </c>
      <c r="E28" s="2108" t="s">
        <v>1076</v>
      </c>
      <c r="F28" s="1542"/>
      <c r="G28" s="1536">
        <f t="shared" si="2"/>
        <v>23.80952380952381</v>
      </c>
      <c r="H28" s="1537">
        <f t="shared" si="3"/>
        <v>0</v>
      </c>
      <c r="I28" s="1538"/>
      <c r="J28" s="1539">
        <f t="shared" si="0"/>
        <v>0</v>
      </c>
      <c r="K28" s="2110">
        <v>21</v>
      </c>
      <c r="L28" s="2111">
        <v>0</v>
      </c>
      <c r="M28" s="2110" t="s">
        <v>1076</v>
      </c>
      <c r="N28" s="2112"/>
      <c r="O28" s="2112">
        <v>23.80952380952381</v>
      </c>
      <c r="P28" s="2113">
        <v>0</v>
      </c>
    </row>
    <row r="29" spans="2:16" ht="15.6" hidden="1" customHeight="1" thickTop="1" thickBot="1" x14ac:dyDescent="0.3">
      <c r="B29" s="1545">
        <v>22</v>
      </c>
      <c r="C29" s="1541">
        <v>0</v>
      </c>
      <c r="D29" s="1539">
        <f t="shared" si="1"/>
        <v>0</v>
      </c>
      <c r="E29" s="2108" t="s">
        <v>1076</v>
      </c>
      <c r="F29" s="1542"/>
      <c r="G29" s="1536">
        <f t="shared" si="2"/>
        <v>23.80952380952381</v>
      </c>
      <c r="H29" s="1537">
        <f t="shared" si="3"/>
        <v>0</v>
      </c>
      <c r="I29" s="1538"/>
      <c r="J29" s="1539">
        <f t="shared" si="0"/>
        <v>0</v>
      </c>
      <c r="K29" s="2110">
        <v>22</v>
      </c>
      <c r="L29" s="2111">
        <v>0</v>
      </c>
      <c r="M29" s="2110" t="s">
        <v>1076</v>
      </c>
      <c r="N29" s="2112"/>
      <c r="O29" s="2112">
        <v>23.80952380952381</v>
      </c>
      <c r="P29" s="2113">
        <v>0</v>
      </c>
    </row>
    <row r="30" spans="2:16" ht="15.6" hidden="1" customHeight="1" thickTop="1" thickBot="1" x14ac:dyDescent="0.3">
      <c r="B30" s="1545">
        <v>23</v>
      </c>
      <c r="C30" s="1541">
        <v>0</v>
      </c>
      <c r="D30" s="1539">
        <f t="shared" si="1"/>
        <v>0</v>
      </c>
      <c r="E30" s="2108" t="s">
        <v>1076</v>
      </c>
      <c r="F30" s="1542"/>
      <c r="G30" s="1536">
        <f t="shared" si="2"/>
        <v>23.80952380952381</v>
      </c>
      <c r="H30" s="1537">
        <f t="shared" si="3"/>
        <v>0</v>
      </c>
      <c r="I30" s="1538"/>
      <c r="J30" s="1539">
        <f t="shared" si="0"/>
        <v>0</v>
      </c>
      <c r="K30" s="2110">
        <v>23</v>
      </c>
      <c r="L30" s="2111">
        <v>0</v>
      </c>
      <c r="M30" s="2110" t="s">
        <v>1076</v>
      </c>
      <c r="N30" s="2112"/>
      <c r="O30" s="2112">
        <v>23.80952380952381</v>
      </c>
      <c r="P30" s="2113">
        <v>0</v>
      </c>
    </row>
    <row r="31" spans="2:16" ht="15.6" hidden="1" customHeight="1" thickTop="1" thickBot="1" x14ac:dyDescent="0.3">
      <c r="B31" s="1545">
        <v>24</v>
      </c>
      <c r="C31" s="1541">
        <v>0</v>
      </c>
      <c r="D31" s="1539">
        <f t="shared" si="1"/>
        <v>0</v>
      </c>
      <c r="E31" s="2108" t="s">
        <v>1076</v>
      </c>
      <c r="F31" s="1542"/>
      <c r="G31" s="1536">
        <f t="shared" si="2"/>
        <v>23.80952380952381</v>
      </c>
      <c r="H31" s="1537">
        <f t="shared" si="3"/>
        <v>0</v>
      </c>
      <c r="I31" s="1538"/>
      <c r="J31" s="1539">
        <f t="shared" si="0"/>
        <v>0</v>
      </c>
      <c r="K31" s="2110">
        <v>24</v>
      </c>
      <c r="L31" s="2111">
        <v>0</v>
      </c>
      <c r="M31" s="2110" t="s">
        <v>1076</v>
      </c>
      <c r="N31" s="2112"/>
      <c r="O31" s="2112">
        <v>23.80952380952381</v>
      </c>
      <c r="P31" s="2113">
        <v>0</v>
      </c>
    </row>
    <row r="32" spans="2:16" ht="15.6" hidden="1" customHeight="1" thickTop="1" thickBot="1" x14ac:dyDescent="0.3">
      <c r="B32" s="1545">
        <v>25</v>
      </c>
      <c r="C32" s="1541">
        <v>0</v>
      </c>
      <c r="D32" s="1539">
        <f t="shared" si="1"/>
        <v>0</v>
      </c>
      <c r="E32" s="2108" t="s">
        <v>1076</v>
      </c>
      <c r="F32" s="1542"/>
      <c r="G32" s="1536">
        <f t="shared" si="2"/>
        <v>23.80952380952381</v>
      </c>
      <c r="H32" s="1537">
        <f t="shared" si="3"/>
        <v>0</v>
      </c>
      <c r="I32" s="1538"/>
      <c r="J32" s="1539">
        <f t="shared" si="0"/>
        <v>0</v>
      </c>
      <c r="K32" s="2110">
        <v>25</v>
      </c>
      <c r="L32" s="2111">
        <v>0</v>
      </c>
      <c r="M32" s="2110" t="s">
        <v>1076</v>
      </c>
      <c r="N32" s="2112"/>
      <c r="O32" s="2112">
        <v>23.80952380952381</v>
      </c>
      <c r="P32" s="2113">
        <v>0</v>
      </c>
    </row>
    <row r="33" spans="2:16" ht="15.6" hidden="1" customHeight="1" thickTop="1" thickBot="1" x14ac:dyDescent="0.3">
      <c r="B33" s="1545">
        <v>26</v>
      </c>
      <c r="C33" s="1541">
        <v>0</v>
      </c>
      <c r="D33" s="1539">
        <f t="shared" si="1"/>
        <v>0</v>
      </c>
      <c r="E33" s="2108" t="s">
        <v>1076</v>
      </c>
      <c r="F33" s="1542"/>
      <c r="G33" s="1536">
        <f t="shared" si="2"/>
        <v>23.80952380952381</v>
      </c>
      <c r="H33" s="1537">
        <f t="shared" si="3"/>
        <v>0</v>
      </c>
      <c r="I33" s="1538"/>
      <c r="J33" s="1539">
        <f t="shared" si="0"/>
        <v>0</v>
      </c>
      <c r="K33" s="2110">
        <v>26</v>
      </c>
      <c r="L33" s="2111">
        <v>0</v>
      </c>
      <c r="M33" s="2110" t="s">
        <v>1076</v>
      </c>
      <c r="N33" s="2112"/>
      <c r="O33" s="2112">
        <v>23.80952380952381</v>
      </c>
      <c r="P33" s="2113">
        <v>0</v>
      </c>
    </row>
    <row r="34" spans="2:16" ht="15.6" hidden="1" customHeight="1" thickTop="1" thickBot="1" x14ac:dyDescent="0.3">
      <c r="B34" s="1545">
        <v>27</v>
      </c>
      <c r="C34" s="1541">
        <v>0</v>
      </c>
      <c r="D34" s="1539">
        <f t="shared" si="1"/>
        <v>0</v>
      </c>
      <c r="E34" s="2108" t="s">
        <v>1076</v>
      </c>
      <c r="F34" s="1542"/>
      <c r="G34" s="1536">
        <f t="shared" si="2"/>
        <v>23.80952380952381</v>
      </c>
      <c r="H34" s="1537">
        <f t="shared" si="3"/>
        <v>0</v>
      </c>
      <c r="I34" s="1538"/>
      <c r="J34" s="1539">
        <f t="shared" si="0"/>
        <v>0</v>
      </c>
      <c r="K34" s="2110">
        <v>27</v>
      </c>
      <c r="L34" s="2111">
        <v>0</v>
      </c>
      <c r="M34" s="2110" t="s">
        <v>1076</v>
      </c>
      <c r="N34" s="2112"/>
      <c r="O34" s="2112">
        <v>23.80952380952381</v>
      </c>
      <c r="P34" s="2113">
        <v>0</v>
      </c>
    </row>
    <row r="35" spans="2:16" ht="15.6" hidden="1" customHeight="1" thickTop="1" thickBot="1" x14ac:dyDescent="0.3">
      <c r="B35" s="1545">
        <v>28</v>
      </c>
      <c r="C35" s="1541">
        <v>0</v>
      </c>
      <c r="D35" s="1539">
        <f t="shared" si="1"/>
        <v>0</v>
      </c>
      <c r="E35" s="2108" t="s">
        <v>1076</v>
      </c>
      <c r="F35" s="1542"/>
      <c r="G35" s="1536">
        <f t="shared" si="2"/>
        <v>23.80952380952381</v>
      </c>
      <c r="H35" s="1537">
        <f t="shared" si="3"/>
        <v>0</v>
      </c>
      <c r="I35" s="1538"/>
      <c r="J35" s="1539">
        <f t="shared" si="0"/>
        <v>0</v>
      </c>
      <c r="K35" s="2110">
        <v>28</v>
      </c>
      <c r="L35" s="2111">
        <v>0</v>
      </c>
      <c r="M35" s="2110" t="s">
        <v>1076</v>
      </c>
      <c r="N35" s="2112"/>
      <c r="O35" s="2112">
        <v>23.80952380952381</v>
      </c>
      <c r="P35" s="2113">
        <v>0</v>
      </c>
    </row>
    <row r="36" spans="2:16" ht="15.6" hidden="1" customHeight="1" thickTop="1" thickBot="1" x14ac:dyDescent="0.3">
      <c r="B36" s="1545">
        <v>29</v>
      </c>
      <c r="C36" s="1541">
        <v>0</v>
      </c>
      <c r="D36" s="1539">
        <f t="shared" si="1"/>
        <v>0</v>
      </c>
      <c r="E36" s="2108" t="s">
        <v>1076</v>
      </c>
      <c r="F36" s="1542"/>
      <c r="G36" s="1536">
        <f t="shared" si="2"/>
        <v>23.80952380952381</v>
      </c>
      <c r="H36" s="1537">
        <f t="shared" si="3"/>
        <v>0</v>
      </c>
      <c r="I36" s="1538"/>
      <c r="J36" s="1539">
        <f t="shared" si="0"/>
        <v>0</v>
      </c>
      <c r="K36" s="2110">
        <v>29</v>
      </c>
      <c r="L36" s="2111">
        <v>0</v>
      </c>
      <c r="M36" s="2110" t="s">
        <v>1076</v>
      </c>
      <c r="N36" s="2112"/>
      <c r="O36" s="2112">
        <v>23.80952380952381</v>
      </c>
      <c r="P36" s="2113">
        <v>0</v>
      </c>
    </row>
    <row r="37" spans="2:16" ht="15.6" hidden="1" customHeight="1" thickTop="1" thickBot="1" x14ac:dyDescent="0.3">
      <c r="B37" s="1546">
        <v>30</v>
      </c>
      <c r="C37" s="1541">
        <v>0</v>
      </c>
      <c r="D37" s="1539">
        <f t="shared" si="1"/>
        <v>0</v>
      </c>
      <c r="E37" s="2108" t="s">
        <v>1076</v>
      </c>
      <c r="F37" s="1547"/>
      <c r="G37" s="1536">
        <f t="shared" si="2"/>
        <v>23.80952380952381</v>
      </c>
      <c r="H37" s="1537">
        <f t="shared" si="3"/>
        <v>0</v>
      </c>
      <c r="I37" s="1538"/>
      <c r="J37" s="1539">
        <f t="shared" si="0"/>
        <v>0</v>
      </c>
      <c r="K37" s="2110">
        <v>30</v>
      </c>
      <c r="L37" s="2111">
        <v>0</v>
      </c>
      <c r="M37" s="2110" t="s">
        <v>1076</v>
      </c>
      <c r="N37" s="2112"/>
      <c r="O37" s="2112">
        <v>23.80952380952381</v>
      </c>
      <c r="P37" s="2113">
        <v>0</v>
      </c>
    </row>
    <row r="38" spans="2:16" ht="15.6" hidden="1" customHeight="1" thickTop="1" thickBot="1" x14ac:dyDescent="0.3">
      <c r="B38" s="1546">
        <v>31</v>
      </c>
      <c r="C38" s="1541">
        <v>0</v>
      </c>
      <c r="D38" s="1539">
        <f t="shared" si="1"/>
        <v>0</v>
      </c>
      <c r="E38" s="2108" t="s">
        <v>1076</v>
      </c>
      <c r="F38" s="1547"/>
      <c r="G38" s="1536">
        <f t="shared" si="2"/>
        <v>23.80952380952381</v>
      </c>
      <c r="H38" s="1537">
        <f t="shared" si="3"/>
        <v>0</v>
      </c>
      <c r="I38" s="1538"/>
      <c r="J38" s="1539">
        <f t="shared" si="0"/>
        <v>0</v>
      </c>
      <c r="K38" s="2110">
        <v>31</v>
      </c>
      <c r="L38" s="2111">
        <v>0</v>
      </c>
      <c r="M38" s="2110" t="s">
        <v>1076</v>
      </c>
      <c r="N38" s="2112"/>
      <c r="O38" s="2112">
        <v>23.80952380952381</v>
      </c>
      <c r="P38" s="2113">
        <v>0</v>
      </c>
    </row>
    <row r="39" spans="2:16" ht="17.25" thickTop="1" thickBot="1" x14ac:dyDescent="0.3">
      <c r="B39" s="1530" t="s">
        <v>158</v>
      </c>
      <c r="C39" s="1551">
        <f>SUM(C8:C38)</f>
        <v>17813187</v>
      </c>
      <c r="D39" s="1551">
        <f>SUM(D8:D38)</f>
        <v>427516.48800000001</v>
      </c>
      <c r="E39" s="1552"/>
      <c r="F39" s="1553">
        <f>SUM(F8:F37)</f>
        <v>0</v>
      </c>
      <c r="G39" s="1554">
        <f>SUM(G15:G24)</f>
        <v>68.572990476190469</v>
      </c>
      <c r="H39" s="1553"/>
      <c r="I39" s="1555"/>
      <c r="J39" s="1556">
        <f>AVERAGE(J8:J38)</f>
        <v>23.942455645161292</v>
      </c>
      <c r="K39" s="2117" t="s">
        <v>158</v>
      </c>
      <c r="L39" s="1570">
        <f>SUM(L8:L38)</f>
        <v>17792607</v>
      </c>
      <c r="M39" s="2110"/>
      <c r="N39" s="2112">
        <v>0</v>
      </c>
      <c r="O39" s="2119">
        <f>SUM(O15:O24)</f>
        <v>68.874095238095236</v>
      </c>
      <c r="P39" s="2112"/>
    </row>
    <row r="40" spans="2:16" ht="15.75" thickTop="1" x14ac:dyDescent="0.25">
      <c r="B40" s="1557"/>
      <c r="C40" s="1558"/>
      <c r="D40" s="1558"/>
      <c r="E40" s="1559"/>
      <c r="F40" s="1"/>
      <c r="G40" s="1"/>
      <c r="H40" s="1"/>
      <c r="I40" s="1"/>
      <c r="J40" s="1"/>
    </row>
  </sheetData>
  <mergeCells count="11">
    <mergeCell ref="B3:G3"/>
    <mergeCell ref="B6:B7"/>
    <mergeCell ref="C6:C7"/>
    <mergeCell ref="D6:D7"/>
    <mergeCell ref="E6:E7"/>
    <mergeCell ref="F6:H6"/>
    <mergeCell ref="N6:P6"/>
    <mergeCell ref="K6:K7"/>
    <mergeCell ref="L6:L7"/>
    <mergeCell ref="M6:M7"/>
    <mergeCell ref="K3:P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3:L70"/>
  <sheetViews>
    <sheetView view="pageBreakPreview" topLeftCell="A7" zoomScale="85" zoomScaleNormal="90" zoomScaleSheetLayoutView="85" workbookViewId="0">
      <selection activeCell="J18" sqref="J18"/>
    </sheetView>
  </sheetViews>
  <sheetFormatPr defaultRowHeight="15" x14ac:dyDescent="0.25"/>
  <cols>
    <col min="4" max="4" width="11.5703125" customWidth="1"/>
    <col min="5" max="5" width="16.42578125" customWidth="1"/>
    <col min="6" max="6" width="16.42578125" hidden="1" customWidth="1"/>
    <col min="7" max="7" width="48.140625" customWidth="1"/>
    <col min="8" max="11" width="9.42578125" customWidth="1"/>
    <col min="12" max="12" width="9.42578125" hidden="1" customWidth="1"/>
  </cols>
  <sheetData>
    <row r="3" spans="4:12" x14ac:dyDescent="0.25">
      <c r="D3" s="2358" t="s">
        <v>822</v>
      </c>
      <c r="E3" s="2358"/>
      <c r="F3" s="2358"/>
      <c r="G3" s="2358"/>
      <c r="H3" s="2358"/>
      <c r="I3" s="2358"/>
      <c r="J3" s="1525"/>
      <c r="K3" s="1525"/>
      <c r="L3" s="1525"/>
    </row>
    <row r="4" spans="4:12" x14ac:dyDescent="0.25">
      <c r="D4" s="1526"/>
      <c r="E4" s="1527"/>
      <c r="F4" s="1527"/>
      <c r="G4" s="1528"/>
      <c r="H4" s="16"/>
      <c r="I4" s="16"/>
      <c r="J4" s="16"/>
      <c r="K4" s="16"/>
      <c r="L4" s="16"/>
    </row>
    <row r="5" spans="4:12" ht="15.75" thickBot="1" x14ac:dyDescent="0.3">
      <c r="D5" s="1529" t="s">
        <v>1120</v>
      </c>
      <c r="E5" s="1527"/>
      <c r="F5" s="1527"/>
      <c r="G5" s="1528"/>
      <c r="H5" s="16"/>
      <c r="I5" s="16"/>
      <c r="J5" s="16"/>
      <c r="K5" s="16"/>
      <c r="L5" s="16"/>
    </row>
    <row r="6" spans="4:12" ht="16.5" thickTop="1" thickBot="1" x14ac:dyDescent="0.3">
      <c r="D6" s="2359" t="s">
        <v>174</v>
      </c>
      <c r="E6" s="2361" t="s">
        <v>823</v>
      </c>
      <c r="F6" s="2361" t="s">
        <v>1081</v>
      </c>
      <c r="G6" s="2363" t="s">
        <v>824</v>
      </c>
      <c r="H6" s="2365" t="s">
        <v>825</v>
      </c>
      <c r="I6" s="2366"/>
      <c r="J6" s="2367"/>
      <c r="K6" s="1531"/>
      <c r="L6" s="516" t="s">
        <v>826</v>
      </c>
    </row>
    <row r="7" spans="4:12" ht="16.5" thickTop="1" thickBot="1" x14ac:dyDescent="0.3">
      <c r="D7" s="2360"/>
      <c r="E7" s="2362"/>
      <c r="F7" s="2362"/>
      <c r="G7" s="2364"/>
      <c r="H7" s="1532" t="s">
        <v>827</v>
      </c>
      <c r="I7" s="1533" t="s">
        <v>828</v>
      </c>
      <c r="J7" s="1532" t="s">
        <v>25</v>
      </c>
      <c r="K7" s="1531"/>
      <c r="L7" s="1531"/>
    </row>
    <row r="8" spans="4:12" ht="16.5" thickTop="1" thickBot="1" x14ac:dyDescent="0.3">
      <c r="D8" s="1534">
        <v>1</v>
      </c>
      <c r="E8" s="1535">
        <v>0</v>
      </c>
      <c r="F8" s="1539">
        <f>(E8/1000)*24</f>
        <v>0</v>
      </c>
      <c r="G8" s="2108" t="s">
        <v>1076</v>
      </c>
      <c r="H8" s="1536"/>
      <c r="I8" s="1536">
        <f>(2500-(E8/1000))/105</f>
        <v>23.80952380952381</v>
      </c>
      <c r="J8" s="1537">
        <f>E8/2500/1000</f>
        <v>0</v>
      </c>
      <c r="K8" s="1538"/>
      <c r="L8" s="1539">
        <f t="shared" ref="L8:L38" si="0">(E8/1000)/24</f>
        <v>0</v>
      </c>
    </row>
    <row r="9" spans="4:12" ht="16.5" thickTop="1" thickBot="1" x14ac:dyDescent="0.3">
      <c r="D9" s="1540">
        <v>2</v>
      </c>
      <c r="E9" s="1541">
        <v>0</v>
      </c>
      <c r="F9" s="1539">
        <f t="shared" ref="F9:F38" si="1">(E9/1000)*24</f>
        <v>0</v>
      </c>
      <c r="G9" s="2108" t="s">
        <v>1076</v>
      </c>
      <c r="H9" s="1542"/>
      <c r="I9" s="1536">
        <f t="shared" ref="I9:I38" si="2">(2500-(E9/1000))/105</f>
        <v>23.80952380952381</v>
      </c>
      <c r="J9" s="1537">
        <f t="shared" ref="J9:J38" si="3">E9/2500/1000</f>
        <v>0</v>
      </c>
      <c r="K9" s="1538"/>
      <c r="L9" s="1539">
        <f t="shared" si="0"/>
        <v>0</v>
      </c>
    </row>
    <row r="10" spans="4:12" ht="16.5" thickTop="1" thickBot="1" x14ac:dyDescent="0.3">
      <c r="D10" s="1544">
        <v>3</v>
      </c>
      <c r="E10" s="1541">
        <v>0</v>
      </c>
      <c r="F10" s="1539">
        <f t="shared" si="1"/>
        <v>0</v>
      </c>
      <c r="G10" s="2108" t="s">
        <v>1076</v>
      </c>
      <c r="H10" s="1542"/>
      <c r="I10" s="1536">
        <f t="shared" si="2"/>
        <v>23.80952380952381</v>
      </c>
      <c r="J10" s="1537">
        <f t="shared" si="3"/>
        <v>0</v>
      </c>
      <c r="K10" s="1538"/>
      <c r="L10" s="1539">
        <f t="shared" si="0"/>
        <v>0</v>
      </c>
    </row>
    <row r="11" spans="4:12" ht="16.5" thickTop="1" thickBot="1" x14ac:dyDescent="0.3">
      <c r="D11" s="1544">
        <v>4</v>
      </c>
      <c r="E11" s="1541">
        <v>0</v>
      </c>
      <c r="F11" s="1539">
        <f t="shared" si="1"/>
        <v>0</v>
      </c>
      <c r="G11" s="2108" t="s">
        <v>1076</v>
      </c>
      <c r="H11" s="1542"/>
      <c r="I11" s="1536">
        <f t="shared" si="2"/>
        <v>23.80952380952381</v>
      </c>
      <c r="J11" s="1537">
        <f t="shared" si="3"/>
        <v>0</v>
      </c>
      <c r="K11" s="1538"/>
      <c r="L11" s="1539">
        <f t="shared" si="0"/>
        <v>0</v>
      </c>
    </row>
    <row r="12" spans="4:12" ht="16.5" thickTop="1" thickBot="1" x14ac:dyDescent="0.3">
      <c r="D12" s="1544">
        <v>5</v>
      </c>
      <c r="E12" s="1541">
        <v>0</v>
      </c>
      <c r="F12" s="1539">
        <f t="shared" si="1"/>
        <v>0</v>
      </c>
      <c r="G12" s="2108" t="s">
        <v>1076</v>
      </c>
      <c r="H12" s="1542"/>
      <c r="I12" s="1536">
        <f t="shared" si="2"/>
        <v>23.80952380952381</v>
      </c>
      <c r="J12" s="1537">
        <f t="shared" si="3"/>
        <v>0</v>
      </c>
      <c r="K12" s="1538"/>
      <c r="L12" s="1539">
        <f t="shared" si="0"/>
        <v>0</v>
      </c>
    </row>
    <row r="13" spans="4:12" ht="16.5" thickTop="1" thickBot="1" x14ac:dyDescent="0.3">
      <c r="D13" s="1544">
        <v>6</v>
      </c>
      <c r="E13" s="1541">
        <v>0</v>
      </c>
      <c r="F13" s="1539">
        <f t="shared" si="1"/>
        <v>0</v>
      </c>
      <c r="G13" s="2108" t="s">
        <v>1076</v>
      </c>
      <c r="H13" s="1542"/>
      <c r="I13" s="1536">
        <f t="shared" si="2"/>
        <v>23.80952380952381</v>
      </c>
      <c r="J13" s="1537">
        <f t="shared" si="3"/>
        <v>0</v>
      </c>
      <c r="K13" s="1538"/>
      <c r="L13" s="1539">
        <f t="shared" si="0"/>
        <v>0</v>
      </c>
    </row>
    <row r="14" spans="4:12" ht="16.5" thickTop="1" thickBot="1" x14ac:dyDescent="0.3">
      <c r="D14" s="1544">
        <v>7</v>
      </c>
      <c r="E14" s="1541">
        <v>0</v>
      </c>
      <c r="F14" s="1539">
        <f t="shared" si="1"/>
        <v>0</v>
      </c>
      <c r="G14" s="2108" t="s">
        <v>1076</v>
      </c>
      <c r="H14" s="1542"/>
      <c r="I14" s="1536">
        <f t="shared" si="2"/>
        <v>23.80952380952381</v>
      </c>
      <c r="J14" s="1537">
        <f t="shared" si="3"/>
        <v>0</v>
      </c>
      <c r="K14" s="1538"/>
      <c r="L14" s="1539">
        <f t="shared" si="0"/>
        <v>0</v>
      </c>
    </row>
    <row r="15" spans="4:12" ht="16.5" thickTop="1" thickBot="1" x14ac:dyDescent="0.3">
      <c r="D15" s="1544">
        <v>8</v>
      </c>
      <c r="E15" s="1541">
        <v>738858</v>
      </c>
      <c r="F15" s="1539">
        <f>(E15/1000)*24</f>
        <v>17732.591999999997</v>
      </c>
      <c r="G15" s="2108" t="s">
        <v>1077</v>
      </c>
      <c r="H15" s="1542"/>
      <c r="I15" s="1536">
        <f t="shared" si="2"/>
        <v>16.772780952380952</v>
      </c>
      <c r="J15" s="1537">
        <f t="shared" si="3"/>
        <v>0.29554320000000001</v>
      </c>
      <c r="K15" s="1538"/>
      <c r="L15" s="1539">
        <f t="shared" si="0"/>
        <v>30.785749999999997</v>
      </c>
    </row>
    <row r="16" spans="4:12" ht="16.5" thickTop="1" thickBot="1" x14ac:dyDescent="0.3">
      <c r="D16" s="1544">
        <v>9</v>
      </c>
      <c r="E16" s="1541">
        <v>2231331</v>
      </c>
      <c r="F16" s="1539">
        <f t="shared" si="1"/>
        <v>53551.944000000003</v>
      </c>
      <c r="G16" s="2108" t="s">
        <v>1082</v>
      </c>
      <c r="H16" s="1542"/>
      <c r="I16" s="1536">
        <f t="shared" si="2"/>
        <v>2.5587523809523796</v>
      </c>
      <c r="J16" s="1537">
        <f t="shared" si="3"/>
        <v>0.8925324</v>
      </c>
      <c r="K16" s="1538"/>
      <c r="L16" s="1539">
        <f t="shared" si="0"/>
        <v>92.972125000000005</v>
      </c>
    </row>
    <row r="17" spans="4:12" ht="16.5" thickTop="1" thickBot="1" x14ac:dyDescent="0.3">
      <c r="D17" s="1544">
        <v>10</v>
      </c>
      <c r="E17" s="1541">
        <v>2186600</v>
      </c>
      <c r="F17" s="1539">
        <f t="shared" si="1"/>
        <v>52478.399999999994</v>
      </c>
      <c r="G17" s="2108" t="s">
        <v>1083</v>
      </c>
      <c r="H17" s="1542"/>
      <c r="I17" s="1536">
        <f t="shared" si="2"/>
        <v>2.9847619047619056</v>
      </c>
      <c r="J17" s="1537">
        <f t="shared" si="3"/>
        <v>0.87463999999999997</v>
      </c>
      <c r="K17" s="1538"/>
      <c r="L17" s="1539">
        <f t="shared" si="0"/>
        <v>91.108333333333334</v>
      </c>
    </row>
    <row r="18" spans="4:12" ht="16.5" thickTop="1" thickBot="1" x14ac:dyDescent="0.3">
      <c r="D18" s="1544">
        <v>11</v>
      </c>
      <c r="E18" s="1541">
        <v>2513351</v>
      </c>
      <c r="F18" s="1539">
        <f t="shared" si="1"/>
        <v>60320.423999999999</v>
      </c>
      <c r="G18" s="2108" t="s">
        <v>1078</v>
      </c>
      <c r="H18" s="1542"/>
      <c r="I18" s="1536">
        <f>(2500-(E18/1000))/105</f>
        <v>-0.12715238095238202</v>
      </c>
      <c r="J18" s="1537">
        <f t="shared" si="3"/>
        <v>1.0053404000000001</v>
      </c>
      <c r="K18" s="1538"/>
      <c r="L18" s="1539">
        <f t="shared" si="0"/>
        <v>104.72295833333334</v>
      </c>
    </row>
    <row r="19" spans="4:12" ht="16.5" thickTop="1" thickBot="1" x14ac:dyDescent="0.3">
      <c r="D19" s="1544">
        <v>12</v>
      </c>
      <c r="E19" s="1541">
        <v>2299670</v>
      </c>
      <c r="F19" s="1539">
        <f t="shared" si="1"/>
        <v>55192.08</v>
      </c>
      <c r="G19" s="2108" t="s">
        <v>1084</v>
      </c>
      <c r="H19" s="1542"/>
      <c r="I19" s="1536">
        <f t="shared" si="2"/>
        <v>1.9079047619047611</v>
      </c>
      <c r="J19" s="1537">
        <f t="shared" si="3"/>
        <v>0.91986800000000002</v>
      </c>
      <c r="K19" s="1538"/>
      <c r="L19" s="1539">
        <f t="shared" si="0"/>
        <v>95.819583333333341</v>
      </c>
    </row>
    <row r="20" spans="4:12" ht="16.5" thickTop="1" thickBot="1" x14ac:dyDescent="0.3">
      <c r="D20" s="1544">
        <v>13</v>
      </c>
      <c r="E20" s="1541">
        <v>1987933</v>
      </c>
      <c r="F20" s="1539">
        <f t="shared" si="1"/>
        <v>47710.392</v>
      </c>
      <c r="G20" s="2108" t="s">
        <v>1084</v>
      </c>
      <c r="H20" s="1542"/>
      <c r="I20" s="1536">
        <f t="shared" si="2"/>
        <v>4.8768285714285717</v>
      </c>
      <c r="J20" s="1537">
        <f t="shared" si="3"/>
        <v>0.79517319999999991</v>
      </c>
      <c r="K20" s="1538"/>
      <c r="L20" s="1539">
        <f t="shared" si="0"/>
        <v>82.830541666666662</v>
      </c>
    </row>
    <row r="21" spans="4:12" ht="16.5" thickTop="1" thickBot="1" x14ac:dyDescent="0.3">
      <c r="D21" s="1544">
        <v>14</v>
      </c>
      <c r="E21" s="1541">
        <v>1601122</v>
      </c>
      <c r="F21" s="1539">
        <f t="shared" si="1"/>
        <v>38426.928</v>
      </c>
      <c r="G21" s="2108" t="s">
        <v>1085</v>
      </c>
      <c r="H21" s="1542"/>
      <c r="I21" s="1536">
        <f t="shared" si="2"/>
        <v>8.5607428571428557</v>
      </c>
      <c r="J21" s="1537">
        <f t="shared" si="3"/>
        <v>0.64044880000000004</v>
      </c>
      <c r="K21" s="1538"/>
      <c r="L21" s="1539">
        <f t="shared" si="0"/>
        <v>66.713416666666674</v>
      </c>
    </row>
    <row r="22" spans="4:12" ht="16.5" thickTop="1" thickBot="1" x14ac:dyDescent="0.3">
      <c r="D22" s="1544">
        <v>15</v>
      </c>
      <c r="E22" s="1541">
        <v>2010199</v>
      </c>
      <c r="F22" s="1539">
        <f t="shared" si="1"/>
        <v>48244.775999999998</v>
      </c>
      <c r="G22" s="2108" t="s">
        <v>1086</v>
      </c>
      <c r="H22" s="1542"/>
      <c r="I22" s="1536">
        <f t="shared" si="2"/>
        <v>4.6647714285714281</v>
      </c>
      <c r="J22" s="1537">
        <f t="shared" si="3"/>
        <v>0.80407960000000001</v>
      </c>
      <c r="K22" s="1538"/>
      <c r="L22" s="1539">
        <f t="shared" si="0"/>
        <v>83.758291666666665</v>
      </c>
    </row>
    <row r="23" spans="4:12" ht="16.5" thickTop="1" thickBot="1" x14ac:dyDescent="0.3">
      <c r="D23" s="1544">
        <v>16</v>
      </c>
      <c r="E23" s="1541">
        <v>1922414</v>
      </c>
      <c r="F23" s="1539">
        <f t="shared" si="1"/>
        <v>46137.936000000002</v>
      </c>
      <c r="G23" s="2108" t="s">
        <v>1086</v>
      </c>
      <c r="H23" s="1542"/>
      <c r="I23" s="1536">
        <f t="shared" si="2"/>
        <v>5.5008190476190482</v>
      </c>
      <c r="J23" s="1537">
        <f t="shared" si="3"/>
        <v>0.76896560000000003</v>
      </c>
      <c r="K23" s="1538"/>
      <c r="L23" s="1539">
        <f t="shared" si="0"/>
        <v>80.100583333333333</v>
      </c>
    </row>
    <row r="24" spans="4:12" ht="16.5" thickTop="1" thickBot="1" x14ac:dyDescent="0.3">
      <c r="D24" s="1544">
        <v>17</v>
      </c>
      <c r="E24" s="1541">
        <v>321709</v>
      </c>
      <c r="F24" s="1539">
        <f t="shared" si="1"/>
        <v>7721.0159999999996</v>
      </c>
      <c r="G24" s="2108" t="s">
        <v>1087</v>
      </c>
      <c r="H24" s="1542"/>
      <c r="I24" s="1536">
        <f t="shared" si="2"/>
        <v>20.745628571428572</v>
      </c>
      <c r="J24" s="1537">
        <f t="shared" si="3"/>
        <v>0.12868360000000001</v>
      </c>
      <c r="K24" s="1538"/>
      <c r="L24" s="1539">
        <f t="shared" si="0"/>
        <v>13.404541666666667</v>
      </c>
    </row>
    <row r="25" spans="4:12" ht="16.5" thickTop="1" thickBot="1" x14ac:dyDescent="0.3">
      <c r="D25" s="1545">
        <v>18</v>
      </c>
      <c r="E25" s="1541">
        <v>0</v>
      </c>
      <c r="F25" s="1539">
        <f t="shared" si="1"/>
        <v>0</v>
      </c>
      <c r="G25" s="2108" t="s">
        <v>1076</v>
      </c>
      <c r="H25" s="1542"/>
      <c r="I25" s="1536">
        <f t="shared" si="2"/>
        <v>23.80952380952381</v>
      </c>
      <c r="J25" s="1537">
        <f t="shared" si="3"/>
        <v>0</v>
      </c>
      <c r="K25" s="1538"/>
      <c r="L25" s="1539">
        <f t="shared" si="0"/>
        <v>0</v>
      </c>
    </row>
    <row r="26" spans="4:12" ht="16.5" thickTop="1" thickBot="1" x14ac:dyDescent="0.3">
      <c r="D26" s="1545">
        <v>19</v>
      </c>
      <c r="E26" s="1541">
        <v>0</v>
      </c>
      <c r="F26" s="1539">
        <f t="shared" si="1"/>
        <v>0</v>
      </c>
      <c r="G26" s="2108" t="s">
        <v>1076</v>
      </c>
      <c r="H26" s="1542"/>
      <c r="I26" s="1536">
        <f t="shared" si="2"/>
        <v>23.80952380952381</v>
      </c>
      <c r="J26" s="1537">
        <f t="shared" si="3"/>
        <v>0</v>
      </c>
      <c r="K26" s="1538"/>
      <c r="L26" s="1539">
        <f t="shared" si="0"/>
        <v>0</v>
      </c>
    </row>
    <row r="27" spans="4:12" ht="16.5" thickTop="1" thickBot="1" x14ac:dyDescent="0.3">
      <c r="D27" s="1545">
        <v>20</v>
      </c>
      <c r="E27" s="1541">
        <v>0</v>
      </c>
      <c r="F27" s="1539">
        <f t="shared" si="1"/>
        <v>0</v>
      </c>
      <c r="G27" s="2108" t="s">
        <v>1076</v>
      </c>
      <c r="H27" s="1542"/>
      <c r="I27" s="1536">
        <f t="shared" si="2"/>
        <v>23.80952380952381</v>
      </c>
      <c r="J27" s="1537">
        <f t="shared" si="3"/>
        <v>0</v>
      </c>
      <c r="K27" s="1538"/>
      <c r="L27" s="1539">
        <f t="shared" si="0"/>
        <v>0</v>
      </c>
    </row>
    <row r="28" spans="4:12" ht="16.5" thickTop="1" thickBot="1" x14ac:dyDescent="0.3">
      <c r="D28" s="1545">
        <v>21</v>
      </c>
      <c r="E28" s="1541">
        <v>0</v>
      </c>
      <c r="F28" s="1539">
        <f t="shared" si="1"/>
        <v>0</v>
      </c>
      <c r="G28" s="2108" t="s">
        <v>1076</v>
      </c>
      <c r="H28" s="1542"/>
      <c r="I28" s="1536">
        <f t="shared" si="2"/>
        <v>23.80952380952381</v>
      </c>
      <c r="J28" s="1537">
        <f t="shared" si="3"/>
        <v>0</v>
      </c>
      <c r="K28" s="1538"/>
      <c r="L28" s="1539">
        <f t="shared" si="0"/>
        <v>0</v>
      </c>
    </row>
    <row r="29" spans="4:12" ht="16.5" thickTop="1" thickBot="1" x14ac:dyDescent="0.3">
      <c r="D29" s="1545">
        <v>22</v>
      </c>
      <c r="E29" s="1541">
        <v>0</v>
      </c>
      <c r="F29" s="1539">
        <f t="shared" si="1"/>
        <v>0</v>
      </c>
      <c r="G29" s="2108" t="s">
        <v>1076</v>
      </c>
      <c r="H29" s="1542"/>
      <c r="I29" s="1536">
        <f t="shared" si="2"/>
        <v>23.80952380952381</v>
      </c>
      <c r="J29" s="1537">
        <f t="shared" si="3"/>
        <v>0</v>
      </c>
      <c r="K29" s="1538"/>
      <c r="L29" s="1539">
        <f t="shared" si="0"/>
        <v>0</v>
      </c>
    </row>
    <row r="30" spans="4:12" ht="16.5" thickTop="1" thickBot="1" x14ac:dyDescent="0.3">
      <c r="D30" s="1545">
        <v>23</v>
      </c>
      <c r="E30" s="1541">
        <v>0</v>
      </c>
      <c r="F30" s="1539">
        <f t="shared" si="1"/>
        <v>0</v>
      </c>
      <c r="G30" s="2108" t="s">
        <v>1076</v>
      </c>
      <c r="H30" s="1542"/>
      <c r="I30" s="1536">
        <f t="shared" si="2"/>
        <v>23.80952380952381</v>
      </c>
      <c r="J30" s="1537">
        <f t="shared" si="3"/>
        <v>0</v>
      </c>
      <c r="K30" s="1538"/>
      <c r="L30" s="1539">
        <f t="shared" si="0"/>
        <v>0</v>
      </c>
    </row>
    <row r="31" spans="4:12" ht="16.5" thickTop="1" thickBot="1" x14ac:dyDescent="0.3">
      <c r="D31" s="1545">
        <v>24</v>
      </c>
      <c r="E31" s="1541">
        <v>0</v>
      </c>
      <c r="F31" s="1539">
        <f t="shared" si="1"/>
        <v>0</v>
      </c>
      <c r="G31" s="2108" t="s">
        <v>1076</v>
      </c>
      <c r="H31" s="1542"/>
      <c r="I31" s="1536">
        <f t="shared" si="2"/>
        <v>23.80952380952381</v>
      </c>
      <c r="J31" s="1537">
        <f t="shared" si="3"/>
        <v>0</v>
      </c>
      <c r="K31" s="1538"/>
      <c r="L31" s="1539">
        <f t="shared" si="0"/>
        <v>0</v>
      </c>
    </row>
    <row r="32" spans="4:12" ht="16.5" thickTop="1" thickBot="1" x14ac:dyDescent="0.3">
      <c r="D32" s="1545">
        <v>25</v>
      </c>
      <c r="E32" s="1541">
        <v>0</v>
      </c>
      <c r="F32" s="1539">
        <f t="shared" si="1"/>
        <v>0</v>
      </c>
      <c r="G32" s="2108" t="s">
        <v>1076</v>
      </c>
      <c r="H32" s="1542"/>
      <c r="I32" s="1536">
        <f t="shared" si="2"/>
        <v>23.80952380952381</v>
      </c>
      <c r="J32" s="1537">
        <f t="shared" si="3"/>
        <v>0</v>
      </c>
      <c r="K32" s="1538"/>
      <c r="L32" s="1539">
        <f t="shared" si="0"/>
        <v>0</v>
      </c>
    </row>
    <row r="33" spans="4:12" ht="16.5" thickTop="1" thickBot="1" x14ac:dyDescent="0.3">
      <c r="D33" s="1545">
        <v>26</v>
      </c>
      <c r="E33" s="1541">
        <v>0</v>
      </c>
      <c r="F33" s="1539">
        <f t="shared" si="1"/>
        <v>0</v>
      </c>
      <c r="G33" s="2108" t="s">
        <v>1076</v>
      </c>
      <c r="H33" s="1542"/>
      <c r="I33" s="1536">
        <f t="shared" si="2"/>
        <v>23.80952380952381</v>
      </c>
      <c r="J33" s="1537">
        <f t="shared" si="3"/>
        <v>0</v>
      </c>
      <c r="K33" s="1538"/>
      <c r="L33" s="1539">
        <f t="shared" si="0"/>
        <v>0</v>
      </c>
    </row>
    <row r="34" spans="4:12" ht="16.5" thickTop="1" thickBot="1" x14ac:dyDescent="0.3">
      <c r="D34" s="1545">
        <v>27</v>
      </c>
      <c r="E34" s="1541">
        <v>0</v>
      </c>
      <c r="F34" s="1539">
        <f t="shared" si="1"/>
        <v>0</v>
      </c>
      <c r="G34" s="2108" t="s">
        <v>1076</v>
      </c>
      <c r="H34" s="1542"/>
      <c r="I34" s="1536">
        <f t="shared" si="2"/>
        <v>23.80952380952381</v>
      </c>
      <c r="J34" s="1537">
        <f t="shared" si="3"/>
        <v>0</v>
      </c>
      <c r="K34" s="1538"/>
      <c r="L34" s="1539">
        <f t="shared" si="0"/>
        <v>0</v>
      </c>
    </row>
    <row r="35" spans="4:12" ht="16.5" thickTop="1" thickBot="1" x14ac:dyDescent="0.3">
      <c r="D35" s="1545">
        <v>28</v>
      </c>
      <c r="E35" s="1541">
        <v>0</v>
      </c>
      <c r="F35" s="1539">
        <f t="shared" si="1"/>
        <v>0</v>
      </c>
      <c r="G35" s="2108" t="s">
        <v>1076</v>
      </c>
      <c r="H35" s="1542"/>
      <c r="I35" s="1536">
        <f t="shared" si="2"/>
        <v>23.80952380952381</v>
      </c>
      <c r="J35" s="1537">
        <f t="shared" si="3"/>
        <v>0</v>
      </c>
      <c r="K35" s="1538"/>
      <c r="L35" s="1539">
        <f t="shared" si="0"/>
        <v>0</v>
      </c>
    </row>
    <row r="36" spans="4:12" ht="16.5" thickTop="1" thickBot="1" x14ac:dyDescent="0.3">
      <c r="D36" s="1545">
        <v>29</v>
      </c>
      <c r="E36" s="1541">
        <v>0</v>
      </c>
      <c r="F36" s="1539">
        <f t="shared" si="1"/>
        <v>0</v>
      </c>
      <c r="G36" s="2108" t="s">
        <v>1076</v>
      </c>
      <c r="H36" s="1542"/>
      <c r="I36" s="1536">
        <f t="shared" si="2"/>
        <v>23.80952380952381</v>
      </c>
      <c r="J36" s="1537">
        <f t="shared" si="3"/>
        <v>0</v>
      </c>
      <c r="K36" s="1538"/>
      <c r="L36" s="1539">
        <f t="shared" si="0"/>
        <v>0</v>
      </c>
    </row>
    <row r="37" spans="4:12" ht="16.5" thickTop="1" thickBot="1" x14ac:dyDescent="0.3">
      <c r="D37" s="1546">
        <v>30</v>
      </c>
      <c r="E37" s="1541">
        <v>0</v>
      </c>
      <c r="F37" s="1539">
        <f t="shared" si="1"/>
        <v>0</v>
      </c>
      <c r="G37" s="2108" t="s">
        <v>1076</v>
      </c>
      <c r="H37" s="1547"/>
      <c r="I37" s="1536">
        <f t="shared" si="2"/>
        <v>23.80952380952381</v>
      </c>
      <c r="J37" s="1537">
        <f t="shared" si="3"/>
        <v>0</v>
      </c>
      <c r="K37" s="1538"/>
      <c r="L37" s="1539">
        <f t="shared" si="0"/>
        <v>0</v>
      </c>
    </row>
    <row r="38" spans="4:12" ht="16.5" hidden="1" thickTop="1" thickBot="1" x14ac:dyDescent="0.3">
      <c r="D38" s="1546">
        <v>31</v>
      </c>
      <c r="E38" s="1541">
        <v>0</v>
      </c>
      <c r="F38" s="1539">
        <f t="shared" si="1"/>
        <v>0</v>
      </c>
      <c r="G38" s="2108" t="s">
        <v>1076</v>
      </c>
      <c r="H38" s="1547"/>
      <c r="I38" s="1536">
        <f t="shared" si="2"/>
        <v>23.80952380952381</v>
      </c>
      <c r="J38" s="1537">
        <f t="shared" si="3"/>
        <v>0</v>
      </c>
      <c r="K38" s="1538"/>
      <c r="L38" s="1539">
        <f t="shared" si="0"/>
        <v>0</v>
      </c>
    </row>
    <row r="39" spans="4:12" ht="17.25" thickTop="1" thickBot="1" x14ac:dyDescent="0.3">
      <c r="D39" s="1530" t="s">
        <v>158</v>
      </c>
      <c r="E39" s="1551">
        <f>SUM(E8:E38)</f>
        <v>17813187</v>
      </c>
      <c r="F39" s="1551">
        <f>SUM(F8:F38)</f>
        <v>427516.48800000001</v>
      </c>
      <c r="G39" s="1552"/>
      <c r="H39" s="1553">
        <f>SUM(H8:H37)</f>
        <v>0</v>
      </c>
      <c r="I39" s="1554">
        <f>SUM(I8:I37)</f>
        <v>544.63631428571421</v>
      </c>
      <c r="J39" s="1553"/>
      <c r="K39" s="1555"/>
      <c r="L39" s="1556">
        <f>AVERAGE(L8:L38)</f>
        <v>23.942455645161292</v>
      </c>
    </row>
    <row r="40" spans="4:12" ht="15.75" thickTop="1" x14ac:dyDescent="0.25">
      <c r="D40" s="1557"/>
      <c r="E40" s="1558"/>
      <c r="F40" s="1558"/>
      <c r="G40" s="1559"/>
      <c r="H40" s="1"/>
      <c r="I40" s="1"/>
      <c r="J40" s="1"/>
      <c r="K40" s="1"/>
      <c r="L40" s="1"/>
    </row>
    <row r="41" spans="4:12" x14ac:dyDescent="0.25">
      <c r="D41" s="16"/>
      <c r="E41" s="1560" t="s">
        <v>829</v>
      </c>
      <c r="F41" s="1560"/>
      <c r="G41" s="16"/>
      <c r="H41" s="16"/>
      <c r="I41" s="16"/>
      <c r="J41" s="16"/>
      <c r="K41" s="16"/>
      <c r="L41" s="16"/>
    </row>
    <row r="42" spans="4:12" x14ac:dyDescent="0.25">
      <c r="D42" s="16"/>
      <c r="E42" s="16" t="s">
        <v>830</v>
      </c>
      <c r="F42" s="16"/>
      <c r="G42" s="16"/>
      <c r="H42" s="1539">
        <v>0</v>
      </c>
      <c r="I42" s="16" t="s">
        <v>831</v>
      </c>
      <c r="J42" s="16"/>
      <c r="K42" s="16"/>
      <c r="L42" s="16"/>
    </row>
    <row r="43" spans="4:12" hidden="1" x14ac:dyDescent="0.25">
      <c r="D43" s="16"/>
      <c r="E43" s="16" t="s">
        <v>832</v>
      </c>
      <c r="F43" s="16"/>
      <c r="G43" s="16"/>
      <c r="H43" s="1539">
        <v>0</v>
      </c>
      <c r="I43" s="16" t="s">
        <v>831</v>
      </c>
      <c r="J43" s="16"/>
      <c r="K43" s="16"/>
      <c r="L43" s="16"/>
    </row>
    <row r="44" spans="4:12" x14ac:dyDescent="0.25">
      <c r="D44" s="16"/>
      <c r="E44" s="16" t="s">
        <v>1088</v>
      </c>
      <c r="F44" s="16"/>
      <c r="G44" s="16"/>
      <c r="H44" s="1539">
        <f>SUM(I19,I20,I21)</f>
        <v>15.345476190476187</v>
      </c>
      <c r="I44" s="16" t="s">
        <v>831</v>
      </c>
      <c r="J44" s="16"/>
      <c r="K44" s="16"/>
      <c r="L44" s="16"/>
    </row>
    <row r="45" spans="4:12" x14ac:dyDescent="0.25">
      <c r="D45" s="16"/>
      <c r="E45" s="16" t="s">
        <v>1089</v>
      </c>
      <c r="F45" s="16"/>
      <c r="G45" s="16"/>
      <c r="H45" s="1539">
        <v>0</v>
      </c>
      <c r="I45" s="16" t="s">
        <v>831</v>
      </c>
      <c r="J45" s="16"/>
      <c r="K45" s="16"/>
      <c r="L45" s="16"/>
    </row>
    <row r="46" spans="4:12" x14ac:dyDescent="0.25">
      <c r="D46" s="16"/>
      <c r="E46" s="16" t="s">
        <v>1090</v>
      </c>
      <c r="F46" s="16"/>
      <c r="G46" s="16"/>
      <c r="H46" s="1562">
        <f>SUM(I15,I16)</f>
        <v>19.331533333333333</v>
      </c>
      <c r="I46" s="16" t="s">
        <v>831</v>
      </c>
      <c r="J46" s="16"/>
      <c r="K46" s="16"/>
      <c r="L46" s="16"/>
    </row>
    <row r="47" spans="4:12" x14ac:dyDescent="0.25">
      <c r="D47" s="16"/>
      <c r="E47" s="16" t="s">
        <v>1091</v>
      </c>
      <c r="F47" s="16"/>
      <c r="G47" s="16"/>
      <c r="H47" s="1562">
        <f>SUM(I18)</f>
        <v>-0.12715238095238202</v>
      </c>
      <c r="I47" s="16" t="s">
        <v>831</v>
      </c>
      <c r="J47" s="16"/>
      <c r="K47" s="16"/>
      <c r="L47" s="16"/>
    </row>
    <row r="48" spans="4:12" x14ac:dyDescent="0.25">
      <c r="D48" s="16"/>
      <c r="E48" s="16" t="s">
        <v>1092</v>
      </c>
      <c r="F48" s="16"/>
      <c r="G48" s="16"/>
      <c r="H48" s="1562">
        <v>0</v>
      </c>
      <c r="I48" s="16" t="s">
        <v>831</v>
      </c>
      <c r="J48" s="16"/>
      <c r="K48" s="16"/>
      <c r="L48" s="16"/>
    </row>
    <row r="49" spans="4:12" hidden="1" x14ac:dyDescent="0.25">
      <c r="D49" s="16"/>
      <c r="E49" s="16" t="s">
        <v>834</v>
      </c>
      <c r="F49" s="16"/>
      <c r="G49" s="16"/>
      <c r="H49" s="1562">
        <v>0</v>
      </c>
      <c r="I49" s="16" t="s">
        <v>831</v>
      </c>
      <c r="J49" s="16"/>
      <c r="K49" s="16"/>
      <c r="L49" s="16"/>
    </row>
    <row r="50" spans="4:12" hidden="1" x14ac:dyDescent="0.25">
      <c r="D50" s="16"/>
      <c r="E50" s="16" t="s">
        <v>835</v>
      </c>
      <c r="F50" s="16"/>
      <c r="G50" s="16"/>
      <c r="H50" s="1562">
        <v>0</v>
      </c>
      <c r="I50" s="16" t="s">
        <v>831</v>
      </c>
      <c r="J50" s="16"/>
      <c r="K50" s="16"/>
      <c r="L50" s="16"/>
    </row>
    <row r="51" spans="4:12" x14ac:dyDescent="0.25">
      <c r="D51" s="16"/>
      <c r="E51" s="16" t="s">
        <v>1093</v>
      </c>
      <c r="F51" s="16"/>
      <c r="G51" s="16"/>
      <c r="H51" s="1562">
        <f>SUM(I8,I9,I10,I11,I12,I13,I14,I25,I26,I27,I28,I29,I30,I31,I32,I33,I34,I35,I36,I37)</f>
        <v>476.19047619047603</v>
      </c>
      <c r="I51" s="16" t="s">
        <v>831</v>
      </c>
      <c r="J51" s="16"/>
      <c r="K51" s="16"/>
      <c r="L51" s="16"/>
    </row>
    <row r="52" spans="4:12" hidden="1" x14ac:dyDescent="0.25">
      <c r="D52" s="16"/>
      <c r="E52" s="16" t="s">
        <v>836</v>
      </c>
      <c r="F52" s="16"/>
      <c r="G52" s="16"/>
      <c r="H52" s="1539"/>
      <c r="I52" s="16" t="s">
        <v>831</v>
      </c>
      <c r="J52" s="16"/>
      <c r="K52" s="16"/>
      <c r="L52" s="16"/>
    </row>
    <row r="53" spans="4:12" x14ac:dyDescent="0.25">
      <c r="D53" s="16"/>
      <c r="E53" s="16" t="s">
        <v>1094</v>
      </c>
      <c r="F53" s="16"/>
      <c r="G53" s="16"/>
      <c r="H53" s="1539">
        <f>I24</f>
        <v>20.745628571428572</v>
      </c>
      <c r="I53" s="16" t="s">
        <v>831</v>
      </c>
      <c r="J53" s="16"/>
      <c r="K53" s="16"/>
      <c r="L53" s="16"/>
    </row>
    <row r="54" spans="4:12" x14ac:dyDescent="0.25">
      <c r="D54" s="16"/>
      <c r="E54" s="16" t="s">
        <v>1095</v>
      </c>
      <c r="F54" s="16"/>
      <c r="G54" s="16"/>
      <c r="H54" s="1539">
        <f>SUM(I22:I23)</f>
        <v>10.165590476190477</v>
      </c>
      <c r="I54" s="16" t="s">
        <v>831</v>
      </c>
      <c r="J54" s="16"/>
      <c r="K54" s="16"/>
      <c r="L54" s="16"/>
    </row>
    <row r="55" spans="4:12" x14ac:dyDescent="0.25">
      <c r="D55" s="16"/>
      <c r="E55" s="16" t="s">
        <v>1096</v>
      </c>
      <c r="F55" s="16"/>
      <c r="G55" s="16"/>
      <c r="H55" s="1539">
        <f>SUM(I17)</f>
        <v>2.9847619047619056</v>
      </c>
      <c r="I55" s="16" t="s">
        <v>831</v>
      </c>
      <c r="J55" s="16"/>
      <c r="K55" s="16"/>
      <c r="L55" s="16"/>
    </row>
    <row r="56" spans="4:12" x14ac:dyDescent="0.25">
      <c r="D56" s="1"/>
      <c r="E56" s="2369" t="s">
        <v>1</v>
      </c>
      <c r="F56" s="2369"/>
      <c r="G56" s="2369"/>
      <c r="H56" s="1563">
        <f>SUM(H42:H55)</f>
        <v>544.63631428571409</v>
      </c>
      <c r="I56" s="2" t="s">
        <v>831</v>
      </c>
      <c r="J56" s="2"/>
      <c r="K56" s="2"/>
      <c r="L56" s="2"/>
    </row>
    <row r="57" spans="4:12" x14ac:dyDescent="0.25">
      <c r="D57" s="1"/>
      <c r="E57" s="2368" t="s">
        <v>1079</v>
      </c>
      <c r="F57" s="2368"/>
      <c r="G57" s="2368"/>
      <c r="H57" s="1"/>
      <c r="I57" s="1"/>
      <c r="J57" s="1"/>
      <c r="K57" s="1"/>
      <c r="L57" s="1"/>
    </row>
    <row r="65" spans="3:9" x14ac:dyDescent="0.25">
      <c r="C65" s="1191"/>
      <c r="D65" s="2270" t="s">
        <v>766</v>
      </c>
      <c r="E65" s="2270"/>
      <c r="F65" s="1191" t="s">
        <v>767</v>
      </c>
      <c r="G65" s="1191" t="s">
        <v>767</v>
      </c>
      <c r="H65" s="1191"/>
      <c r="I65" s="1191" t="s">
        <v>768</v>
      </c>
    </row>
    <row r="66" spans="3:9" x14ac:dyDescent="0.25">
      <c r="C66" s="1188"/>
      <c r="D66" s="1309"/>
      <c r="E66" s="1309"/>
      <c r="F66" s="1309"/>
      <c r="G66" s="1309"/>
      <c r="H66" s="1188"/>
      <c r="I66" s="1188"/>
    </row>
    <row r="67" spans="3:9" x14ac:dyDescent="0.25">
      <c r="C67" s="1188"/>
      <c r="D67" s="1309"/>
      <c r="E67" s="1309"/>
      <c r="F67" s="1309"/>
      <c r="G67" s="1309"/>
      <c r="H67" s="1188"/>
      <c r="I67" s="1188"/>
    </row>
    <row r="68" spans="3:9" x14ac:dyDescent="0.25">
      <c r="C68" s="1188"/>
      <c r="D68" s="1309"/>
      <c r="E68" s="1309"/>
      <c r="F68" s="1309"/>
      <c r="G68" s="1309"/>
      <c r="H68" s="1188"/>
      <c r="I68" s="1188"/>
    </row>
    <row r="69" spans="3:9" x14ac:dyDescent="0.25">
      <c r="D69" s="2271" t="s">
        <v>1119</v>
      </c>
      <c r="E69" s="2271"/>
      <c r="F69" s="1311" t="s">
        <v>769</v>
      </c>
      <c r="G69" s="1311" t="s">
        <v>769</v>
      </c>
      <c r="H69" s="1311"/>
      <c r="I69" s="1311" t="s">
        <v>770</v>
      </c>
    </row>
    <row r="70" spans="3:9" x14ac:dyDescent="0.25">
      <c r="D70" s="2272" t="s">
        <v>772</v>
      </c>
      <c r="E70" s="2272"/>
      <c r="F70" s="1309" t="s">
        <v>773</v>
      </c>
      <c r="G70" s="1309" t="s">
        <v>773</v>
      </c>
      <c r="H70" s="1309"/>
      <c r="I70" s="1309" t="s">
        <v>774</v>
      </c>
    </row>
  </sheetData>
  <mergeCells count="11">
    <mergeCell ref="D3:I3"/>
    <mergeCell ref="D6:D7"/>
    <mergeCell ref="E6:E7"/>
    <mergeCell ref="G6:G7"/>
    <mergeCell ref="H6:J6"/>
    <mergeCell ref="D65:E65"/>
    <mergeCell ref="D69:E69"/>
    <mergeCell ref="D70:E70"/>
    <mergeCell ref="E57:G57"/>
    <mergeCell ref="F6:F7"/>
    <mergeCell ref="E56:G5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B2:J69"/>
  <sheetViews>
    <sheetView view="pageBreakPreview" topLeftCell="A13" zoomScaleNormal="100" zoomScaleSheetLayoutView="100" workbookViewId="0">
      <selection activeCell="J18" sqref="J18"/>
    </sheetView>
  </sheetViews>
  <sheetFormatPr defaultRowHeight="15" x14ac:dyDescent="0.25"/>
  <cols>
    <col min="2" max="2" width="6.5703125" customWidth="1"/>
    <col min="3" max="3" width="11.5703125" customWidth="1"/>
    <col min="4" max="4" width="16.42578125" customWidth="1"/>
    <col min="5" max="5" width="52.5703125" customWidth="1"/>
    <col min="6" max="9" width="9.42578125" customWidth="1"/>
    <col min="10" max="10" width="9.42578125" hidden="1" customWidth="1"/>
  </cols>
  <sheetData>
    <row r="2" spans="2:10" x14ac:dyDescent="0.25">
      <c r="B2" s="1"/>
      <c r="C2" s="2358" t="s">
        <v>837</v>
      </c>
      <c r="D2" s="2358"/>
      <c r="E2" s="2358"/>
      <c r="F2" s="2358"/>
      <c r="G2" s="2358"/>
      <c r="H2" s="1525"/>
      <c r="I2" s="1525"/>
      <c r="J2" s="1525"/>
    </row>
    <row r="3" spans="2:10" x14ac:dyDescent="0.25">
      <c r="B3" s="16"/>
      <c r="C3" s="1526"/>
      <c r="D3" s="1527"/>
      <c r="E3" s="1528"/>
      <c r="F3" s="16"/>
      <c r="G3" s="16"/>
      <c r="H3" s="16"/>
      <c r="I3" s="16"/>
      <c r="J3" s="16"/>
    </row>
    <row r="4" spans="2:10" ht="15.75" thickBot="1" x14ac:dyDescent="0.3">
      <c r="B4" s="16"/>
      <c r="C4" s="1529" t="s">
        <v>1120</v>
      </c>
      <c r="D4" s="1527"/>
      <c r="E4" s="1528"/>
      <c r="F4" s="16"/>
      <c r="G4" s="16"/>
      <c r="H4" s="16"/>
      <c r="I4" s="16"/>
      <c r="J4" s="16"/>
    </row>
    <row r="5" spans="2:10" ht="16.5" thickTop="1" thickBot="1" x14ac:dyDescent="0.3">
      <c r="B5" s="16"/>
      <c r="C5" s="2359" t="s">
        <v>174</v>
      </c>
      <c r="D5" s="2361" t="s">
        <v>823</v>
      </c>
      <c r="E5" s="2363" t="s">
        <v>824</v>
      </c>
      <c r="F5" s="2365" t="s">
        <v>825</v>
      </c>
      <c r="G5" s="2366"/>
      <c r="H5" s="2367"/>
      <c r="I5" s="1531"/>
      <c r="J5" s="516" t="s">
        <v>826</v>
      </c>
    </row>
    <row r="6" spans="2:10" ht="16.5" thickTop="1" thickBot="1" x14ac:dyDescent="0.3">
      <c r="B6" s="16"/>
      <c r="C6" s="2360"/>
      <c r="D6" s="2362"/>
      <c r="E6" s="2364"/>
      <c r="F6" s="1532" t="s">
        <v>827</v>
      </c>
      <c r="G6" s="1533" t="s">
        <v>828</v>
      </c>
      <c r="H6" s="1532" t="s">
        <v>25</v>
      </c>
      <c r="I6" s="1531"/>
      <c r="J6" s="1531"/>
    </row>
    <row r="7" spans="2:10" ht="16.5" thickTop="1" thickBot="1" x14ac:dyDescent="0.3">
      <c r="B7" s="16"/>
      <c r="C7" s="1534">
        <v>1</v>
      </c>
      <c r="D7" s="2121">
        <v>0</v>
      </c>
      <c r="E7" s="2108" t="s">
        <v>1076</v>
      </c>
      <c r="F7" s="1536"/>
      <c r="G7" s="1536">
        <f t="shared" ref="G7:G37" si="0">(2500-(D7/1000))/105</f>
        <v>23.80952380952381</v>
      </c>
      <c r="H7" s="1537">
        <f>D7/2500/1000</f>
        <v>0</v>
      </c>
      <c r="I7" s="1538"/>
      <c r="J7" s="1539">
        <f>(D7/1000)/24</f>
        <v>0</v>
      </c>
    </row>
    <row r="8" spans="2:10" ht="16.5" thickTop="1" thickBot="1" x14ac:dyDescent="0.3">
      <c r="B8" s="16"/>
      <c r="C8" s="1540">
        <v>2</v>
      </c>
      <c r="D8" s="2122">
        <v>0</v>
      </c>
      <c r="E8" s="2108" t="s">
        <v>1076</v>
      </c>
      <c r="F8" s="1542"/>
      <c r="G8" s="1542">
        <f t="shared" si="0"/>
        <v>23.80952380952381</v>
      </c>
      <c r="H8" s="1537">
        <f t="shared" ref="H8:H36" si="1">D8/2500/1000</f>
        <v>0</v>
      </c>
      <c r="I8" s="1538"/>
      <c r="J8" s="1539">
        <f t="shared" ref="J8:J37" si="2">(D8/1000)/24</f>
        <v>0</v>
      </c>
    </row>
    <row r="9" spans="2:10" ht="16.5" thickTop="1" thickBot="1" x14ac:dyDescent="0.3">
      <c r="B9" s="16"/>
      <c r="C9" s="1544">
        <v>3</v>
      </c>
      <c r="D9" s="2122">
        <v>0</v>
      </c>
      <c r="E9" s="2108" t="s">
        <v>1076</v>
      </c>
      <c r="F9" s="1542"/>
      <c r="G9" s="1542">
        <f t="shared" si="0"/>
        <v>23.80952380952381</v>
      </c>
      <c r="H9" s="1537">
        <f t="shared" si="1"/>
        <v>0</v>
      </c>
      <c r="I9" s="1538"/>
      <c r="J9" s="1539">
        <f t="shared" si="2"/>
        <v>0</v>
      </c>
    </row>
    <row r="10" spans="2:10" ht="16.5" thickTop="1" thickBot="1" x14ac:dyDescent="0.3">
      <c r="B10" s="806"/>
      <c r="C10" s="1564">
        <v>4</v>
      </c>
      <c r="D10" s="2122">
        <v>0</v>
      </c>
      <c r="E10" s="2108" t="s">
        <v>1076</v>
      </c>
      <c r="F10" s="1565"/>
      <c r="G10" s="1565">
        <f t="shared" si="0"/>
        <v>23.80952380952381</v>
      </c>
      <c r="H10" s="1537">
        <f t="shared" si="1"/>
        <v>0</v>
      </c>
      <c r="I10" s="1566"/>
      <c r="J10" s="1567">
        <f t="shared" si="2"/>
        <v>0</v>
      </c>
    </row>
    <row r="11" spans="2:10" ht="16.5" thickTop="1" thickBot="1" x14ac:dyDescent="0.3">
      <c r="B11" s="16"/>
      <c r="C11" s="1544">
        <v>5</v>
      </c>
      <c r="D11" s="2122">
        <v>0</v>
      </c>
      <c r="E11" s="2108" t="s">
        <v>1076</v>
      </c>
      <c r="F11" s="1542"/>
      <c r="G11" s="1542">
        <f t="shared" si="0"/>
        <v>23.80952380952381</v>
      </c>
      <c r="H11" s="1537">
        <f t="shared" si="1"/>
        <v>0</v>
      </c>
      <c r="I11" s="1538"/>
      <c r="J11" s="1539">
        <f t="shared" si="2"/>
        <v>0</v>
      </c>
    </row>
    <row r="12" spans="2:10" ht="16.5" thickTop="1" thickBot="1" x14ac:dyDescent="0.3">
      <c r="B12" s="16"/>
      <c r="C12" s="1544">
        <v>6</v>
      </c>
      <c r="D12" s="2122">
        <v>0</v>
      </c>
      <c r="E12" s="2108" t="s">
        <v>1076</v>
      </c>
      <c r="F12" s="1542"/>
      <c r="G12" s="1542">
        <f t="shared" si="0"/>
        <v>23.80952380952381</v>
      </c>
      <c r="H12" s="1537">
        <f t="shared" si="1"/>
        <v>0</v>
      </c>
      <c r="I12" s="1538"/>
      <c r="J12" s="1539">
        <f t="shared" si="2"/>
        <v>0</v>
      </c>
    </row>
    <row r="13" spans="2:10" ht="16.5" thickTop="1" thickBot="1" x14ac:dyDescent="0.3">
      <c r="B13" s="16"/>
      <c r="C13" s="1544">
        <v>7</v>
      </c>
      <c r="D13" s="2122">
        <v>0</v>
      </c>
      <c r="E13" s="2108" t="s">
        <v>1076</v>
      </c>
      <c r="F13" s="1542"/>
      <c r="G13" s="1542">
        <f t="shared" si="0"/>
        <v>23.80952380952381</v>
      </c>
      <c r="H13" s="1537">
        <f t="shared" si="1"/>
        <v>0</v>
      </c>
      <c r="I13" s="1538"/>
      <c r="J13" s="1539">
        <f t="shared" si="2"/>
        <v>0</v>
      </c>
    </row>
    <row r="14" spans="2:10" ht="16.5" thickTop="1" thickBot="1" x14ac:dyDescent="0.3">
      <c r="B14" s="16"/>
      <c r="C14" s="1544">
        <v>8</v>
      </c>
      <c r="D14" s="2122">
        <v>190528</v>
      </c>
      <c r="E14" s="2108" t="s">
        <v>1077</v>
      </c>
      <c r="F14" s="1542"/>
      <c r="G14" s="1542">
        <f t="shared" si="0"/>
        <v>21.994971428571432</v>
      </c>
      <c r="H14" s="1537">
        <f t="shared" si="1"/>
        <v>7.6211200000000007E-2</v>
      </c>
      <c r="I14" s="1538"/>
      <c r="J14" s="1539">
        <f t="shared" si="2"/>
        <v>7.9386666666666663</v>
      </c>
    </row>
    <row r="15" spans="2:10" ht="16.5" thickTop="1" thickBot="1" x14ac:dyDescent="0.3">
      <c r="B15" s="16"/>
      <c r="C15" s="1544">
        <v>9</v>
      </c>
      <c r="D15" s="2122">
        <v>1817708</v>
      </c>
      <c r="E15" s="2108" t="s">
        <v>1097</v>
      </c>
      <c r="F15" s="1542"/>
      <c r="G15" s="1542">
        <f t="shared" si="0"/>
        <v>6.4980190476190467</v>
      </c>
      <c r="H15" s="1537">
        <f t="shared" si="1"/>
        <v>0.72708320000000004</v>
      </c>
      <c r="I15" s="1538"/>
      <c r="J15" s="1539">
        <f t="shared" si="2"/>
        <v>75.737833333333342</v>
      </c>
    </row>
    <row r="16" spans="2:10" ht="16.5" thickTop="1" thickBot="1" x14ac:dyDescent="0.3">
      <c r="B16" s="16"/>
      <c r="C16" s="1544">
        <v>10</v>
      </c>
      <c r="D16" s="2122">
        <v>2405788</v>
      </c>
      <c r="E16" s="2108" t="s">
        <v>1098</v>
      </c>
      <c r="F16" s="1542"/>
      <c r="G16" s="1542">
        <f t="shared" si="0"/>
        <v>0.89725714285714275</v>
      </c>
      <c r="H16" s="1537">
        <f t="shared" si="1"/>
        <v>0.96231520000000004</v>
      </c>
      <c r="I16" s="1538"/>
      <c r="J16" s="1539">
        <f t="shared" si="2"/>
        <v>100.24116666666667</v>
      </c>
    </row>
    <row r="17" spans="2:10" ht="16.5" thickTop="1" thickBot="1" x14ac:dyDescent="0.3">
      <c r="B17" s="16"/>
      <c r="C17" s="1544">
        <v>11</v>
      </c>
      <c r="D17" s="2122">
        <v>2393434</v>
      </c>
      <c r="E17" s="2108" t="s">
        <v>1098</v>
      </c>
      <c r="F17" s="1542"/>
      <c r="G17" s="1542">
        <f t="shared" si="0"/>
        <v>1.0149142857142839</v>
      </c>
      <c r="H17" s="1537">
        <f t="shared" si="1"/>
        <v>0.95737360000000005</v>
      </c>
      <c r="I17" s="1538"/>
      <c r="J17" s="1539">
        <f t="shared" si="2"/>
        <v>99.72641666666668</v>
      </c>
    </row>
    <row r="18" spans="2:10" ht="16.5" thickTop="1" thickBot="1" x14ac:dyDescent="0.3">
      <c r="B18" s="16"/>
      <c r="C18" s="1544">
        <v>12</v>
      </c>
      <c r="D18" s="2122">
        <v>2405045</v>
      </c>
      <c r="E18" s="2108" t="s">
        <v>1099</v>
      </c>
      <c r="F18" s="1542"/>
      <c r="G18" s="1542">
        <f t="shared" si="0"/>
        <v>0.90433333333333266</v>
      </c>
      <c r="H18" s="1537">
        <f t="shared" si="1"/>
        <v>0.96201800000000004</v>
      </c>
      <c r="I18" s="1538"/>
      <c r="J18" s="1539">
        <f t="shared" si="2"/>
        <v>100.21020833333334</v>
      </c>
    </row>
    <row r="19" spans="2:10" ht="16.5" thickTop="1" thickBot="1" x14ac:dyDescent="0.3">
      <c r="B19" s="16"/>
      <c r="C19" s="1544">
        <v>13</v>
      </c>
      <c r="D19" s="2122">
        <v>1825948</v>
      </c>
      <c r="E19" s="2108" t="s">
        <v>1099</v>
      </c>
      <c r="F19" s="1542"/>
      <c r="G19" s="1542">
        <f t="shared" si="0"/>
        <v>6.4195428571428561</v>
      </c>
      <c r="H19" s="1537">
        <f t="shared" si="1"/>
        <v>0.73037920000000001</v>
      </c>
      <c r="I19" s="1538"/>
      <c r="J19" s="1539">
        <f t="shared" si="2"/>
        <v>76.081166666666675</v>
      </c>
    </row>
    <row r="20" spans="2:10" ht="16.5" thickTop="1" thickBot="1" x14ac:dyDescent="0.3">
      <c r="B20" s="16"/>
      <c r="C20" s="1544">
        <v>14</v>
      </c>
      <c r="D20" s="2122">
        <v>2236014</v>
      </c>
      <c r="E20" s="2108" t="s">
        <v>1099</v>
      </c>
      <c r="F20" s="1542"/>
      <c r="G20" s="1542">
        <f t="shared" si="0"/>
        <v>2.5141523809523796</v>
      </c>
      <c r="H20" s="1537">
        <f t="shared" si="1"/>
        <v>0.89440560000000002</v>
      </c>
      <c r="I20" s="1538"/>
      <c r="J20" s="1539">
        <f t="shared" si="2"/>
        <v>93.16725000000001</v>
      </c>
    </row>
    <row r="21" spans="2:10" ht="16.5" thickTop="1" thickBot="1" x14ac:dyDescent="0.3">
      <c r="B21" s="16"/>
      <c r="C21" s="1544">
        <v>15</v>
      </c>
      <c r="D21" s="2122">
        <v>1160345</v>
      </c>
      <c r="E21" s="2108" t="s">
        <v>1100</v>
      </c>
      <c r="F21" s="1542"/>
      <c r="G21" s="1542">
        <f>(2500-(D21/1000))/105</f>
        <v>12.758619047619048</v>
      </c>
      <c r="H21" s="1537">
        <f t="shared" si="1"/>
        <v>0.464138</v>
      </c>
      <c r="I21" s="1538"/>
      <c r="J21" s="1539">
        <f t="shared" si="2"/>
        <v>48.347708333333337</v>
      </c>
    </row>
    <row r="22" spans="2:10" ht="16.5" thickTop="1" thickBot="1" x14ac:dyDescent="0.3">
      <c r="B22" s="16"/>
      <c r="C22" s="1544">
        <v>16</v>
      </c>
      <c r="D22" s="2122">
        <v>1890275</v>
      </c>
      <c r="E22" s="2108" t="s">
        <v>1100</v>
      </c>
      <c r="F22" s="1542"/>
      <c r="G22" s="1542">
        <f t="shared" si="0"/>
        <v>5.8069047619047609</v>
      </c>
      <c r="H22" s="1537">
        <f t="shared" si="1"/>
        <v>0.75611000000000006</v>
      </c>
      <c r="I22" s="1538"/>
      <c r="J22" s="1539">
        <f t="shared" si="2"/>
        <v>78.761458333333337</v>
      </c>
    </row>
    <row r="23" spans="2:10" ht="16.5" thickTop="1" thickBot="1" x14ac:dyDescent="0.3">
      <c r="B23" s="16"/>
      <c r="C23" s="1544">
        <v>17</v>
      </c>
      <c r="D23" s="2122">
        <v>1443135</v>
      </c>
      <c r="E23" s="2108" t="s">
        <v>1100</v>
      </c>
      <c r="F23" s="1542"/>
      <c r="G23" s="1542">
        <f>(2500-(D23/1000))/105</f>
        <v>10.065380952380952</v>
      </c>
      <c r="H23" s="1537">
        <f t="shared" si="1"/>
        <v>0.57725400000000004</v>
      </c>
      <c r="I23" s="1538"/>
      <c r="J23" s="1539">
        <f t="shared" si="2"/>
        <v>60.130625000000002</v>
      </c>
    </row>
    <row r="24" spans="2:10" ht="16.5" thickTop="1" thickBot="1" x14ac:dyDescent="0.3">
      <c r="B24" s="16"/>
      <c r="C24" s="1545">
        <v>18</v>
      </c>
      <c r="D24" s="2122">
        <v>24387</v>
      </c>
      <c r="E24" s="2108" t="s">
        <v>1076</v>
      </c>
      <c r="F24" s="1542"/>
      <c r="G24" s="1542">
        <f t="shared" si="0"/>
        <v>23.577266666666667</v>
      </c>
      <c r="H24" s="1537">
        <f t="shared" si="1"/>
        <v>9.7547999999999992E-3</v>
      </c>
      <c r="I24" s="1538"/>
      <c r="J24" s="1539">
        <f t="shared" si="2"/>
        <v>1.0161249999999999</v>
      </c>
    </row>
    <row r="25" spans="2:10" ht="16.5" thickTop="1" thickBot="1" x14ac:dyDescent="0.3">
      <c r="B25" s="16"/>
      <c r="C25" s="1545">
        <v>19</v>
      </c>
      <c r="D25" s="2122">
        <v>0</v>
      </c>
      <c r="E25" s="2108" t="s">
        <v>1076</v>
      </c>
      <c r="F25" s="1542"/>
      <c r="G25" s="1542">
        <f t="shared" si="0"/>
        <v>23.80952380952381</v>
      </c>
      <c r="H25" s="1537">
        <f t="shared" si="1"/>
        <v>0</v>
      </c>
      <c r="I25" s="1538"/>
      <c r="J25" s="1539">
        <f t="shared" si="2"/>
        <v>0</v>
      </c>
    </row>
    <row r="26" spans="2:10" ht="16.5" thickTop="1" thickBot="1" x14ac:dyDescent="0.3">
      <c r="B26" s="16"/>
      <c r="C26" s="1545">
        <v>20</v>
      </c>
      <c r="D26" s="2122">
        <v>0</v>
      </c>
      <c r="E26" s="2108" t="s">
        <v>1076</v>
      </c>
      <c r="F26" s="1542"/>
      <c r="G26" s="1542">
        <f t="shared" si="0"/>
        <v>23.80952380952381</v>
      </c>
      <c r="H26" s="1537">
        <f t="shared" si="1"/>
        <v>0</v>
      </c>
      <c r="I26" s="1538"/>
      <c r="J26" s="1539">
        <f t="shared" si="2"/>
        <v>0</v>
      </c>
    </row>
    <row r="27" spans="2:10" ht="16.5" thickTop="1" thickBot="1" x14ac:dyDescent="0.3">
      <c r="B27" s="16"/>
      <c r="C27" s="1545">
        <v>21</v>
      </c>
      <c r="D27" s="2122">
        <v>0</v>
      </c>
      <c r="E27" s="2108" t="s">
        <v>1076</v>
      </c>
      <c r="F27" s="1542"/>
      <c r="G27" s="1542">
        <f t="shared" si="0"/>
        <v>23.80952380952381</v>
      </c>
      <c r="H27" s="1537">
        <f t="shared" si="1"/>
        <v>0</v>
      </c>
      <c r="I27" s="1538"/>
      <c r="J27" s="1539">
        <f t="shared" si="2"/>
        <v>0</v>
      </c>
    </row>
    <row r="28" spans="2:10" ht="16.5" thickTop="1" thickBot="1" x14ac:dyDescent="0.3">
      <c r="B28" s="16"/>
      <c r="C28" s="1545">
        <v>22</v>
      </c>
      <c r="D28" s="2122">
        <v>0</v>
      </c>
      <c r="E28" s="2108" t="s">
        <v>1076</v>
      </c>
      <c r="F28" s="1542"/>
      <c r="G28" s="1542">
        <f t="shared" si="0"/>
        <v>23.80952380952381</v>
      </c>
      <c r="H28" s="1537">
        <f t="shared" si="1"/>
        <v>0</v>
      </c>
      <c r="I28" s="1538"/>
      <c r="J28" s="1539">
        <f t="shared" si="2"/>
        <v>0</v>
      </c>
    </row>
    <row r="29" spans="2:10" ht="16.5" thickTop="1" thickBot="1" x14ac:dyDescent="0.3">
      <c r="B29" s="16"/>
      <c r="C29" s="1545">
        <v>23</v>
      </c>
      <c r="D29" s="2122">
        <v>0</v>
      </c>
      <c r="E29" s="2108" t="s">
        <v>1076</v>
      </c>
      <c r="F29" s="1542"/>
      <c r="G29" s="1542">
        <f t="shared" si="0"/>
        <v>23.80952380952381</v>
      </c>
      <c r="H29" s="1537">
        <f t="shared" si="1"/>
        <v>0</v>
      </c>
      <c r="I29" s="1538"/>
      <c r="J29" s="1539">
        <f t="shared" si="2"/>
        <v>0</v>
      </c>
    </row>
    <row r="30" spans="2:10" ht="16.5" thickTop="1" thickBot="1" x14ac:dyDescent="0.3">
      <c r="B30" s="16"/>
      <c r="C30" s="1545">
        <v>24</v>
      </c>
      <c r="D30" s="2122">
        <v>0</v>
      </c>
      <c r="E30" s="2108" t="s">
        <v>1076</v>
      </c>
      <c r="F30" s="1542"/>
      <c r="G30" s="1542">
        <f t="shared" si="0"/>
        <v>23.80952380952381</v>
      </c>
      <c r="H30" s="1537">
        <f t="shared" si="1"/>
        <v>0</v>
      </c>
      <c r="I30" s="1538"/>
      <c r="J30" s="1539">
        <f t="shared" si="2"/>
        <v>0</v>
      </c>
    </row>
    <row r="31" spans="2:10" ht="16.5" thickTop="1" thickBot="1" x14ac:dyDescent="0.3">
      <c r="B31" s="16"/>
      <c r="C31" s="1545">
        <v>25</v>
      </c>
      <c r="D31" s="2122">
        <v>0</v>
      </c>
      <c r="E31" s="2108" t="s">
        <v>1076</v>
      </c>
      <c r="F31" s="1542"/>
      <c r="G31" s="1542">
        <f t="shared" si="0"/>
        <v>23.80952380952381</v>
      </c>
      <c r="H31" s="1537">
        <f t="shared" si="1"/>
        <v>0</v>
      </c>
      <c r="I31" s="1538"/>
      <c r="J31" s="1539">
        <f t="shared" si="2"/>
        <v>0</v>
      </c>
    </row>
    <row r="32" spans="2:10" ht="16.5" thickTop="1" thickBot="1" x14ac:dyDescent="0.3">
      <c r="B32" s="16"/>
      <c r="C32" s="1545">
        <v>26</v>
      </c>
      <c r="D32" s="2122">
        <v>0</v>
      </c>
      <c r="E32" s="2108" t="s">
        <v>1076</v>
      </c>
      <c r="F32" s="1542"/>
      <c r="G32" s="1542">
        <f t="shared" si="0"/>
        <v>23.80952380952381</v>
      </c>
      <c r="H32" s="1537">
        <f t="shared" si="1"/>
        <v>0</v>
      </c>
      <c r="I32" s="1538"/>
      <c r="J32" s="1539">
        <f t="shared" si="2"/>
        <v>0</v>
      </c>
    </row>
    <row r="33" spans="2:10" ht="16.5" thickTop="1" thickBot="1" x14ac:dyDescent="0.3">
      <c r="B33" s="16"/>
      <c r="C33" s="1545">
        <v>27</v>
      </c>
      <c r="D33" s="2122">
        <v>0</v>
      </c>
      <c r="E33" s="2108" t="s">
        <v>1076</v>
      </c>
      <c r="F33" s="1542"/>
      <c r="G33" s="1542">
        <f t="shared" si="0"/>
        <v>23.80952380952381</v>
      </c>
      <c r="H33" s="1537">
        <f t="shared" si="1"/>
        <v>0</v>
      </c>
      <c r="I33" s="1538"/>
      <c r="J33" s="1539">
        <f t="shared" si="2"/>
        <v>0</v>
      </c>
    </row>
    <row r="34" spans="2:10" ht="16.5" thickTop="1" thickBot="1" x14ac:dyDescent="0.3">
      <c r="B34" s="16"/>
      <c r="C34" s="1545">
        <v>28</v>
      </c>
      <c r="D34" s="2122">
        <v>0</v>
      </c>
      <c r="E34" s="2108" t="s">
        <v>1076</v>
      </c>
      <c r="F34" s="1542"/>
      <c r="G34" s="1542">
        <f t="shared" si="0"/>
        <v>23.80952380952381</v>
      </c>
      <c r="H34" s="1537">
        <f t="shared" si="1"/>
        <v>0</v>
      </c>
      <c r="I34" s="1538"/>
      <c r="J34" s="1539">
        <f t="shared" si="2"/>
        <v>0</v>
      </c>
    </row>
    <row r="35" spans="2:10" ht="16.5" thickTop="1" thickBot="1" x14ac:dyDescent="0.3">
      <c r="B35" s="16"/>
      <c r="C35" s="1545">
        <v>29</v>
      </c>
      <c r="D35" s="2122">
        <v>0</v>
      </c>
      <c r="E35" s="2108" t="s">
        <v>1076</v>
      </c>
      <c r="F35" s="1568"/>
      <c r="G35" s="1542">
        <f t="shared" si="0"/>
        <v>23.80952380952381</v>
      </c>
      <c r="H35" s="1537">
        <f t="shared" si="1"/>
        <v>0</v>
      </c>
      <c r="I35" s="1538"/>
      <c r="J35" s="1539">
        <f t="shared" si="2"/>
        <v>0</v>
      </c>
    </row>
    <row r="36" spans="2:10" ht="16.5" thickTop="1" thickBot="1" x14ac:dyDescent="0.3">
      <c r="B36" s="16"/>
      <c r="C36" s="1546">
        <v>30</v>
      </c>
      <c r="D36" s="2123">
        <v>0</v>
      </c>
      <c r="E36" s="2108" t="s">
        <v>1076</v>
      </c>
      <c r="F36" s="1569"/>
      <c r="G36" s="1542">
        <f t="shared" si="0"/>
        <v>23.80952380952381</v>
      </c>
      <c r="H36" s="1537">
        <f t="shared" si="1"/>
        <v>0</v>
      </c>
      <c r="I36" s="1538"/>
      <c r="J36" s="1539">
        <f t="shared" si="2"/>
        <v>0</v>
      </c>
    </row>
    <row r="37" spans="2:10" ht="15.75" hidden="1" thickBot="1" x14ac:dyDescent="0.3">
      <c r="B37" s="16"/>
      <c r="C37" s="1548">
        <v>31</v>
      </c>
      <c r="D37" s="33">
        <v>0</v>
      </c>
      <c r="E37" s="2108" t="s">
        <v>1076</v>
      </c>
      <c r="F37" s="1549"/>
      <c r="G37" s="1550">
        <f t="shared" si="0"/>
        <v>23.80952380952381</v>
      </c>
      <c r="H37" s="1543">
        <f t="shared" ref="H37" si="3">D37/2000/1000</f>
        <v>0</v>
      </c>
      <c r="I37" s="1538"/>
      <c r="J37" s="1539">
        <f t="shared" si="2"/>
        <v>0</v>
      </c>
    </row>
    <row r="38" spans="2:10" ht="17.25" thickTop="1" thickBot="1" x14ac:dyDescent="0.3">
      <c r="B38" s="16"/>
      <c r="C38" s="1530" t="s">
        <v>158</v>
      </c>
      <c r="D38" s="1570">
        <f>SUM(D7:D37)</f>
        <v>17792607</v>
      </c>
      <c r="E38" s="1571"/>
      <c r="F38" s="1553">
        <f>SUM(F7:F36)</f>
        <v>0</v>
      </c>
      <c r="G38" s="1554">
        <f>SUM(G7:G36)</f>
        <v>544.83231428571423</v>
      </c>
      <c r="H38" s="1553"/>
      <c r="I38" s="1555"/>
      <c r="J38" s="1556">
        <f>AVERAGE(J7:J37)</f>
        <v>23.914794354838708</v>
      </c>
    </row>
    <row r="39" spans="2:10" ht="15.75" thickTop="1" x14ac:dyDescent="0.25">
      <c r="C39" s="1557"/>
      <c r="D39" s="1558"/>
      <c r="E39" s="1559"/>
      <c r="F39" s="1"/>
      <c r="G39" s="1"/>
      <c r="H39" s="1"/>
      <c r="I39" s="1"/>
      <c r="J39" s="1"/>
    </row>
    <row r="40" spans="2:10" x14ac:dyDescent="0.25">
      <c r="B40" s="16"/>
      <c r="C40" s="16"/>
      <c r="D40" s="1560" t="s">
        <v>829</v>
      </c>
      <c r="E40" s="16"/>
      <c r="F40" s="16"/>
      <c r="G40" s="16"/>
      <c r="H40" s="16"/>
      <c r="I40" s="16"/>
      <c r="J40" s="16"/>
    </row>
    <row r="41" spans="2:10" hidden="1" x14ac:dyDescent="0.25">
      <c r="B41" s="16"/>
      <c r="C41" s="16"/>
      <c r="D41" s="16" t="s">
        <v>830</v>
      </c>
      <c r="E41" s="16"/>
      <c r="F41" s="1539">
        <v>0</v>
      </c>
      <c r="G41" s="16" t="s">
        <v>831</v>
      </c>
      <c r="H41" s="16"/>
      <c r="I41" s="16"/>
      <c r="J41" s="16"/>
    </row>
    <row r="42" spans="2:10" hidden="1" x14ac:dyDescent="0.25">
      <c r="B42" s="16"/>
      <c r="C42" s="16"/>
      <c r="D42" s="16" t="s">
        <v>832</v>
      </c>
      <c r="E42" s="16"/>
      <c r="F42" s="1539">
        <v>0</v>
      </c>
      <c r="G42" s="16" t="s">
        <v>831</v>
      </c>
      <c r="H42" s="16"/>
      <c r="I42" s="16"/>
      <c r="J42" s="16"/>
    </row>
    <row r="43" spans="2:10" hidden="1" x14ac:dyDescent="0.25">
      <c r="B43" s="16"/>
      <c r="C43" s="16"/>
      <c r="D43" s="16" t="s">
        <v>1080</v>
      </c>
      <c r="E43" s="16"/>
      <c r="F43" s="1539"/>
      <c r="G43" s="16" t="s">
        <v>831</v>
      </c>
      <c r="H43" s="16"/>
      <c r="I43" s="16"/>
      <c r="J43" s="16"/>
    </row>
    <row r="44" spans="2:10" x14ac:dyDescent="0.25">
      <c r="B44" s="16"/>
      <c r="C44" s="16"/>
      <c r="D44" s="16" t="s">
        <v>1101</v>
      </c>
      <c r="E44" s="16"/>
      <c r="F44" s="1562">
        <v>0</v>
      </c>
      <c r="G44" s="16" t="s">
        <v>831</v>
      </c>
      <c r="H44" s="16"/>
      <c r="I44" s="16"/>
      <c r="J44" s="16"/>
    </row>
    <row r="45" spans="2:10" x14ac:dyDescent="0.25">
      <c r="B45" s="16"/>
      <c r="C45" s="16"/>
      <c r="D45" s="16" t="s">
        <v>1102</v>
      </c>
      <c r="E45" s="16"/>
      <c r="F45" s="1562">
        <f>G14</f>
        <v>21.994971428571432</v>
      </c>
      <c r="G45" s="16" t="s">
        <v>831</v>
      </c>
      <c r="H45" s="16"/>
      <c r="I45" s="16"/>
      <c r="J45" s="16"/>
    </row>
    <row r="46" spans="2:10" x14ac:dyDescent="0.25">
      <c r="B46" s="16"/>
      <c r="C46" s="16"/>
      <c r="D46" s="16" t="s">
        <v>1103</v>
      </c>
      <c r="E46" s="16"/>
      <c r="F46" s="1562">
        <f>SUM(G15)</f>
        <v>6.4980190476190467</v>
      </c>
      <c r="G46" s="16" t="s">
        <v>831</v>
      </c>
      <c r="H46" s="16"/>
      <c r="I46" s="16"/>
      <c r="J46" s="16"/>
    </row>
    <row r="47" spans="2:10" hidden="1" x14ac:dyDescent="0.25">
      <c r="B47" s="16"/>
      <c r="C47" s="16"/>
      <c r="D47" s="16" t="s">
        <v>833</v>
      </c>
      <c r="E47" s="16"/>
      <c r="F47" s="1562">
        <v>0</v>
      </c>
      <c r="G47" s="16" t="s">
        <v>831</v>
      </c>
      <c r="H47" s="16"/>
      <c r="I47" s="16"/>
      <c r="J47" s="16"/>
    </row>
    <row r="48" spans="2:10" hidden="1" x14ac:dyDescent="0.25">
      <c r="B48" s="16"/>
      <c r="C48" s="16"/>
      <c r="D48" s="16" t="s">
        <v>834</v>
      </c>
      <c r="E48" s="16"/>
      <c r="F48" s="1562">
        <v>0</v>
      </c>
      <c r="G48" s="16" t="s">
        <v>831</v>
      </c>
      <c r="H48" s="16"/>
      <c r="I48" s="16"/>
      <c r="J48" s="16"/>
    </row>
    <row r="49" spans="2:10" x14ac:dyDescent="0.25">
      <c r="B49" s="16"/>
      <c r="C49" s="16"/>
      <c r="D49" s="16" t="s">
        <v>1104</v>
      </c>
      <c r="E49" s="16"/>
      <c r="F49" s="1562">
        <f>SUM(G16:G17)</f>
        <v>1.9121714285714266</v>
      </c>
      <c r="G49" s="16" t="s">
        <v>831</v>
      </c>
      <c r="H49" s="16"/>
      <c r="I49" s="16"/>
      <c r="J49" s="16"/>
    </row>
    <row r="50" spans="2:10" hidden="1" x14ac:dyDescent="0.25">
      <c r="B50" s="16"/>
      <c r="C50" s="16"/>
      <c r="D50" s="1528" t="s">
        <v>838</v>
      </c>
      <c r="E50" s="16"/>
      <c r="F50" s="1562">
        <v>0</v>
      </c>
      <c r="G50" s="16" t="s">
        <v>831</v>
      </c>
      <c r="H50" s="16"/>
      <c r="I50" s="16"/>
      <c r="J50" s="16"/>
    </row>
    <row r="51" spans="2:10" x14ac:dyDescent="0.25">
      <c r="B51" s="16"/>
      <c r="C51" s="16"/>
      <c r="D51" s="1528" t="s">
        <v>1105</v>
      </c>
      <c r="E51" s="16"/>
      <c r="F51" s="1562">
        <f>SUM(G7:G13,G24:G36)</f>
        <v>475.95821904761891</v>
      </c>
      <c r="G51" s="16" t="s">
        <v>831</v>
      </c>
      <c r="H51" s="16"/>
      <c r="I51" s="16"/>
      <c r="J51" s="16"/>
    </row>
    <row r="52" spans="2:10" hidden="1" x14ac:dyDescent="0.25">
      <c r="B52" s="16"/>
      <c r="C52" s="16"/>
      <c r="D52" s="1528" t="s">
        <v>839</v>
      </c>
      <c r="E52" s="16"/>
      <c r="F52" s="1562">
        <v>0</v>
      </c>
      <c r="G52" s="16" t="s">
        <v>831</v>
      </c>
      <c r="H52" s="16"/>
      <c r="I52" s="16"/>
      <c r="J52" s="16"/>
    </row>
    <row r="53" spans="2:10" x14ac:dyDescent="0.25">
      <c r="B53" s="16"/>
      <c r="C53" s="16"/>
      <c r="D53" s="1528" t="s">
        <v>1106</v>
      </c>
      <c r="E53" s="16"/>
      <c r="F53" s="1562">
        <f>SUM(G21:G23)</f>
        <v>28.630904761904763</v>
      </c>
      <c r="G53" s="16" t="s">
        <v>831</v>
      </c>
      <c r="H53" s="16"/>
      <c r="I53" s="16"/>
      <c r="J53" s="16"/>
    </row>
    <row r="54" spans="2:10" x14ac:dyDescent="0.25">
      <c r="B54" s="16"/>
      <c r="C54" s="16"/>
      <c r="D54" s="1528" t="s">
        <v>1107</v>
      </c>
      <c r="E54" s="16"/>
      <c r="F54" s="1562">
        <f>SUM(G18:G20)</f>
        <v>9.838028571428568</v>
      </c>
      <c r="G54" s="16" t="s">
        <v>831</v>
      </c>
      <c r="H54" s="16"/>
      <c r="I54" s="16"/>
      <c r="J54" s="16"/>
    </row>
    <row r="55" spans="2:10" x14ac:dyDescent="0.25">
      <c r="B55" s="1"/>
      <c r="C55" s="1"/>
      <c r="D55" s="2369" t="s">
        <v>1</v>
      </c>
      <c r="E55" s="2369"/>
      <c r="F55" s="1563">
        <f>SUM(F41:F54)</f>
        <v>544.83231428571412</v>
      </c>
      <c r="G55" s="2" t="s">
        <v>831</v>
      </c>
      <c r="H55" s="2"/>
      <c r="I55" s="2"/>
      <c r="J55" s="2"/>
    </row>
    <row r="56" spans="2:10" x14ac:dyDescent="0.25">
      <c r="B56" s="1"/>
      <c r="C56" s="1"/>
      <c r="D56" s="2368" t="s">
        <v>1108</v>
      </c>
      <c r="E56" s="2368"/>
      <c r="F56" s="1"/>
      <c r="G56" s="1"/>
      <c r="H56" s="1"/>
      <c r="I56" s="1"/>
      <c r="J56" s="1"/>
    </row>
    <row r="64" spans="2:10" x14ac:dyDescent="0.25">
      <c r="C64" s="2270" t="s">
        <v>766</v>
      </c>
      <c r="D64" s="2270"/>
      <c r="E64" s="1191" t="s">
        <v>767</v>
      </c>
      <c r="G64" s="1191" t="s">
        <v>768</v>
      </c>
    </row>
    <row r="65" spans="3:7" x14ac:dyDescent="0.25">
      <c r="D65" s="1309"/>
      <c r="E65" s="1309"/>
      <c r="G65" s="1309"/>
    </row>
    <row r="66" spans="3:7" x14ac:dyDescent="0.25">
      <c r="D66" s="1309"/>
      <c r="E66" s="1309"/>
      <c r="G66" s="1309"/>
    </row>
    <row r="67" spans="3:7" x14ac:dyDescent="0.25">
      <c r="D67" s="1309"/>
      <c r="E67" s="1309"/>
      <c r="G67" s="1309"/>
    </row>
    <row r="68" spans="3:7" x14ac:dyDescent="0.25">
      <c r="C68" s="2271" t="s">
        <v>1119</v>
      </c>
      <c r="D68" s="2271"/>
      <c r="E68" s="1311" t="s">
        <v>769</v>
      </c>
      <c r="G68" s="1311" t="s">
        <v>770</v>
      </c>
    </row>
    <row r="69" spans="3:7" x14ac:dyDescent="0.25">
      <c r="C69" s="2272" t="s">
        <v>772</v>
      </c>
      <c r="D69" s="2272"/>
      <c r="E69" s="1309" t="s">
        <v>773</v>
      </c>
      <c r="G69" s="1309" t="s">
        <v>774</v>
      </c>
    </row>
  </sheetData>
  <mergeCells count="10">
    <mergeCell ref="C2:G2"/>
    <mergeCell ref="C5:C6"/>
    <mergeCell ref="D5:D6"/>
    <mergeCell ref="E5:E6"/>
    <mergeCell ref="F5:H5"/>
    <mergeCell ref="C64:D64"/>
    <mergeCell ref="C68:D68"/>
    <mergeCell ref="C69:D69"/>
    <mergeCell ref="D55:E55"/>
    <mergeCell ref="D56:E5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topLeftCell="A2" zoomScale="115" zoomScaleNormal="115" workbookViewId="0">
      <selection activeCell="I15" sqref="I15"/>
    </sheetView>
  </sheetViews>
  <sheetFormatPr defaultColWidth="8.5703125" defaultRowHeight="15" x14ac:dyDescent="0.25"/>
  <cols>
    <col min="1" max="1" width="4.42578125" style="913" customWidth="1"/>
    <col min="2" max="2" width="38.42578125" style="913" customWidth="1"/>
    <col min="3" max="3" width="17.42578125" style="913" bestFit="1" customWidth="1"/>
    <col min="4" max="4" width="13.5703125" style="913" customWidth="1"/>
    <col min="5" max="5" width="22" style="913" customWidth="1"/>
    <col min="6" max="6" width="10" style="913" customWidth="1"/>
    <col min="7" max="7" width="16.42578125" style="913" customWidth="1"/>
    <col min="8" max="8" width="17.42578125" style="913" customWidth="1"/>
    <col min="9" max="9" width="17.85546875" style="913" bestFit="1" customWidth="1"/>
    <col min="10" max="10" width="12.42578125" style="913" customWidth="1"/>
    <col min="11" max="11" width="17.42578125" style="913" bestFit="1" customWidth="1"/>
    <col min="12" max="12" width="12.42578125" style="913" customWidth="1"/>
    <col min="13" max="13" width="10.5703125" style="913" bestFit="1" customWidth="1"/>
    <col min="14" max="14" width="20.42578125" style="913" bestFit="1" customWidth="1"/>
    <col min="15" max="15" width="14.42578125" style="913" customWidth="1"/>
    <col min="16" max="28" width="7.5703125" style="913" customWidth="1"/>
    <col min="29" max="29" width="11" style="913" customWidth="1"/>
    <col min="30" max="41" width="13.42578125" style="913" hidden="1" customWidth="1"/>
    <col min="42" max="42" width="15.5703125" style="913" customWidth="1"/>
    <col min="43" max="16384" width="8.5703125" style="913"/>
  </cols>
  <sheetData>
    <row r="2" spans="2:13" ht="20.85" customHeight="1" x14ac:dyDescent="0.25">
      <c r="B2" s="1074" t="s">
        <v>560</v>
      </c>
      <c r="C2" s="1075"/>
      <c r="E2" s="1075"/>
      <c r="F2" s="1075"/>
      <c r="G2" s="913" t="s">
        <v>561</v>
      </c>
      <c r="H2" s="1181">
        <v>16000</v>
      </c>
    </row>
    <row r="3" spans="2:13" ht="23.85" customHeight="1" x14ac:dyDescent="0.25">
      <c r="B3" s="1076" t="s">
        <v>383</v>
      </c>
      <c r="C3" s="2370" t="s">
        <v>219</v>
      </c>
      <c r="D3" s="2371"/>
      <c r="E3" s="1077" t="s">
        <v>562</v>
      </c>
      <c r="F3" s="2372" t="s">
        <v>563</v>
      </c>
      <c r="G3" s="2373"/>
      <c r="H3" s="1078" t="s">
        <v>564</v>
      </c>
    </row>
    <row r="4" spans="2:13" ht="21" customHeight="1" x14ac:dyDescent="0.25">
      <c r="B4" s="1079" t="s">
        <v>565</v>
      </c>
      <c r="C4" s="1080">
        <f>408/24</f>
        <v>17</v>
      </c>
      <c r="D4" s="1081" t="s">
        <v>566</v>
      </c>
      <c r="E4" s="1186">
        <v>408</v>
      </c>
      <c r="F4" s="2374"/>
      <c r="G4" s="2375"/>
      <c r="H4" s="1082" t="s">
        <v>271</v>
      </c>
    </row>
    <row r="5" spans="2:13" x14ac:dyDescent="0.25">
      <c r="B5" s="1083" t="s">
        <v>567</v>
      </c>
      <c r="C5" s="1084">
        <v>1000</v>
      </c>
      <c r="D5" s="1085" t="s">
        <v>241</v>
      </c>
      <c r="E5" s="1086">
        <f>'JUNI 2025'!$AL$240</f>
        <v>1148.3394299999998</v>
      </c>
      <c r="F5" s="1087">
        <v>11.5</v>
      </c>
      <c r="G5" s="1085" t="s">
        <v>568</v>
      </c>
      <c r="H5" s="1088">
        <f>E5*H2*F5</f>
        <v>211294455.11999995</v>
      </c>
      <c r="I5" s="1089" t="s">
        <v>569</v>
      </c>
      <c r="J5" s="1089"/>
    </row>
    <row r="6" spans="2:13" x14ac:dyDescent="0.25">
      <c r="B6" s="1090" t="s">
        <v>570</v>
      </c>
      <c r="C6" s="1091"/>
      <c r="D6" s="1092"/>
      <c r="E6" s="1093"/>
      <c r="F6" s="1091"/>
      <c r="G6" s="1092"/>
      <c r="H6" s="1094"/>
    </row>
    <row r="7" spans="2:13" x14ac:dyDescent="0.25">
      <c r="B7" s="1095" t="s">
        <v>571</v>
      </c>
      <c r="C7" s="1096">
        <v>7.3</v>
      </c>
      <c r="D7" s="1092" t="s">
        <v>572</v>
      </c>
      <c r="E7" s="1097">
        <f t="shared" ref="E7:E12" si="0">C7</f>
        <v>7.3</v>
      </c>
      <c r="F7" s="1091">
        <v>25340</v>
      </c>
      <c r="G7" s="1092" t="s">
        <v>573</v>
      </c>
      <c r="H7" s="1094">
        <f t="shared" ref="H7:H12" si="1">E7*F7</f>
        <v>184982</v>
      </c>
      <c r="K7" s="1098"/>
    </row>
    <row r="8" spans="2:13" x14ac:dyDescent="0.25">
      <c r="B8" s="1095" t="s">
        <v>574</v>
      </c>
      <c r="C8" s="1096">
        <v>2.4</v>
      </c>
      <c r="D8" s="1092" t="s">
        <v>572</v>
      </c>
      <c r="E8" s="1097">
        <f t="shared" si="0"/>
        <v>2.4</v>
      </c>
      <c r="F8" s="1091">
        <v>110000</v>
      </c>
      <c r="G8" s="1092" t="s">
        <v>573</v>
      </c>
      <c r="H8" s="1094">
        <f t="shared" si="1"/>
        <v>264000</v>
      </c>
      <c r="K8" s="1098"/>
    </row>
    <row r="9" spans="2:13" x14ac:dyDescent="0.25">
      <c r="B9" s="1095" t="s">
        <v>575</v>
      </c>
      <c r="C9" s="1096">
        <v>2.4</v>
      </c>
      <c r="D9" s="1092" t="s">
        <v>572</v>
      </c>
      <c r="E9" s="1097">
        <f t="shared" si="0"/>
        <v>2.4</v>
      </c>
      <c r="F9" s="1091">
        <v>20160</v>
      </c>
      <c r="G9" s="1092" t="s">
        <v>573</v>
      </c>
      <c r="H9" s="1094">
        <f t="shared" si="1"/>
        <v>48384</v>
      </c>
      <c r="K9" s="1098"/>
    </row>
    <row r="10" spans="2:13" x14ac:dyDescent="0.25">
      <c r="B10" s="1095" t="s">
        <v>576</v>
      </c>
      <c r="C10" s="1096">
        <v>5.8</v>
      </c>
      <c r="D10" s="1092" t="s">
        <v>572</v>
      </c>
      <c r="E10" s="1097">
        <f t="shared" si="0"/>
        <v>5.8</v>
      </c>
      <c r="F10" s="1091">
        <v>31800</v>
      </c>
      <c r="G10" s="1092" t="s">
        <v>573</v>
      </c>
      <c r="H10" s="1094">
        <f t="shared" si="1"/>
        <v>184440</v>
      </c>
      <c r="K10" s="1098"/>
    </row>
    <row r="11" spans="2:13" x14ac:dyDescent="0.25">
      <c r="B11" s="1095" t="s">
        <v>577</v>
      </c>
      <c r="C11" s="1096">
        <v>1.4</v>
      </c>
      <c r="D11" s="1092" t="s">
        <v>572</v>
      </c>
      <c r="E11" s="1097">
        <f t="shared" si="0"/>
        <v>1.4</v>
      </c>
      <c r="F11" s="1091">
        <v>39320</v>
      </c>
      <c r="G11" s="1092" t="s">
        <v>573</v>
      </c>
      <c r="H11" s="1094">
        <f>E11*F11</f>
        <v>55048</v>
      </c>
      <c r="K11" s="1098"/>
    </row>
    <row r="12" spans="2:13" x14ac:dyDescent="0.25">
      <c r="B12" s="1090" t="s">
        <v>578</v>
      </c>
      <c r="C12" s="1099">
        <f>[9]L.Water!C12*83%</f>
        <v>408.01969999999994</v>
      </c>
      <c r="D12" s="1092" t="s">
        <v>254</v>
      </c>
      <c r="E12" s="1093">
        <f t="shared" si="0"/>
        <v>408.01969999999994</v>
      </c>
      <c r="F12" s="1091">
        <f>[9]L.Water!F12</f>
        <v>10162</v>
      </c>
      <c r="G12" s="1092" t="s">
        <v>579</v>
      </c>
      <c r="H12" s="1094">
        <f t="shared" si="1"/>
        <v>4146296.1913999994</v>
      </c>
      <c r="K12" s="1098"/>
    </row>
    <row r="13" spans="2:13" x14ac:dyDescent="0.25">
      <c r="B13" s="1090" t="s">
        <v>580</v>
      </c>
      <c r="C13" s="1091"/>
      <c r="D13" s="1092" t="s">
        <v>271</v>
      </c>
      <c r="E13" s="1093"/>
      <c r="F13" s="1091"/>
      <c r="G13" s="1092"/>
      <c r="H13" s="1094">
        <f>C13</f>
        <v>0</v>
      </c>
      <c r="J13" s="1089"/>
    </row>
    <row r="14" spans="2:13" x14ac:dyDescent="0.25">
      <c r="B14" s="1100" t="s">
        <v>581</v>
      </c>
      <c r="C14" s="1101"/>
      <c r="D14" s="1102"/>
      <c r="E14" s="1101"/>
      <c r="F14" s="1101"/>
      <c r="G14" s="1102"/>
      <c r="H14" s="1103">
        <f>SUM(H5:H13)</f>
        <v>216177605.31139994</v>
      </c>
    </row>
    <row r="15" spans="2:13" ht="21" customHeight="1" x14ac:dyDescent="0.25">
      <c r="C15" s="1075"/>
      <c r="E15" s="1075"/>
      <c r="F15" s="2376" t="s">
        <v>582</v>
      </c>
      <c r="G15" s="2377"/>
      <c r="H15" s="1104">
        <f>H14/E4</f>
        <v>529847.07184166647</v>
      </c>
      <c r="I15" s="2131">
        <f>H15*58900</f>
        <v>31207992531.474155</v>
      </c>
    </row>
    <row r="16" spans="2:13" x14ac:dyDescent="0.25">
      <c r="M16" s="1098"/>
    </row>
    <row r="17" spans="2:41" x14ac:dyDescent="0.25">
      <c r="B17" s="913" t="s">
        <v>583</v>
      </c>
      <c r="M17" s="1098"/>
      <c r="O17" s="1098"/>
      <c r="P17" s="1098"/>
      <c r="Q17" s="1098"/>
      <c r="R17" s="1098"/>
      <c r="S17" s="1098"/>
      <c r="T17" s="1098"/>
      <c r="U17" s="1098"/>
      <c r="V17" s="1098"/>
      <c r="W17" s="1098"/>
      <c r="X17" s="1098"/>
      <c r="Y17" s="1098"/>
      <c r="Z17" s="1098"/>
      <c r="AA17" s="1098"/>
      <c r="AB17" s="1098"/>
      <c r="AC17" s="1098"/>
      <c r="AD17" s="1098"/>
      <c r="AE17" s="1098"/>
      <c r="AF17" s="1098"/>
      <c r="AG17" s="1098"/>
      <c r="AH17" s="1098"/>
      <c r="AI17" s="1098"/>
      <c r="AJ17" s="1098"/>
      <c r="AK17" s="1098"/>
      <c r="AL17" s="1098"/>
      <c r="AM17" s="1098"/>
      <c r="AN17" s="1098"/>
      <c r="AO17" s="1098"/>
    </row>
    <row r="18" spans="2:41" x14ac:dyDescent="0.25">
      <c r="B18" s="913" t="s">
        <v>584</v>
      </c>
      <c r="M18" s="1098"/>
      <c r="O18" s="1098"/>
      <c r="P18" s="1098"/>
      <c r="Q18" s="1098"/>
      <c r="R18" s="1098"/>
      <c r="S18" s="1098"/>
      <c r="T18" s="1098"/>
      <c r="U18" s="1098"/>
      <c r="V18" s="1098"/>
      <c r="W18" s="1098"/>
      <c r="X18" s="1098"/>
      <c r="Y18" s="1098"/>
      <c r="Z18" s="1098"/>
      <c r="AA18" s="1098"/>
      <c r="AB18" s="1098"/>
      <c r="AC18" s="1098"/>
      <c r="AD18" s="1098"/>
      <c r="AE18" s="1098"/>
      <c r="AF18" s="1098"/>
      <c r="AG18" s="1098"/>
      <c r="AH18" s="1098"/>
      <c r="AI18" s="1098"/>
      <c r="AJ18" s="1098"/>
      <c r="AK18" s="1098"/>
      <c r="AL18" s="1098"/>
      <c r="AM18" s="1098"/>
      <c r="AN18" s="1098"/>
      <c r="AO18" s="1098"/>
    </row>
    <row r="19" spans="2:41" x14ac:dyDescent="0.25">
      <c r="M19" s="1098"/>
      <c r="N19" s="1098"/>
    </row>
    <row r="20" spans="2:41" x14ac:dyDescent="0.25">
      <c r="M20" s="1098"/>
      <c r="N20" s="1098"/>
    </row>
    <row r="21" spans="2:41" x14ac:dyDescent="0.25">
      <c r="M21" s="1098"/>
    </row>
    <row r="22" spans="2:41" x14ac:dyDescent="0.25">
      <c r="M22" s="1098"/>
    </row>
    <row r="26" spans="2:41" x14ac:dyDescent="0.25">
      <c r="C26" s="913" t="s">
        <v>585</v>
      </c>
    </row>
    <row r="29" spans="2:41" x14ac:dyDescent="0.25">
      <c r="AB29" s="1098"/>
      <c r="AC29" s="1098"/>
      <c r="AD29" s="1098"/>
      <c r="AE29" s="1098"/>
      <c r="AF29" s="1098"/>
      <c r="AG29" s="1098"/>
      <c r="AH29" s="1098"/>
      <c r="AI29" s="1098"/>
      <c r="AJ29" s="1098"/>
      <c r="AK29" s="1098"/>
      <c r="AL29" s="1098"/>
      <c r="AM29" s="1098"/>
      <c r="AN29" s="1098"/>
      <c r="AO29" s="1105"/>
    </row>
    <row r="30" spans="2:41" x14ac:dyDescent="0.25">
      <c r="AB30" s="1098"/>
      <c r="AC30" s="1098"/>
      <c r="AD30" s="1098"/>
      <c r="AE30" s="1098"/>
      <c r="AF30" s="1098"/>
      <c r="AG30" s="1098"/>
      <c r="AH30" s="1098"/>
      <c r="AI30" s="1098"/>
      <c r="AJ30" s="1098"/>
      <c r="AK30" s="1098"/>
      <c r="AL30" s="1098"/>
      <c r="AM30" s="1098"/>
      <c r="AN30" s="1098"/>
      <c r="AO30" s="1105"/>
    </row>
    <row r="31" spans="2:41" x14ac:dyDescent="0.25">
      <c r="AB31" s="1098"/>
      <c r="AC31" s="1098"/>
      <c r="AD31" s="1098"/>
      <c r="AE31" s="1098"/>
      <c r="AF31" s="1098"/>
      <c r="AG31" s="1098"/>
      <c r="AH31" s="1098"/>
      <c r="AI31" s="1098"/>
      <c r="AJ31" s="1098"/>
      <c r="AK31" s="1098"/>
      <c r="AL31" s="1098"/>
      <c r="AM31" s="1098"/>
      <c r="AN31" s="1098"/>
      <c r="AO31" s="1105"/>
    </row>
    <row r="32" spans="2:41" x14ac:dyDescent="0.25">
      <c r="AB32" s="1098"/>
      <c r="AC32" s="1098"/>
      <c r="AD32" s="1098"/>
      <c r="AE32" s="1098"/>
      <c r="AF32" s="1098"/>
      <c r="AG32" s="1098"/>
      <c r="AH32" s="1098"/>
      <c r="AI32" s="1098"/>
      <c r="AJ32" s="1098"/>
      <c r="AK32" s="1098"/>
      <c r="AL32" s="1098"/>
      <c r="AM32" s="1098"/>
      <c r="AN32" s="1098"/>
      <c r="AO32" s="1105"/>
    </row>
    <row r="33" spans="28:41" x14ac:dyDescent="0.25">
      <c r="AB33" s="1098"/>
      <c r="AC33" s="1098"/>
      <c r="AD33" s="1098"/>
      <c r="AE33" s="1098"/>
      <c r="AF33" s="1098"/>
      <c r="AG33" s="1098"/>
      <c r="AH33" s="1098"/>
      <c r="AI33" s="1098"/>
      <c r="AJ33" s="1098"/>
      <c r="AK33" s="1098"/>
      <c r="AL33" s="1098"/>
      <c r="AM33" s="1098"/>
      <c r="AN33" s="1098"/>
      <c r="AO33" s="1105"/>
    </row>
    <row r="34" spans="28:41" x14ac:dyDescent="0.25">
      <c r="AB34" s="1098"/>
      <c r="AC34" s="1098"/>
      <c r="AD34" s="1098"/>
      <c r="AE34" s="1098"/>
      <c r="AF34" s="1098"/>
      <c r="AG34" s="1098"/>
      <c r="AH34" s="1098"/>
      <c r="AI34" s="1098"/>
      <c r="AJ34" s="1098"/>
      <c r="AK34" s="1098"/>
      <c r="AL34" s="1098"/>
      <c r="AM34" s="1098"/>
      <c r="AN34" s="1098"/>
      <c r="AO34" s="1105"/>
    </row>
    <row r="35" spans="28:41" x14ac:dyDescent="0.25">
      <c r="AB35" s="1098"/>
      <c r="AC35" s="1098"/>
      <c r="AD35" s="1098"/>
      <c r="AE35" s="1098"/>
      <c r="AF35" s="1098"/>
      <c r="AG35" s="1098"/>
      <c r="AH35" s="1098"/>
      <c r="AI35" s="1098"/>
      <c r="AJ35" s="1098"/>
      <c r="AK35" s="1098"/>
      <c r="AL35" s="1098"/>
      <c r="AM35" s="1098"/>
      <c r="AN35" s="1098"/>
      <c r="AO35" s="1105"/>
    </row>
    <row r="36" spans="28:41" x14ac:dyDescent="0.25">
      <c r="AB36" s="1098"/>
      <c r="AC36" s="1098"/>
      <c r="AD36" s="1098"/>
      <c r="AE36" s="1098"/>
      <c r="AF36" s="1098"/>
      <c r="AG36" s="1098"/>
      <c r="AH36" s="1098"/>
      <c r="AI36" s="1098"/>
      <c r="AJ36" s="1098"/>
      <c r="AK36" s="1098"/>
      <c r="AL36" s="1098"/>
      <c r="AM36" s="1098"/>
      <c r="AN36" s="1098"/>
      <c r="AO36" s="1105"/>
    </row>
    <row r="37" spans="28:41" x14ac:dyDescent="0.25">
      <c r="AB37" s="1098"/>
      <c r="AC37" s="1098"/>
      <c r="AD37" s="1098"/>
      <c r="AE37" s="1098"/>
      <c r="AF37" s="1098"/>
      <c r="AG37" s="1098"/>
      <c r="AH37" s="1098"/>
      <c r="AI37" s="1098"/>
      <c r="AJ37" s="1098"/>
      <c r="AK37" s="1098"/>
      <c r="AL37" s="1098"/>
      <c r="AM37" s="1098"/>
      <c r="AN37" s="1098"/>
      <c r="AO37" s="1105"/>
    </row>
    <row r="38" spans="28:41" x14ac:dyDescent="0.25">
      <c r="AB38" s="1098"/>
      <c r="AC38" s="1098"/>
      <c r="AD38" s="1098"/>
      <c r="AE38" s="1098"/>
      <c r="AF38" s="1098"/>
      <c r="AG38" s="1098"/>
      <c r="AH38" s="1098"/>
      <c r="AI38" s="1098"/>
      <c r="AJ38" s="1098"/>
      <c r="AK38" s="1098"/>
      <c r="AL38" s="1098"/>
      <c r="AM38" s="1098"/>
      <c r="AN38" s="1098"/>
      <c r="AO38" s="1105"/>
    </row>
    <row r="39" spans="28:41" x14ac:dyDescent="0.25">
      <c r="AB39" s="1098"/>
      <c r="AC39" s="1098"/>
      <c r="AD39" s="1098"/>
      <c r="AE39" s="1098"/>
      <c r="AF39" s="1098"/>
      <c r="AG39" s="1098"/>
      <c r="AH39" s="1098"/>
      <c r="AI39" s="1098"/>
      <c r="AJ39" s="1098"/>
      <c r="AK39" s="1098"/>
      <c r="AL39" s="1098"/>
      <c r="AM39" s="1098"/>
      <c r="AN39" s="1098"/>
      <c r="AO39" s="1105"/>
    </row>
    <row r="40" spans="28:41" x14ac:dyDescent="0.25">
      <c r="AB40" s="1098"/>
      <c r="AC40" s="1098"/>
      <c r="AD40" s="1098"/>
      <c r="AE40" s="1098"/>
      <c r="AF40" s="1098"/>
      <c r="AG40" s="1098"/>
      <c r="AH40" s="1098"/>
      <c r="AI40" s="1098"/>
      <c r="AJ40" s="1098"/>
      <c r="AK40" s="1098"/>
      <c r="AL40" s="1098"/>
      <c r="AM40" s="1098"/>
      <c r="AN40" s="1098"/>
      <c r="AO40" s="1105"/>
    </row>
    <row r="41" spans="28:41" x14ac:dyDescent="0.25">
      <c r="AB41" s="1098"/>
      <c r="AC41" s="1098"/>
      <c r="AD41" s="1098"/>
      <c r="AE41" s="1098"/>
      <c r="AF41" s="1098"/>
      <c r="AG41" s="1098"/>
      <c r="AH41" s="1098"/>
      <c r="AI41" s="1098"/>
      <c r="AJ41" s="1098"/>
      <c r="AK41" s="1098"/>
      <c r="AL41" s="1098"/>
      <c r="AM41" s="1098"/>
      <c r="AN41" s="1098"/>
      <c r="AO41" s="1105"/>
    </row>
    <row r="119" spans="29:42" x14ac:dyDescent="0.25">
      <c r="AC119" s="1098"/>
      <c r="AD119" s="1098"/>
      <c r="AE119" s="1098"/>
      <c r="AF119" s="1098"/>
      <c r="AG119" s="1098"/>
      <c r="AH119" s="1098"/>
      <c r="AI119" s="1098"/>
      <c r="AJ119" s="1098"/>
      <c r="AK119" s="1098"/>
      <c r="AL119" s="1098"/>
      <c r="AM119" s="1098"/>
      <c r="AN119" s="1098"/>
      <c r="AO119" s="1098"/>
      <c r="AP119" s="1105"/>
    </row>
    <row r="120" spans="29:42" x14ac:dyDescent="0.25">
      <c r="AC120" s="1098"/>
      <c r="AD120" s="1098"/>
      <c r="AE120" s="1098"/>
      <c r="AF120" s="1098"/>
      <c r="AG120" s="1098"/>
      <c r="AH120" s="1098"/>
      <c r="AI120" s="1098"/>
      <c r="AJ120" s="1098"/>
      <c r="AK120" s="1098"/>
      <c r="AL120" s="1098"/>
      <c r="AM120" s="1098"/>
      <c r="AN120" s="1098"/>
      <c r="AO120" s="1098"/>
      <c r="AP120" s="1105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E4" sqref="E4"/>
    </sheetView>
  </sheetViews>
  <sheetFormatPr defaultColWidth="8.5703125" defaultRowHeight="15" x14ac:dyDescent="0.25"/>
  <cols>
    <col min="1" max="1" width="4.42578125" style="913" customWidth="1"/>
    <col min="2" max="2" width="38.42578125" style="913" customWidth="1"/>
    <col min="3" max="4" width="13.5703125" style="913" customWidth="1"/>
    <col min="5" max="5" width="21" style="913" customWidth="1"/>
    <col min="6" max="6" width="10" style="913" customWidth="1"/>
    <col min="7" max="7" width="16.42578125" style="913" customWidth="1"/>
    <col min="8" max="8" width="19.42578125" style="913" customWidth="1"/>
    <col min="9" max="9" width="16.42578125" style="913" bestFit="1" customWidth="1"/>
    <col min="10" max="10" width="12.42578125" style="913" customWidth="1"/>
    <col min="11" max="11" width="17.42578125" style="913" bestFit="1" customWidth="1"/>
    <col min="12" max="12" width="12.42578125" style="913" customWidth="1"/>
    <col min="13" max="13" width="10.5703125" style="913" bestFit="1" customWidth="1"/>
    <col min="14" max="14" width="20.42578125" style="913" bestFit="1" customWidth="1"/>
    <col min="15" max="15" width="14.42578125" style="913" customWidth="1"/>
    <col min="16" max="28" width="7.5703125" style="913" customWidth="1"/>
    <col min="29" max="29" width="11" style="913" customWidth="1"/>
    <col min="30" max="41" width="13.42578125" style="913" hidden="1" customWidth="1"/>
    <col min="42" max="42" width="15.5703125" style="913" customWidth="1"/>
    <col min="43" max="16384" width="8.5703125" style="913"/>
  </cols>
  <sheetData>
    <row r="2" spans="2:10" ht="20.85" customHeight="1" x14ac:dyDescent="0.25">
      <c r="B2" s="1106" t="s">
        <v>586</v>
      </c>
      <c r="C2" s="1075"/>
      <c r="E2" s="1075"/>
      <c r="F2" s="1075"/>
      <c r="G2" s="913" t="s">
        <v>561</v>
      </c>
      <c r="H2" s="1181">
        <f>'SUMMARY HPP '!I9</f>
        <v>16000</v>
      </c>
    </row>
    <row r="3" spans="2:10" x14ac:dyDescent="0.25">
      <c r="B3" s="1076" t="s">
        <v>383</v>
      </c>
      <c r="C3" s="2370" t="s">
        <v>219</v>
      </c>
      <c r="D3" s="2371"/>
      <c r="E3" s="1077" t="s">
        <v>587</v>
      </c>
      <c r="F3" s="2372" t="s">
        <v>563</v>
      </c>
      <c r="G3" s="2373"/>
      <c r="H3" s="1078" t="s">
        <v>564</v>
      </c>
    </row>
    <row r="4" spans="2:10" x14ac:dyDescent="0.25">
      <c r="B4" s="1079" t="s">
        <v>588</v>
      </c>
      <c r="C4" s="1080">
        <f>200/24</f>
        <v>8.3333333333333339</v>
      </c>
      <c r="D4" s="1081" t="s">
        <v>589</v>
      </c>
      <c r="E4" s="1186">
        <f>'JUNI 2025'!AL267</f>
        <v>1219</v>
      </c>
      <c r="F4" s="2378"/>
      <c r="G4" s="2379"/>
      <c r="H4" s="1078" t="s">
        <v>271</v>
      </c>
    </row>
    <row r="5" spans="2:10" s="1113" customFormat="1" x14ac:dyDescent="0.25">
      <c r="B5" s="1108" t="s">
        <v>590</v>
      </c>
      <c r="C5" s="1109"/>
      <c r="D5" s="1110"/>
      <c r="E5" s="1111"/>
      <c r="F5" s="1091">
        <v>0</v>
      </c>
      <c r="G5" s="1112" t="s">
        <v>579</v>
      </c>
      <c r="H5" s="1094">
        <v>8700</v>
      </c>
    </row>
    <row r="6" spans="2:10" x14ac:dyDescent="0.25">
      <c r="B6" s="1090" t="s">
        <v>570</v>
      </c>
      <c r="C6" s="1091"/>
      <c r="D6" s="1092"/>
      <c r="E6" s="1093"/>
      <c r="F6" s="1091"/>
      <c r="G6" s="1092"/>
      <c r="H6" s="1094"/>
    </row>
    <row r="7" spans="2:10" x14ac:dyDescent="0.25">
      <c r="B7" s="1095" t="s">
        <v>591</v>
      </c>
      <c r="C7" s="1096">
        <v>0</v>
      </c>
      <c r="D7" s="1092" t="s">
        <v>237</v>
      </c>
      <c r="E7" s="1097">
        <f>C7</f>
        <v>0</v>
      </c>
      <c r="F7" s="1091">
        <v>24890</v>
      </c>
      <c r="G7" s="1092" t="s">
        <v>592</v>
      </c>
      <c r="H7" s="1094">
        <f t="shared" ref="H7:H15" si="0">E7*F7</f>
        <v>0</v>
      </c>
    </row>
    <row r="8" spans="2:10" x14ac:dyDescent="0.25">
      <c r="B8" s="1095" t="s">
        <v>593</v>
      </c>
      <c r="C8" s="1096">
        <f>E8*C4</f>
        <v>0.62305295950155759</v>
      </c>
      <c r="D8" s="1092" t="s">
        <v>237</v>
      </c>
      <c r="E8" s="1097">
        <v>7.476635514018691E-2</v>
      </c>
      <c r="F8" s="1091">
        <v>65340</v>
      </c>
      <c r="G8" s="1092" t="s">
        <v>592</v>
      </c>
      <c r="H8" s="1094">
        <f>E8*F8</f>
        <v>4885.2336448598126</v>
      </c>
    </row>
    <row r="9" spans="2:10" x14ac:dyDescent="0.25">
      <c r="B9" s="1095" t="s">
        <v>594</v>
      </c>
      <c r="C9" s="1096">
        <f>E9*C4</f>
        <v>46.728971962616825</v>
      </c>
      <c r="D9" s="1092" t="s">
        <v>237</v>
      </c>
      <c r="E9" s="1097">
        <v>5.6074766355140184</v>
      </c>
      <c r="F9" s="1091">
        <v>7702</v>
      </c>
      <c r="G9" s="1092" t="s">
        <v>592</v>
      </c>
      <c r="H9" s="1094">
        <f>E9*F9</f>
        <v>43188.785046728968</v>
      </c>
    </row>
    <row r="10" spans="2:10" x14ac:dyDescent="0.25">
      <c r="B10" s="1095" t="s">
        <v>595</v>
      </c>
      <c r="C10" s="1096">
        <f>E10*C4</f>
        <v>6.230529595015577</v>
      </c>
      <c r="D10" s="1092" t="s">
        <v>237</v>
      </c>
      <c r="E10" s="1097">
        <v>0.74766355140186924</v>
      </c>
      <c r="F10" s="1091">
        <v>18634</v>
      </c>
      <c r="G10" s="1092" t="s">
        <v>592</v>
      </c>
      <c r="H10" s="1094">
        <f>E10*F10</f>
        <v>13931.962616822431</v>
      </c>
    </row>
    <row r="11" spans="2:10" x14ac:dyDescent="0.25">
      <c r="B11" s="1095" t="s">
        <v>596</v>
      </c>
      <c r="C11" s="1096">
        <f>E11*C4</f>
        <v>1.2461059190031152</v>
      </c>
      <c r="D11" s="1092" t="s">
        <v>237</v>
      </c>
      <c r="E11" s="1097">
        <v>0.14953271028037382</v>
      </c>
      <c r="F11" s="1091">
        <v>44722</v>
      </c>
      <c r="G11" s="1092" t="s">
        <v>592</v>
      </c>
      <c r="H11" s="1094">
        <f>E11*F11</f>
        <v>6687.4018691588781</v>
      </c>
    </row>
    <row r="12" spans="2:10" x14ac:dyDescent="0.25">
      <c r="B12" s="1095" t="s">
        <v>597</v>
      </c>
      <c r="C12" s="1096">
        <v>0</v>
      </c>
      <c r="D12" s="1092" t="s">
        <v>237</v>
      </c>
      <c r="E12" s="1097">
        <f>C12</f>
        <v>0</v>
      </c>
      <c r="F12" s="1091">
        <v>5700</v>
      </c>
      <c r="G12" s="1092" t="s">
        <v>592</v>
      </c>
      <c r="H12" s="1094">
        <f t="shared" si="0"/>
        <v>0</v>
      </c>
    </row>
    <row r="13" spans="2:10" x14ac:dyDescent="0.25">
      <c r="B13" s="1095" t="s">
        <v>598</v>
      </c>
      <c r="C13" s="1096">
        <v>0</v>
      </c>
      <c r="D13" s="1092" t="s">
        <v>237</v>
      </c>
      <c r="E13" s="1097">
        <f>C13</f>
        <v>0</v>
      </c>
      <c r="F13" s="1091">
        <v>15700</v>
      </c>
      <c r="G13" s="1092" t="s">
        <v>592</v>
      </c>
      <c r="H13" s="1094">
        <f t="shared" si="0"/>
        <v>0</v>
      </c>
    </row>
    <row r="14" spans="2:10" x14ac:dyDescent="0.25">
      <c r="B14" s="1090" t="s">
        <v>135</v>
      </c>
      <c r="C14" s="1114">
        <v>2675</v>
      </c>
      <c r="D14" s="1092" t="s">
        <v>249</v>
      </c>
      <c r="E14" s="1097">
        <f>C14</f>
        <v>2675</v>
      </c>
      <c r="F14" s="1091">
        <f>[10]UP.E!C28</f>
        <v>1550</v>
      </c>
      <c r="G14" s="1092" t="s">
        <v>599</v>
      </c>
      <c r="H14" s="1094">
        <f>E14*F14</f>
        <v>4146250</v>
      </c>
    </row>
    <row r="15" spans="2:10" x14ac:dyDescent="0.25">
      <c r="B15" s="1090" t="s">
        <v>580</v>
      </c>
      <c r="C15" s="1091"/>
      <c r="D15" s="1092" t="s">
        <v>271</v>
      </c>
      <c r="E15" s="1093"/>
      <c r="F15" s="1091"/>
      <c r="G15" s="1092"/>
      <c r="H15" s="1094">
        <f t="shared" si="0"/>
        <v>0</v>
      </c>
      <c r="I15" s="1115"/>
      <c r="J15" s="1089"/>
    </row>
    <row r="16" spans="2:10" x14ac:dyDescent="0.25">
      <c r="B16" s="1100"/>
      <c r="C16" s="1101"/>
      <c r="D16" s="1102"/>
      <c r="E16" s="1101"/>
      <c r="F16" s="1101"/>
      <c r="G16" s="1102"/>
      <c r="H16" s="1116">
        <f>IFERROR(SUM(H5:H15),"")</f>
        <v>4223643.3831775701</v>
      </c>
      <c r="I16" s="1117"/>
      <c r="J16" s="1098"/>
    </row>
    <row r="17" spans="3:41" x14ac:dyDescent="0.25">
      <c r="C17" s="1075"/>
      <c r="E17" s="1075"/>
      <c r="F17" s="2376" t="s">
        <v>600</v>
      </c>
      <c r="G17" s="2377"/>
      <c r="H17" s="1104">
        <f>H16/E4</f>
        <v>3464.8428081850452</v>
      </c>
    </row>
    <row r="18" spans="3:41" x14ac:dyDescent="0.25">
      <c r="M18" s="1098"/>
    </row>
    <row r="19" spans="3:41" x14ac:dyDescent="0.25">
      <c r="M19" s="1098"/>
      <c r="O19" s="1098"/>
      <c r="P19" s="1098"/>
      <c r="Q19" s="1098"/>
      <c r="R19" s="1098"/>
      <c r="S19" s="1098"/>
      <c r="T19" s="1098"/>
      <c r="U19" s="1098"/>
      <c r="V19" s="1098"/>
      <c r="W19" s="1098"/>
      <c r="X19" s="1098"/>
      <c r="Y19" s="1098"/>
      <c r="Z19" s="1098"/>
      <c r="AA19" s="1098"/>
      <c r="AB19" s="1098"/>
      <c r="AC19" s="1098"/>
      <c r="AD19" s="1098"/>
      <c r="AE19" s="1098"/>
      <c r="AF19" s="1098"/>
      <c r="AG19" s="1098"/>
      <c r="AH19" s="1098"/>
      <c r="AI19" s="1098"/>
      <c r="AJ19" s="1098"/>
      <c r="AK19" s="1098"/>
      <c r="AL19" s="1098"/>
      <c r="AM19" s="1098"/>
      <c r="AN19" s="1098"/>
      <c r="AO19" s="1098"/>
    </row>
    <row r="20" spans="3:41" x14ac:dyDescent="0.25">
      <c r="M20" s="1098"/>
      <c r="O20" s="1098"/>
      <c r="P20" s="1098"/>
      <c r="Q20" s="1098"/>
      <c r="R20" s="1098"/>
      <c r="S20" s="1098"/>
      <c r="T20" s="1098"/>
      <c r="U20" s="1098"/>
      <c r="V20" s="1098"/>
      <c r="W20" s="1098"/>
      <c r="X20" s="1098"/>
      <c r="Y20" s="1098"/>
      <c r="Z20" s="1098"/>
      <c r="AA20" s="1098"/>
      <c r="AB20" s="1098"/>
      <c r="AC20" s="1098"/>
      <c r="AD20" s="1098"/>
      <c r="AE20" s="1098"/>
      <c r="AF20" s="1098"/>
      <c r="AG20" s="1098"/>
      <c r="AH20" s="1098"/>
      <c r="AI20" s="1098"/>
      <c r="AJ20" s="1098"/>
      <c r="AK20" s="1098"/>
      <c r="AL20" s="1098"/>
      <c r="AM20" s="1098"/>
      <c r="AN20" s="1098"/>
      <c r="AO20" s="1098"/>
    </row>
    <row r="21" spans="3:41" x14ac:dyDescent="0.25">
      <c r="M21" s="1098"/>
    </row>
    <row r="22" spans="3:41" x14ac:dyDescent="0.25">
      <c r="M22" s="1098"/>
      <c r="N22" s="1098"/>
    </row>
    <row r="23" spans="3:41" x14ac:dyDescent="0.25">
      <c r="M23" s="1098"/>
      <c r="N23" s="1098"/>
    </row>
    <row r="24" spans="3:41" x14ac:dyDescent="0.25">
      <c r="M24" s="1098"/>
    </row>
    <row r="25" spans="3:41" x14ac:dyDescent="0.25">
      <c r="M25" s="1098"/>
    </row>
    <row r="29" spans="3:41" x14ac:dyDescent="0.25">
      <c r="C29" s="913" t="s">
        <v>585</v>
      </c>
    </row>
    <row r="32" spans="3:41" x14ac:dyDescent="0.25">
      <c r="AB32" s="1098"/>
      <c r="AC32" s="1098"/>
      <c r="AD32" s="1098"/>
      <c r="AE32" s="1098"/>
      <c r="AF32" s="1098"/>
      <c r="AG32" s="1098"/>
      <c r="AH32" s="1098"/>
      <c r="AI32" s="1098"/>
      <c r="AJ32" s="1098"/>
      <c r="AK32" s="1098"/>
      <c r="AL32" s="1098"/>
      <c r="AM32" s="1098"/>
      <c r="AN32" s="1098"/>
      <c r="AO32" s="1105"/>
    </row>
    <row r="33" spans="28:41" x14ac:dyDescent="0.25">
      <c r="AB33" s="1098"/>
      <c r="AC33" s="1098"/>
      <c r="AD33" s="1098"/>
      <c r="AE33" s="1098"/>
      <c r="AF33" s="1098"/>
      <c r="AG33" s="1098"/>
      <c r="AH33" s="1098"/>
      <c r="AI33" s="1098"/>
      <c r="AJ33" s="1098"/>
      <c r="AK33" s="1098"/>
      <c r="AL33" s="1098"/>
      <c r="AM33" s="1098"/>
      <c r="AN33" s="1098"/>
      <c r="AO33" s="1105"/>
    </row>
    <row r="34" spans="28:41" x14ac:dyDescent="0.25">
      <c r="AB34" s="1098"/>
      <c r="AC34" s="1098"/>
      <c r="AD34" s="1098"/>
      <c r="AE34" s="1098"/>
      <c r="AF34" s="1098"/>
      <c r="AG34" s="1098"/>
      <c r="AH34" s="1098"/>
      <c r="AI34" s="1098"/>
      <c r="AJ34" s="1098"/>
      <c r="AK34" s="1098"/>
      <c r="AL34" s="1098"/>
      <c r="AM34" s="1098"/>
      <c r="AN34" s="1098"/>
      <c r="AO34" s="1105"/>
    </row>
    <row r="35" spans="28:41" x14ac:dyDescent="0.25">
      <c r="AB35" s="1098"/>
      <c r="AC35" s="1098"/>
      <c r="AD35" s="1098"/>
      <c r="AE35" s="1098"/>
      <c r="AF35" s="1098"/>
      <c r="AG35" s="1098"/>
      <c r="AH35" s="1098"/>
      <c r="AI35" s="1098"/>
      <c r="AJ35" s="1098"/>
      <c r="AK35" s="1098"/>
      <c r="AL35" s="1098"/>
      <c r="AM35" s="1098"/>
      <c r="AN35" s="1098"/>
      <c r="AO35" s="1105"/>
    </row>
    <row r="36" spans="28:41" x14ac:dyDescent="0.25">
      <c r="AB36" s="1098"/>
      <c r="AC36" s="1098"/>
      <c r="AD36" s="1098"/>
      <c r="AE36" s="1098"/>
      <c r="AF36" s="1098"/>
      <c r="AG36" s="1098"/>
      <c r="AH36" s="1098"/>
      <c r="AI36" s="1098"/>
      <c r="AJ36" s="1098"/>
      <c r="AK36" s="1098"/>
      <c r="AL36" s="1098"/>
      <c r="AM36" s="1098"/>
      <c r="AN36" s="1098"/>
      <c r="AO36" s="1105"/>
    </row>
    <row r="37" spans="28:41" x14ac:dyDescent="0.25">
      <c r="AB37" s="1098"/>
      <c r="AC37" s="1098"/>
      <c r="AD37" s="1098"/>
      <c r="AE37" s="1098"/>
      <c r="AF37" s="1098"/>
      <c r="AG37" s="1098"/>
      <c r="AH37" s="1098"/>
      <c r="AI37" s="1098"/>
      <c r="AJ37" s="1098"/>
      <c r="AK37" s="1098"/>
      <c r="AL37" s="1098"/>
      <c r="AM37" s="1098"/>
      <c r="AN37" s="1098"/>
      <c r="AO37" s="1105"/>
    </row>
    <row r="38" spans="28:41" x14ac:dyDescent="0.25">
      <c r="AB38" s="1098"/>
      <c r="AC38" s="1098"/>
      <c r="AD38" s="1098"/>
      <c r="AE38" s="1098"/>
      <c r="AF38" s="1098"/>
      <c r="AG38" s="1098"/>
      <c r="AH38" s="1098"/>
      <c r="AI38" s="1098"/>
      <c r="AJ38" s="1098"/>
      <c r="AK38" s="1098"/>
      <c r="AL38" s="1098"/>
      <c r="AM38" s="1098"/>
      <c r="AN38" s="1098"/>
      <c r="AO38" s="1105"/>
    </row>
    <row r="39" spans="28:41" x14ac:dyDescent="0.25">
      <c r="AB39" s="1098"/>
      <c r="AC39" s="1098"/>
      <c r="AD39" s="1098"/>
      <c r="AE39" s="1098"/>
      <c r="AF39" s="1098"/>
      <c r="AG39" s="1098"/>
      <c r="AH39" s="1098"/>
      <c r="AI39" s="1098"/>
      <c r="AJ39" s="1098"/>
      <c r="AK39" s="1098"/>
      <c r="AL39" s="1098"/>
      <c r="AM39" s="1098"/>
      <c r="AN39" s="1098"/>
      <c r="AO39" s="1105"/>
    </row>
    <row r="40" spans="28:41" x14ac:dyDescent="0.25">
      <c r="AB40" s="1098"/>
      <c r="AC40" s="1098"/>
      <c r="AD40" s="1098"/>
      <c r="AE40" s="1098"/>
      <c r="AF40" s="1098"/>
      <c r="AG40" s="1098"/>
      <c r="AH40" s="1098"/>
      <c r="AI40" s="1098"/>
      <c r="AJ40" s="1098"/>
      <c r="AK40" s="1098"/>
      <c r="AL40" s="1098"/>
      <c r="AM40" s="1098"/>
      <c r="AN40" s="1098"/>
      <c r="AO40" s="1105"/>
    </row>
    <row r="41" spans="28:41" x14ac:dyDescent="0.25">
      <c r="AB41" s="1098"/>
      <c r="AC41" s="1098"/>
      <c r="AD41" s="1098"/>
      <c r="AE41" s="1098"/>
      <c r="AF41" s="1098"/>
      <c r="AG41" s="1098"/>
      <c r="AH41" s="1098"/>
      <c r="AI41" s="1098"/>
      <c r="AJ41" s="1098"/>
      <c r="AK41" s="1098"/>
      <c r="AL41" s="1098"/>
      <c r="AM41" s="1098"/>
      <c r="AN41" s="1098"/>
      <c r="AO41" s="1105"/>
    </row>
    <row r="42" spans="28:41" x14ac:dyDescent="0.25">
      <c r="AB42" s="1098"/>
      <c r="AC42" s="1098"/>
      <c r="AD42" s="1098"/>
      <c r="AE42" s="1098"/>
      <c r="AF42" s="1098"/>
      <c r="AG42" s="1098"/>
      <c r="AH42" s="1098"/>
      <c r="AI42" s="1098"/>
      <c r="AJ42" s="1098"/>
      <c r="AK42" s="1098"/>
      <c r="AL42" s="1098"/>
      <c r="AM42" s="1098"/>
      <c r="AN42" s="1098"/>
      <c r="AO42" s="1105"/>
    </row>
    <row r="43" spans="28:41" x14ac:dyDescent="0.25">
      <c r="AB43" s="1098"/>
      <c r="AC43" s="1098"/>
      <c r="AD43" s="1098"/>
      <c r="AE43" s="1098"/>
      <c r="AF43" s="1098"/>
      <c r="AG43" s="1098"/>
      <c r="AH43" s="1098"/>
      <c r="AI43" s="1098"/>
      <c r="AJ43" s="1098"/>
      <c r="AK43" s="1098"/>
      <c r="AL43" s="1098"/>
      <c r="AM43" s="1098"/>
      <c r="AN43" s="1098"/>
      <c r="AO43" s="1105"/>
    </row>
    <row r="44" spans="28:41" x14ac:dyDescent="0.25">
      <c r="AB44" s="1098"/>
      <c r="AC44" s="1098"/>
      <c r="AD44" s="1098"/>
      <c r="AE44" s="1098"/>
      <c r="AF44" s="1098"/>
      <c r="AG44" s="1098"/>
      <c r="AH44" s="1098"/>
      <c r="AI44" s="1098"/>
      <c r="AJ44" s="1098"/>
      <c r="AK44" s="1098"/>
      <c r="AL44" s="1098"/>
      <c r="AM44" s="1098"/>
      <c r="AN44" s="1098"/>
      <c r="AO44" s="1105"/>
    </row>
    <row r="122" spans="29:42" x14ac:dyDescent="0.25">
      <c r="AC122" s="1098"/>
      <c r="AD122" s="1098"/>
      <c r="AE122" s="1098"/>
      <c r="AF122" s="1098"/>
      <c r="AG122" s="1098"/>
      <c r="AH122" s="1098"/>
      <c r="AI122" s="1098"/>
      <c r="AJ122" s="1098"/>
      <c r="AK122" s="1098"/>
      <c r="AL122" s="1098"/>
      <c r="AM122" s="1098"/>
      <c r="AN122" s="1098"/>
      <c r="AO122" s="1098"/>
      <c r="AP122" s="1105"/>
    </row>
    <row r="123" spans="29:42" x14ac:dyDescent="0.25">
      <c r="AC123" s="1098"/>
      <c r="AD123" s="1098"/>
      <c r="AE123" s="1098"/>
      <c r="AF123" s="1098"/>
      <c r="AG123" s="1098"/>
      <c r="AH123" s="1098"/>
      <c r="AI123" s="1098"/>
      <c r="AJ123" s="1098"/>
      <c r="AK123" s="1098"/>
      <c r="AL123" s="1098"/>
      <c r="AM123" s="1098"/>
      <c r="AN123" s="1098"/>
      <c r="AO123" s="1098"/>
      <c r="AP123" s="1105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7" sqref="H17"/>
    </sheetView>
  </sheetViews>
  <sheetFormatPr defaultColWidth="8.5703125" defaultRowHeight="15" x14ac:dyDescent="0.25"/>
  <cols>
    <col min="1" max="1" width="4.42578125" style="913" customWidth="1"/>
    <col min="2" max="2" width="38.42578125" style="913" customWidth="1"/>
    <col min="3" max="4" width="13.5703125" style="913" customWidth="1"/>
    <col min="5" max="5" width="21" style="913" customWidth="1"/>
    <col min="6" max="6" width="10" style="913" customWidth="1"/>
    <col min="7" max="7" width="16.42578125" style="913" customWidth="1"/>
    <col min="8" max="8" width="19.42578125" style="913" customWidth="1"/>
    <col min="9" max="9" width="16.42578125" style="913" bestFit="1" customWidth="1"/>
    <col min="10" max="10" width="12.42578125" style="913" customWidth="1"/>
    <col min="11" max="11" width="17.42578125" style="913" bestFit="1" customWidth="1"/>
    <col min="12" max="12" width="12.42578125" style="913" customWidth="1"/>
    <col min="13" max="13" width="10.5703125" style="913" bestFit="1" customWidth="1"/>
    <col min="14" max="14" width="20.42578125" style="913" bestFit="1" customWidth="1"/>
    <col min="15" max="15" width="14.42578125" style="913" customWidth="1"/>
    <col min="16" max="28" width="7.5703125" style="913" customWidth="1"/>
    <col min="29" max="29" width="11" style="913" customWidth="1"/>
    <col min="30" max="41" width="13.42578125" style="913" hidden="1" customWidth="1"/>
    <col min="42" max="42" width="15.5703125" style="913" customWidth="1"/>
    <col min="43" max="16384" width="8.5703125" style="913"/>
  </cols>
  <sheetData>
    <row r="2" spans="2:41" ht="20.85" customHeight="1" x14ac:dyDescent="0.25">
      <c r="B2" s="1106" t="s">
        <v>601</v>
      </c>
      <c r="C2" s="1075"/>
      <c r="E2" s="1075"/>
      <c r="F2" s="1075"/>
      <c r="G2" s="913" t="s">
        <v>561</v>
      </c>
      <c r="H2" s="1181">
        <v>16000</v>
      </c>
    </row>
    <row r="3" spans="2:41" x14ac:dyDescent="0.25">
      <c r="B3" s="1076" t="s">
        <v>383</v>
      </c>
      <c r="C3" s="2370" t="s">
        <v>219</v>
      </c>
      <c r="D3" s="2371"/>
      <c r="E3" s="1077" t="s">
        <v>587</v>
      </c>
      <c r="F3" s="2372" t="s">
        <v>563</v>
      </c>
      <c r="G3" s="2373"/>
      <c r="H3" s="1078" t="s">
        <v>564</v>
      </c>
    </row>
    <row r="4" spans="2:41" x14ac:dyDescent="0.25">
      <c r="B4" s="1079" t="s">
        <v>601</v>
      </c>
      <c r="C4" s="1080">
        <f>1000/24</f>
        <v>41.666666666666664</v>
      </c>
      <c r="D4" s="1081" t="s">
        <v>589</v>
      </c>
      <c r="E4" s="1186" t="str">
        <f>'JUNI 2025'!AL258</f>
        <v>Water</v>
      </c>
      <c r="F4" s="2378"/>
      <c r="G4" s="2379"/>
      <c r="H4" s="1078" t="s">
        <v>271</v>
      </c>
    </row>
    <row r="5" spans="2:41" x14ac:dyDescent="0.25">
      <c r="B5" s="1090" t="s">
        <v>602</v>
      </c>
      <c r="C5" s="1091"/>
      <c r="D5" s="1092"/>
      <c r="E5" s="1093"/>
      <c r="F5" s="1091">
        <v>8700</v>
      </c>
      <c r="G5" s="1092" t="s">
        <v>579</v>
      </c>
      <c r="H5" s="1094" t="e">
        <f>F5*E4</f>
        <v>#VALUE!</v>
      </c>
    </row>
    <row r="6" spans="2:41" x14ac:dyDescent="0.25">
      <c r="B6" s="1095" t="s">
        <v>603</v>
      </c>
      <c r="C6" s="1096">
        <v>0.1</v>
      </c>
      <c r="D6" s="1092" t="s">
        <v>237</v>
      </c>
      <c r="E6" s="1097">
        <f>C6</f>
        <v>0.1</v>
      </c>
      <c r="F6" s="1091">
        <v>44500</v>
      </c>
      <c r="G6" s="1092" t="s">
        <v>592</v>
      </c>
      <c r="H6" s="1094">
        <f t="shared" ref="H6:H11" si="0">E6*F6</f>
        <v>4450</v>
      </c>
    </row>
    <row r="7" spans="2:41" x14ac:dyDescent="0.25">
      <c r="B7" s="1095" t="s">
        <v>604</v>
      </c>
      <c r="C7" s="1096">
        <v>0.1</v>
      </c>
      <c r="D7" s="1092" t="s">
        <v>237</v>
      </c>
      <c r="E7" s="1097">
        <f>C7</f>
        <v>0.1</v>
      </c>
      <c r="F7" s="1091">
        <v>65340</v>
      </c>
      <c r="G7" s="1092" t="s">
        <v>592</v>
      </c>
      <c r="H7" s="1094">
        <f t="shared" si="0"/>
        <v>6534</v>
      </c>
    </row>
    <row r="8" spans="2:41" x14ac:dyDescent="0.25">
      <c r="B8" s="1095" t="s">
        <v>605</v>
      </c>
      <c r="C8" s="1096">
        <v>0.1</v>
      </c>
      <c r="D8" s="1092" t="s">
        <v>237</v>
      </c>
      <c r="E8" s="1097">
        <f>C8</f>
        <v>0.1</v>
      </c>
      <c r="F8" s="1091">
        <v>33275</v>
      </c>
      <c r="G8" s="1092" t="s">
        <v>592</v>
      </c>
      <c r="H8" s="1094">
        <f t="shared" si="0"/>
        <v>3327.5</v>
      </c>
    </row>
    <row r="9" spans="2:41" x14ac:dyDescent="0.25">
      <c r="B9" s="1095" t="s">
        <v>606</v>
      </c>
      <c r="C9" s="1096">
        <v>0.1</v>
      </c>
      <c r="D9" s="1092" t="s">
        <v>237</v>
      </c>
      <c r="E9" s="1097">
        <f>C9</f>
        <v>0.1</v>
      </c>
      <c r="F9" s="1091">
        <v>47450</v>
      </c>
      <c r="G9" s="1092" t="s">
        <v>592</v>
      </c>
      <c r="H9" s="1094">
        <f t="shared" si="0"/>
        <v>4745</v>
      </c>
    </row>
    <row r="10" spans="2:41" x14ac:dyDescent="0.25">
      <c r="B10" s="1090" t="s">
        <v>135</v>
      </c>
      <c r="C10" s="1114">
        <v>8896</v>
      </c>
      <c r="D10" s="1092" t="s">
        <v>249</v>
      </c>
      <c r="E10" s="1097">
        <f>C10</f>
        <v>8896</v>
      </c>
      <c r="F10" s="1091">
        <f>[10]UP.E!C28</f>
        <v>1550</v>
      </c>
      <c r="G10" s="1092" t="s">
        <v>599</v>
      </c>
      <c r="H10" s="1094">
        <f t="shared" si="0"/>
        <v>13788800</v>
      </c>
    </row>
    <row r="11" spans="2:41" x14ac:dyDescent="0.25">
      <c r="B11" s="1090" t="s">
        <v>580</v>
      </c>
      <c r="C11" s="1091"/>
      <c r="D11" s="1092" t="s">
        <v>271</v>
      </c>
      <c r="E11" s="1093"/>
      <c r="F11" s="1091"/>
      <c r="G11" s="1092"/>
      <c r="H11" s="1118">
        <f t="shared" si="0"/>
        <v>0</v>
      </c>
      <c r="I11" s="1115"/>
      <c r="J11" s="1089"/>
    </row>
    <row r="12" spans="2:41" x14ac:dyDescent="0.25">
      <c r="B12" s="1100"/>
      <c r="C12" s="1101"/>
      <c r="D12" s="1102"/>
      <c r="E12" s="1101"/>
      <c r="F12" s="1101"/>
      <c r="G12" s="1102"/>
      <c r="H12" s="1116" t="str">
        <f>IFERROR(SUM(H5:H11),"")</f>
        <v/>
      </c>
      <c r="I12" s="1117"/>
      <c r="J12" s="1098"/>
    </row>
    <row r="13" spans="2:41" x14ac:dyDescent="0.25">
      <c r="C13" s="1075"/>
      <c r="E13" s="1075"/>
      <c r="F13" s="2376" t="s">
        <v>600</v>
      </c>
      <c r="G13" s="2377"/>
      <c r="H13" s="1104" t="e">
        <f>H12/E4</f>
        <v>#VALUE!</v>
      </c>
    </row>
    <row r="14" spans="2:41" x14ac:dyDescent="0.25">
      <c r="M14" s="1098"/>
    </row>
    <row r="15" spans="2:41" x14ac:dyDescent="0.25">
      <c r="M15" s="1098"/>
      <c r="O15" s="1098"/>
      <c r="P15" s="1098"/>
      <c r="Q15" s="1098"/>
      <c r="R15" s="1098"/>
      <c r="S15" s="1098"/>
      <c r="T15" s="1098"/>
      <c r="U15" s="1098"/>
      <c r="V15" s="1098"/>
      <c r="W15" s="1098"/>
      <c r="X15" s="1098"/>
      <c r="Y15" s="1098"/>
      <c r="Z15" s="1098"/>
      <c r="AA15" s="1098"/>
      <c r="AB15" s="1098"/>
      <c r="AC15" s="1098"/>
      <c r="AD15" s="1098"/>
      <c r="AE15" s="1098"/>
      <c r="AF15" s="1098"/>
      <c r="AG15" s="1098"/>
      <c r="AH15" s="1098"/>
      <c r="AI15" s="1098"/>
      <c r="AJ15" s="1098"/>
      <c r="AK15" s="1098"/>
      <c r="AL15" s="1098"/>
      <c r="AM15" s="1098"/>
      <c r="AN15" s="1098"/>
      <c r="AO15" s="1098"/>
    </row>
    <row r="16" spans="2:41" x14ac:dyDescent="0.25">
      <c r="M16" s="1098"/>
      <c r="O16" s="1098"/>
      <c r="P16" s="1098"/>
      <c r="Q16" s="1098"/>
      <c r="R16" s="1098"/>
      <c r="S16" s="1098"/>
      <c r="T16" s="1098"/>
      <c r="U16" s="1098"/>
      <c r="V16" s="1098"/>
      <c r="W16" s="1098"/>
      <c r="X16" s="1098"/>
      <c r="Y16" s="1098"/>
      <c r="Z16" s="1098"/>
      <c r="AA16" s="1098"/>
      <c r="AB16" s="1098"/>
      <c r="AC16" s="1098"/>
      <c r="AD16" s="1098"/>
      <c r="AE16" s="1098"/>
      <c r="AF16" s="1098"/>
      <c r="AG16" s="1098"/>
      <c r="AH16" s="1098"/>
      <c r="AI16" s="1098"/>
      <c r="AJ16" s="1098"/>
      <c r="AK16" s="1098"/>
      <c r="AL16" s="1098"/>
      <c r="AM16" s="1098"/>
      <c r="AN16" s="1098"/>
      <c r="AO16" s="1098"/>
    </row>
    <row r="17" spans="3:41" x14ac:dyDescent="0.25">
      <c r="M17" s="1098"/>
    </row>
    <row r="18" spans="3:41" x14ac:dyDescent="0.25">
      <c r="M18" s="1098"/>
      <c r="N18" s="1098"/>
    </row>
    <row r="19" spans="3:41" x14ac:dyDescent="0.25">
      <c r="M19" s="1098"/>
      <c r="N19" s="1098"/>
    </row>
    <row r="20" spans="3:41" x14ac:dyDescent="0.25">
      <c r="M20" s="1098"/>
    </row>
    <row r="21" spans="3:41" x14ac:dyDescent="0.25">
      <c r="M21" s="1098"/>
    </row>
    <row r="25" spans="3:41" x14ac:dyDescent="0.25">
      <c r="C25" s="913" t="s">
        <v>585</v>
      </c>
    </row>
    <row r="28" spans="3:41" x14ac:dyDescent="0.25">
      <c r="AB28" s="1098"/>
      <c r="AC28" s="1098"/>
      <c r="AD28" s="1098"/>
      <c r="AE28" s="1098"/>
      <c r="AF28" s="1098"/>
      <c r="AG28" s="1098"/>
      <c r="AH28" s="1098"/>
      <c r="AI28" s="1098"/>
      <c r="AJ28" s="1098"/>
      <c r="AK28" s="1098"/>
      <c r="AL28" s="1098"/>
      <c r="AM28" s="1098"/>
      <c r="AN28" s="1098"/>
      <c r="AO28" s="1105"/>
    </row>
    <row r="29" spans="3:41" x14ac:dyDescent="0.25">
      <c r="AB29" s="1098"/>
      <c r="AC29" s="1098"/>
      <c r="AD29" s="1098"/>
      <c r="AE29" s="1098"/>
      <c r="AF29" s="1098"/>
      <c r="AG29" s="1098"/>
      <c r="AH29" s="1098"/>
      <c r="AI29" s="1098"/>
      <c r="AJ29" s="1098"/>
      <c r="AK29" s="1098"/>
      <c r="AL29" s="1098"/>
      <c r="AM29" s="1098"/>
      <c r="AN29" s="1098"/>
      <c r="AO29" s="1105"/>
    </row>
    <row r="30" spans="3:41" x14ac:dyDescent="0.25">
      <c r="AB30" s="1098"/>
      <c r="AC30" s="1098"/>
      <c r="AD30" s="1098"/>
      <c r="AE30" s="1098"/>
      <c r="AF30" s="1098"/>
      <c r="AG30" s="1098"/>
      <c r="AH30" s="1098"/>
      <c r="AI30" s="1098"/>
      <c r="AJ30" s="1098"/>
      <c r="AK30" s="1098"/>
      <c r="AL30" s="1098"/>
      <c r="AM30" s="1098"/>
      <c r="AN30" s="1098"/>
      <c r="AO30" s="1105"/>
    </row>
    <row r="31" spans="3:41" x14ac:dyDescent="0.25">
      <c r="AB31" s="1098"/>
      <c r="AC31" s="1098"/>
      <c r="AD31" s="1098"/>
      <c r="AE31" s="1098"/>
      <c r="AF31" s="1098"/>
      <c r="AG31" s="1098"/>
      <c r="AH31" s="1098"/>
      <c r="AI31" s="1098"/>
      <c r="AJ31" s="1098"/>
      <c r="AK31" s="1098"/>
      <c r="AL31" s="1098"/>
      <c r="AM31" s="1098"/>
      <c r="AN31" s="1098"/>
      <c r="AO31" s="1105"/>
    </row>
    <row r="32" spans="3:41" x14ac:dyDescent="0.25">
      <c r="AB32" s="1098"/>
      <c r="AC32" s="1098"/>
      <c r="AD32" s="1098"/>
      <c r="AE32" s="1098"/>
      <c r="AF32" s="1098"/>
      <c r="AG32" s="1098"/>
      <c r="AH32" s="1098"/>
      <c r="AI32" s="1098"/>
      <c r="AJ32" s="1098"/>
      <c r="AK32" s="1098"/>
      <c r="AL32" s="1098"/>
      <c r="AM32" s="1098"/>
      <c r="AN32" s="1098"/>
      <c r="AO32" s="1105"/>
    </row>
    <row r="33" spans="28:41" x14ac:dyDescent="0.25">
      <c r="AB33" s="1098"/>
      <c r="AC33" s="1098"/>
      <c r="AD33" s="1098"/>
      <c r="AE33" s="1098"/>
      <c r="AF33" s="1098"/>
      <c r="AG33" s="1098"/>
      <c r="AH33" s="1098"/>
      <c r="AI33" s="1098"/>
      <c r="AJ33" s="1098"/>
      <c r="AK33" s="1098"/>
      <c r="AL33" s="1098"/>
      <c r="AM33" s="1098"/>
      <c r="AN33" s="1098"/>
      <c r="AO33" s="1105"/>
    </row>
    <row r="34" spans="28:41" x14ac:dyDescent="0.25">
      <c r="AB34" s="1098"/>
      <c r="AC34" s="1098"/>
      <c r="AD34" s="1098"/>
      <c r="AE34" s="1098"/>
      <c r="AF34" s="1098"/>
      <c r="AG34" s="1098"/>
      <c r="AH34" s="1098"/>
      <c r="AI34" s="1098"/>
      <c r="AJ34" s="1098"/>
      <c r="AK34" s="1098"/>
      <c r="AL34" s="1098"/>
      <c r="AM34" s="1098"/>
      <c r="AN34" s="1098"/>
      <c r="AO34" s="1105"/>
    </row>
    <row r="35" spans="28:41" x14ac:dyDescent="0.25">
      <c r="AB35" s="1098"/>
      <c r="AC35" s="1098"/>
      <c r="AD35" s="1098"/>
      <c r="AE35" s="1098"/>
      <c r="AF35" s="1098"/>
      <c r="AG35" s="1098"/>
      <c r="AH35" s="1098"/>
      <c r="AI35" s="1098"/>
      <c r="AJ35" s="1098"/>
      <c r="AK35" s="1098"/>
      <c r="AL35" s="1098"/>
      <c r="AM35" s="1098"/>
      <c r="AN35" s="1098"/>
      <c r="AO35" s="1105"/>
    </row>
    <row r="36" spans="28:41" x14ac:dyDescent="0.25">
      <c r="AB36" s="1098"/>
      <c r="AC36" s="1098"/>
      <c r="AD36" s="1098"/>
      <c r="AE36" s="1098"/>
      <c r="AF36" s="1098"/>
      <c r="AG36" s="1098"/>
      <c r="AH36" s="1098"/>
      <c r="AI36" s="1098"/>
      <c r="AJ36" s="1098"/>
      <c r="AK36" s="1098"/>
      <c r="AL36" s="1098"/>
      <c r="AM36" s="1098"/>
      <c r="AN36" s="1098"/>
      <c r="AO36" s="1105"/>
    </row>
    <row r="37" spans="28:41" x14ac:dyDescent="0.25">
      <c r="AB37" s="1098"/>
      <c r="AC37" s="1098"/>
      <c r="AD37" s="1098"/>
      <c r="AE37" s="1098"/>
      <c r="AF37" s="1098"/>
      <c r="AG37" s="1098"/>
      <c r="AH37" s="1098"/>
      <c r="AI37" s="1098"/>
      <c r="AJ37" s="1098"/>
      <c r="AK37" s="1098"/>
      <c r="AL37" s="1098"/>
      <c r="AM37" s="1098"/>
      <c r="AN37" s="1098"/>
      <c r="AO37" s="1105"/>
    </row>
    <row r="38" spans="28:41" x14ac:dyDescent="0.25">
      <c r="AB38" s="1098"/>
      <c r="AC38" s="1098"/>
      <c r="AD38" s="1098"/>
      <c r="AE38" s="1098"/>
      <c r="AF38" s="1098"/>
      <c r="AG38" s="1098"/>
      <c r="AH38" s="1098"/>
      <c r="AI38" s="1098"/>
      <c r="AJ38" s="1098"/>
      <c r="AK38" s="1098"/>
      <c r="AL38" s="1098"/>
      <c r="AM38" s="1098"/>
      <c r="AN38" s="1098"/>
      <c r="AO38" s="1105"/>
    </row>
    <row r="39" spans="28:41" x14ac:dyDescent="0.25">
      <c r="AB39" s="1098"/>
      <c r="AC39" s="1098"/>
      <c r="AD39" s="1098"/>
      <c r="AE39" s="1098"/>
      <c r="AF39" s="1098"/>
      <c r="AG39" s="1098"/>
      <c r="AH39" s="1098"/>
      <c r="AI39" s="1098"/>
      <c r="AJ39" s="1098"/>
      <c r="AK39" s="1098"/>
      <c r="AL39" s="1098"/>
      <c r="AM39" s="1098"/>
      <c r="AN39" s="1098"/>
      <c r="AO39" s="1105"/>
    </row>
    <row r="40" spans="28:41" x14ac:dyDescent="0.25">
      <c r="AB40" s="1098"/>
      <c r="AC40" s="1098"/>
      <c r="AD40" s="1098"/>
      <c r="AE40" s="1098"/>
      <c r="AF40" s="1098"/>
      <c r="AG40" s="1098"/>
      <c r="AH40" s="1098"/>
      <c r="AI40" s="1098"/>
      <c r="AJ40" s="1098"/>
      <c r="AK40" s="1098"/>
      <c r="AL40" s="1098"/>
      <c r="AM40" s="1098"/>
      <c r="AN40" s="1098"/>
      <c r="AO40" s="1105"/>
    </row>
    <row r="118" spans="29:42" x14ac:dyDescent="0.25">
      <c r="AC118" s="1098"/>
      <c r="AD118" s="1098"/>
      <c r="AE118" s="1098"/>
      <c r="AF118" s="1098"/>
      <c r="AG118" s="1098"/>
      <c r="AH118" s="1098"/>
      <c r="AI118" s="1098"/>
      <c r="AJ118" s="1098"/>
      <c r="AK118" s="1098"/>
      <c r="AL118" s="1098"/>
      <c r="AM118" s="1098"/>
      <c r="AN118" s="1098"/>
      <c r="AO118" s="1098"/>
      <c r="AP118" s="1105"/>
    </row>
    <row r="119" spans="29:42" x14ac:dyDescent="0.25">
      <c r="AC119" s="1098"/>
      <c r="AD119" s="1098"/>
      <c r="AE119" s="1098"/>
      <c r="AF119" s="1098"/>
      <c r="AG119" s="1098"/>
      <c r="AH119" s="1098"/>
      <c r="AI119" s="1098"/>
      <c r="AJ119" s="1098"/>
      <c r="AK119" s="1098"/>
      <c r="AL119" s="1098"/>
      <c r="AM119" s="1098"/>
      <c r="AN119" s="1098"/>
      <c r="AO119" s="1098"/>
      <c r="AP119" s="1105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I112" sqref="I112"/>
    </sheetView>
  </sheetViews>
  <sheetFormatPr defaultColWidth="8.5703125" defaultRowHeight="15" x14ac:dyDescent="0.25"/>
  <cols>
    <col min="1" max="1" width="11" style="913" customWidth="1"/>
    <col min="2" max="2" width="63.5703125" style="913" customWidth="1"/>
    <col min="3" max="3" width="13.5703125" style="1075" customWidth="1"/>
    <col min="4" max="4" width="7.42578125" style="913" customWidth="1"/>
    <col min="5" max="5" width="18.42578125" style="913" customWidth="1"/>
    <col min="6" max="6" width="14.5703125" style="913" customWidth="1"/>
    <col min="7" max="7" width="11.42578125" style="913" customWidth="1"/>
    <col min="8" max="8" width="15.5703125" style="913" customWidth="1"/>
    <col min="9" max="9" width="13.5703125" style="913" customWidth="1"/>
    <col min="10" max="10" width="24.42578125" style="913" customWidth="1"/>
    <col min="11" max="11" width="12.42578125" style="913" customWidth="1"/>
    <col min="12" max="12" width="22.42578125" style="913" customWidth="1"/>
    <col min="13" max="16384" width="8.5703125" style="913"/>
  </cols>
  <sheetData>
    <row r="2" spans="2:12" ht="21.6" customHeight="1" x14ac:dyDescent="0.25">
      <c r="B2" s="1119" t="s">
        <v>607</v>
      </c>
      <c r="J2" s="1120"/>
      <c r="K2" s="1120"/>
    </row>
    <row r="3" spans="2:12" ht="18.600000000000001" customHeight="1" x14ac:dyDescent="0.25">
      <c r="B3" s="2383" t="s">
        <v>383</v>
      </c>
      <c r="C3" s="2383" t="s">
        <v>219</v>
      </c>
      <c r="D3" s="2383"/>
      <c r="E3" s="2385" t="s">
        <v>608</v>
      </c>
      <c r="F3" s="2383" t="s">
        <v>563</v>
      </c>
      <c r="G3" s="2383"/>
      <c r="H3" s="1121" t="s">
        <v>224</v>
      </c>
      <c r="K3" s="1098"/>
      <c r="L3" s="1122"/>
    </row>
    <row r="4" spans="2:12" ht="18.600000000000001" customHeight="1" x14ac:dyDescent="0.25">
      <c r="B4" s="2384"/>
      <c r="C4" s="2384"/>
      <c r="D4" s="2384"/>
      <c r="E4" s="2386"/>
      <c r="F4" s="2384"/>
      <c r="G4" s="2384"/>
      <c r="H4" s="1121" t="s">
        <v>609</v>
      </c>
      <c r="K4" s="1098"/>
    </row>
    <row r="5" spans="2:12" ht="18.600000000000001" customHeight="1" x14ac:dyDescent="0.25">
      <c r="B5" s="1123" t="s">
        <v>610</v>
      </c>
      <c r="C5" s="1124"/>
      <c r="D5" s="1124"/>
      <c r="E5" s="1125"/>
      <c r="F5" s="1126"/>
      <c r="G5" s="1124"/>
      <c r="H5" s="1126"/>
      <c r="K5" s="1098"/>
    </row>
    <row r="6" spans="2:12" x14ac:dyDescent="0.25">
      <c r="B6" s="1090" t="s">
        <v>611</v>
      </c>
      <c r="C6" s="408">
        <v>50</v>
      </c>
      <c r="D6" s="1127" t="s">
        <v>612</v>
      </c>
      <c r="E6" s="408">
        <f>C6</f>
        <v>50</v>
      </c>
      <c r="F6" s="1091">
        <v>374</v>
      </c>
      <c r="G6" s="1091" t="s">
        <v>612</v>
      </c>
      <c r="H6" s="1128">
        <f>E6*F6</f>
        <v>18700</v>
      </c>
      <c r="I6" s="1129"/>
      <c r="K6" s="1098"/>
    </row>
    <row r="7" spans="2:12" x14ac:dyDescent="0.25">
      <c r="B7" s="1090" t="s">
        <v>613</v>
      </c>
      <c r="C7" s="408">
        <v>2</v>
      </c>
      <c r="D7" s="1127" t="s">
        <v>614</v>
      </c>
      <c r="E7" s="408">
        <f>C7</f>
        <v>2</v>
      </c>
      <c r="F7" s="1091">
        <v>7250</v>
      </c>
      <c r="G7" s="1091" t="s">
        <v>614</v>
      </c>
      <c r="H7" s="1128">
        <f t="shared" ref="H7:H32" si="0">E7*F7</f>
        <v>14500</v>
      </c>
    </row>
    <row r="8" spans="2:12" x14ac:dyDescent="0.25">
      <c r="B8" s="1090" t="s">
        <v>615</v>
      </c>
      <c r="C8" s="408">
        <v>0.5</v>
      </c>
      <c r="D8" s="1127" t="s">
        <v>612</v>
      </c>
      <c r="E8" s="408">
        <f t="shared" ref="E8:E32" si="1">C8</f>
        <v>0.5</v>
      </c>
      <c r="F8" s="1091">
        <v>500</v>
      </c>
      <c r="G8" s="1091" t="s">
        <v>612</v>
      </c>
      <c r="H8" s="1128">
        <f t="shared" si="0"/>
        <v>250</v>
      </c>
    </row>
    <row r="9" spans="2:12" x14ac:dyDescent="0.25">
      <c r="B9" s="1090" t="s">
        <v>616</v>
      </c>
      <c r="C9" s="408">
        <v>70</v>
      </c>
      <c r="D9" s="1127" t="s">
        <v>612</v>
      </c>
      <c r="E9" s="408">
        <f t="shared" si="1"/>
        <v>70</v>
      </c>
      <c r="F9" s="1091">
        <v>388</v>
      </c>
      <c r="G9" s="1091" t="s">
        <v>612</v>
      </c>
      <c r="H9" s="1128">
        <f t="shared" si="0"/>
        <v>27160</v>
      </c>
    </row>
    <row r="10" spans="2:12" x14ac:dyDescent="0.25">
      <c r="B10" s="1090" t="s">
        <v>617</v>
      </c>
      <c r="C10" s="408">
        <v>70</v>
      </c>
      <c r="D10" s="1127" t="s">
        <v>612</v>
      </c>
      <c r="E10" s="408">
        <f t="shared" si="1"/>
        <v>70</v>
      </c>
      <c r="F10" s="1091">
        <v>612</v>
      </c>
      <c r="G10" s="1091" t="s">
        <v>612</v>
      </c>
      <c r="H10" s="1128">
        <f t="shared" si="0"/>
        <v>42840</v>
      </c>
    </row>
    <row r="11" spans="2:12" x14ac:dyDescent="0.25">
      <c r="B11" s="1090" t="s">
        <v>618</v>
      </c>
      <c r="C11" s="408">
        <v>0.05</v>
      </c>
      <c r="D11" s="1127" t="s">
        <v>619</v>
      </c>
      <c r="E11" s="408">
        <f t="shared" si="1"/>
        <v>0.05</v>
      </c>
      <c r="F11" s="1091">
        <v>21000</v>
      </c>
      <c r="G11" s="1091" t="s">
        <v>619</v>
      </c>
      <c r="H11" s="1128">
        <f t="shared" si="0"/>
        <v>1050</v>
      </c>
    </row>
    <row r="12" spans="2:12" x14ac:dyDescent="0.25">
      <c r="B12" s="1090" t="s">
        <v>620</v>
      </c>
      <c r="C12" s="408">
        <v>2.6</v>
      </c>
      <c r="D12" s="1127" t="s">
        <v>612</v>
      </c>
      <c r="E12" s="408">
        <f t="shared" si="1"/>
        <v>2.6</v>
      </c>
      <c r="F12" s="1091">
        <v>236</v>
      </c>
      <c r="G12" s="1091" t="s">
        <v>612</v>
      </c>
      <c r="H12" s="1128">
        <f t="shared" si="0"/>
        <v>613.6</v>
      </c>
    </row>
    <row r="13" spans="2:12" x14ac:dyDescent="0.25">
      <c r="B13" s="1090" t="s">
        <v>621</v>
      </c>
      <c r="C13" s="408">
        <v>5.5</v>
      </c>
      <c r="D13" s="1127" t="s">
        <v>614</v>
      </c>
      <c r="E13" s="408">
        <f t="shared" si="1"/>
        <v>5.5</v>
      </c>
      <c r="F13" s="1091">
        <v>35000</v>
      </c>
      <c r="G13" s="1091" t="s">
        <v>614</v>
      </c>
      <c r="H13" s="1128">
        <f t="shared" si="0"/>
        <v>192500</v>
      </c>
    </row>
    <row r="14" spans="2:12" x14ac:dyDescent="0.25">
      <c r="B14" s="1090" t="s">
        <v>622</v>
      </c>
      <c r="C14" s="408">
        <v>150</v>
      </c>
      <c r="D14" s="1127" t="s">
        <v>612</v>
      </c>
      <c r="E14" s="408">
        <f t="shared" si="1"/>
        <v>150</v>
      </c>
      <c r="F14" s="1091">
        <v>480</v>
      </c>
      <c r="G14" s="1091" t="s">
        <v>612</v>
      </c>
      <c r="H14" s="1128">
        <f t="shared" si="0"/>
        <v>72000</v>
      </c>
    </row>
    <row r="15" spans="2:12" x14ac:dyDescent="0.25">
      <c r="B15" s="1090" t="s">
        <v>623</v>
      </c>
      <c r="C15" s="408">
        <v>0.3</v>
      </c>
      <c r="D15" s="1127" t="s">
        <v>619</v>
      </c>
      <c r="E15" s="408">
        <f t="shared" si="1"/>
        <v>0.3</v>
      </c>
      <c r="F15" s="1091">
        <v>6750</v>
      </c>
      <c r="G15" s="1091" t="s">
        <v>619</v>
      </c>
      <c r="H15" s="1128">
        <f t="shared" si="0"/>
        <v>2025</v>
      </c>
    </row>
    <row r="16" spans="2:12" x14ac:dyDescent="0.25">
      <c r="B16" s="1090" t="s">
        <v>624</v>
      </c>
      <c r="C16" s="408">
        <f>36/357</f>
        <v>0.10084033613445378</v>
      </c>
      <c r="D16" s="1127" t="s">
        <v>619</v>
      </c>
      <c r="E16" s="408">
        <f t="shared" si="1"/>
        <v>0.10084033613445378</v>
      </c>
      <c r="F16" s="1091">
        <v>90000</v>
      </c>
      <c r="G16" s="1091" t="s">
        <v>619</v>
      </c>
      <c r="H16" s="1128">
        <f t="shared" si="0"/>
        <v>9075.6302521008402</v>
      </c>
    </row>
    <row r="17" spans="2:8" x14ac:dyDescent="0.25">
      <c r="B17" s="1090" t="s">
        <v>625</v>
      </c>
      <c r="C17" s="408">
        <f>107/357</f>
        <v>0.29971988795518206</v>
      </c>
      <c r="D17" s="1127" t="s">
        <v>619</v>
      </c>
      <c r="E17" s="408">
        <f t="shared" si="1"/>
        <v>0.29971988795518206</v>
      </c>
      <c r="F17" s="1091">
        <v>3000</v>
      </c>
      <c r="G17" s="1091" t="s">
        <v>619</v>
      </c>
      <c r="H17" s="1128">
        <f t="shared" si="0"/>
        <v>899.15966386554624</v>
      </c>
    </row>
    <row r="18" spans="2:8" x14ac:dyDescent="0.25">
      <c r="B18" s="1090" t="s">
        <v>626</v>
      </c>
      <c r="C18" s="408">
        <v>0.1</v>
      </c>
      <c r="D18" s="1127" t="s">
        <v>612</v>
      </c>
      <c r="E18" s="408">
        <f t="shared" si="1"/>
        <v>0.1</v>
      </c>
      <c r="F18" s="1091">
        <v>70000</v>
      </c>
      <c r="G18" s="1091" t="s">
        <v>612</v>
      </c>
      <c r="H18" s="1128">
        <f t="shared" si="0"/>
        <v>7000</v>
      </c>
    </row>
    <row r="19" spans="2:8" x14ac:dyDescent="0.25">
      <c r="B19" s="1090" t="s">
        <v>627</v>
      </c>
      <c r="C19" s="408">
        <v>0.1</v>
      </c>
      <c r="D19" s="1127" t="s">
        <v>612</v>
      </c>
      <c r="E19" s="408">
        <f t="shared" si="1"/>
        <v>0.1</v>
      </c>
      <c r="F19" s="1091">
        <v>70000</v>
      </c>
      <c r="G19" s="1091" t="s">
        <v>612</v>
      </c>
      <c r="H19" s="1128">
        <f t="shared" si="0"/>
        <v>7000</v>
      </c>
    </row>
    <row r="20" spans="2:8" x14ac:dyDescent="0.25">
      <c r="B20" s="1090" t="s">
        <v>628</v>
      </c>
      <c r="C20" s="408">
        <v>0.5</v>
      </c>
      <c r="D20" s="1127" t="s">
        <v>614</v>
      </c>
      <c r="E20" s="408">
        <f t="shared" si="1"/>
        <v>0.5</v>
      </c>
      <c r="F20" s="1091">
        <v>19300</v>
      </c>
      <c r="G20" s="1091" t="s">
        <v>614</v>
      </c>
      <c r="H20" s="1128">
        <f t="shared" si="0"/>
        <v>9650</v>
      </c>
    </row>
    <row r="21" spans="2:8" x14ac:dyDescent="0.25">
      <c r="B21" s="1090" t="s">
        <v>629</v>
      </c>
      <c r="C21" s="408">
        <f>48/357</f>
        <v>0.13445378151260504</v>
      </c>
      <c r="D21" s="1127" t="s">
        <v>619</v>
      </c>
      <c r="E21" s="408">
        <f t="shared" si="1"/>
        <v>0.13445378151260504</v>
      </c>
      <c r="F21" s="1091">
        <v>7600</v>
      </c>
      <c r="G21" s="1091" t="s">
        <v>619</v>
      </c>
      <c r="H21" s="1128">
        <f t="shared" si="0"/>
        <v>1021.8487394957983</v>
      </c>
    </row>
    <row r="22" spans="2:8" x14ac:dyDescent="0.25">
      <c r="B22" s="1090" t="s">
        <v>630</v>
      </c>
      <c r="C22" s="408">
        <v>120</v>
      </c>
      <c r="D22" s="1127" t="s">
        <v>612</v>
      </c>
      <c r="E22" s="408">
        <f t="shared" si="1"/>
        <v>120</v>
      </c>
      <c r="F22" s="1091">
        <v>502</v>
      </c>
      <c r="G22" s="1091" t="s">
        <v>612</v>
      </c>
      <c r="H22" s="1128">
        <f t="shared" si="0"/>
        <v>60240</v>
      </c>
    </row>
    <row r="23" spans="2:8" x14ac:dyDescent="0.25">
      <c r="B23" s="1090" t="s">
        <v>631</v>
      </c>
      <c r="C23" s="1130">
        <v>0.02</v>
      </c>
      <c r="D23" s="1127" t="s">
        <v>632</v>
      </c>
      <c r="E23" s="1130">
        <f t="shared" si="1"/>
        <v>0.02</v>
      </c>
      <c r="F23" s="1091">
        <v>5000000</v>
      </c>
      <c r="G23" s="1091" t="s">
        <v>632</v>
      </c>
      <c r="H23" s="1128">
        <f t="shared" si="0"/>
        <v>100000</v>
      </c>
    </row>
    <row r="24" spans="2:8" x14ac:dyDescent="0.25">
      <c r="B24" s="1090" t="s">
        <v>633</v>
      </c>
      <c r="C24" s="1130">
        <v>0.03</v>
      </c>
      <c r="D24" s="1127" t="s">
        <v>632</v>
      </c>
      <c r="E24" s="1130">
        <f t="shared" si="1"/>
        <v>0.03</v>
      </c>
      <c r="F24" s="1091">
        <v>2500000</v>
      </c>
      <c r="G24" s="1091" t="s">
        <v>632</v>
      </c>
      <c r="H24" s="1128">
        <f t="shared" si="0"/>
        <v>75000</v>
      </c>
    </row>
    <row r="25" spans="2:8" x14ac:dyDescent="0.25">
      <c r="B25" s="1090" t="s">
        <v>634</v>
      </c>
      <c r="C25" s="1130">
        <v>0.03</v>
      </c>
      <c r="D25" s="1127" t="s">
        <v>632</v>
      </c>
      <c r="E25" s="1130">
        <f t="shared" si="1"/>
        <v>0.03</v>
      </c>
      <c r="F25" s="1091">
        <v>1250000</v>
      </c>
      <c r="G25" s="1091" t="s">
        <v>632</v>
      </c>
      <c r="H25" s="1128">
        <f t="shared" si="0"/>
        <v>37500</v>
      </c>
    </row>
    <row r="26" spans="2:8" x14ac:dyDescent="0.25">
      <c r="B26" s="1090" t="s">
        <v>635</v>
      </c>
      <c r="C26" s="408">
        <f>179/357</f>
        <v>0.50140056022408963</v>
      </c>
      <c r="D26" s="1127" t="s">
        <v>619</v>
      </c>
      <c r="E26" s="408">
        <f t="shared" si="1"/>
        <v>0.50140056022408963</v>
      </c>
      <c r="F26" s="1091">
        <v>2000</v>
      </c>
      <c r="G26" s="1091" t="s">
        <v>619</v>
      </c>
      <c r="H26" s="1128">
        <f t="shared" si="0"/>
        <v>1002.8011204481793</v>
      </c>
    </row>
    <row r="27" spans="2:8" x14ac:dyDescent="0.25">
      <c r="B27" s="1090" t="s">
        <v>636</v>
      </c>
      <c r="C27" s="408">
        <f>250/357</f>
        <v>0.70028011204481788</v>
      </c>
      <c r="D27" s="1127" t="s">
        <v>619</v>
      </c>
      <c r="E27" s="408">
        <f t="shared" si="1"/>
        <v>0.70028011204481788</v>
      </c>
      <c r="F27" s="1091">
        <v>765</v>
      </c>
      <c r="G27" s="1091" t="s">
        <v>619</v>
      </c>
      <c r="H27" s="1128">
        <f t="shared" si="0"/>
        <v>535.71428571428567</v>
      </c>
    </row>
    <row r="28" spans="2:8" x14ac:dyDescent="0.25">
      <c r="B28" s="1090" t="s">
        <v>637</v>
      </c>
      <c r="C28" s="408">
        <f>250/357</f>
        <v>0.70028011204481788</v>
      </c>
      <c r="D28" s="1127" t="s">
        <v>619</v>
      </c>
      <c r="E28" s="408">
        <f t="shared" si="1"/>
        <v>0.70028011204481788</v>
      </c>
      <c r="F28" s="1091">
        <v>5200</v>
      </c>
      <c r="G28" s="1091" t="s">
        <v>619</v>
      </c>
      <c r="H28" s="1128">
        <f t="shared" si="0"/>
        <v>3641.4565826330531</v>
      </c>
    </row>
    <row r="29" spans="2:8" x14ac:dyDescent="0.25">
      <c r="B29" s="1090" t="s">
        <v>638</v>
      </c>
      <c r="C29" s="408">
        <f>6069/357</f>
        <v>17</v>
      </c>
      <c r="D29" s="1127" t="s">
        <v>619</v>
      </c>
      <c r="E29" s="408">
        <f t="shared" si="1"/>
        <v>17</v>
      </c>
      <c r="F29" s="1091">
        <v>950</v>
      </c>
      <c r="G29" s="1091" t="s">
        <v>619</v>
      </c>
      <c r="H29" s="1128">
        <f t="shared" si="0"/>
        <v>16150</v>
      </c>
    </row>
    <row r="30" spans="2:8" x14ac:dyDescent="0.25">
      <c r="B30" s="1090" t="s">
        <v>639</v>
      </c>
      <c r="C30" s="408">
        <v>12</v>
      </c>
      <c r="D30" s="1127" t="s">
        <v>619</v>
      </c>
      <c r="E30" s="408">
        <f t="shared" si="1"/>
        <v>12</v>
      </c>
      <c r="F30" s="1091">
        <v>2400</v>
      </c>
      <c r="G30" s="1091" t="s">
        <v>619</v>
      </c>
      <c r="H30" s="1128">
        <f t="shared" si="0"/>
        <v>28800</v>
      </c>
    </row>
    <row r="31" spans="2:8" x14ac:dyDescent="0.25">
      <c r="B31" s="1090" t="s">
        <v>640</v>
      </c>
      <c r="C31" s="408">
        <f>357/357</f>
        <v>1</v>
      </c>
      <c r="D31" s="1127" t="s">
        <v>619</v>
      </c>
      <c r="E31" s="408">
        <f t="shared" si="1"/>
        <v>1</v>
      </c>
      <c r="F31" s="1091">
        <v>4200</v>
      </c>
      <c r="G31" s="1091" t="s">
        <v>619</v>
      </c>
      <c r="H31" s="1128">
        <f t="shared" si="0"/>
        <v>4200</v>
      </c>
    </row>
    <row r="32" spans="2:8" ht="15.75" thickBot="1" x14ac:dyDescent="0.3">
      <c r="B32" s="1090" t="s">
        <v>641</v>
      </c>
      <c r="C32" s="408">
        <f>6069/357</f>
        <v>17</v>
      </c>
      <c r="D32" s="1127" t="s">
        <v>619</v>
      </c>
      <c r="E32" s="408">
        <f t="shared" si="1"/>
        <v>17</v>
      </c>
      <c r="F32" s="1091">
        <v>700</v>
      </c>
      <c r="G32" s="1091" t="s">
        <v>619</v>
      </c>
      <c r="H32" s="1128">
        <f t="shared" si="0"/>
        <v>11900</v>
      </c>
    </row>
    <row r="33" spans="2:12" ht="21" customHeight="1" thickTop="1" thickBot="1" x14ac:dyDescent="0.3">
      <c r="B33" s="2380" t="s">
        <v>642</v>
      </c>
      <c r="C33" s="2381"/>
      <c r="D33" s="2381"/>
      <c r="E33" s="2381"/>
      <c r="F33" s="2381"/>
      <c r="G33" s="2382"/>
      <c r="H33" s="1131">
        <f>SUM(H6:H32)</f>
        <v>745255.21064425772</v>
      </c>
    </row>
    <row r="34" spans="2:12" x14ac:dyDescent="0.25">
      <c r="B34" s="343"/>
      <c r="C34" s="343"/>
      <c r="D34" s="343"/>
      <c r="E34" s="343"/>
      <c r="F34" s="343"/>
      <c r="G34" s="343"/>
      <c r="H34" s="343"/>
    </row>
    <row r="35" spans="2:12" ht="18.600000000000001" customHeight="1" x14ac:dyDescent="0.25">
      <c r="B35" s="2383" t="s">
        <v>383</v>
      </c>
      <c r="C35" s="2383" t="s">
        <v>219</v>
      </c>
      <c r="D35" s="2383"/>
      <c r="E35" s="2385" t="s">
        <v>643</v>
      </c>
      <c r="F35" s="2383" t="s">
        <v>563</v>
      </c>
      <c r="G35" s="2383"/>
      <c r="H35" s="1121" t="s">
        <v>384</v>
      </c>
      <c r="K35" s="1098"/>
      <c r="L35" s="1122"/>
    </row>
    <row r="36" spans="2:12" ht="18.600000000000001" customHeight="1" x14ac:dyDescent="0.25">
      <c r="B36" s="2384"/>
      <c r="C36" s="2384"/>
      <c r="D36" s="2384"/>
      <c r="E36" s="2386"/>
      <c r="F36" s="2384"/>
      <c r="G36" s="2384"/>
      <c r="H36" s="1121" t="s">
        <v>385</v>
      </c>
      <c r="K36" s="1098"/>
    </row>
    <row r="37" spans="2:12" ht="18.600000000000001" customHeight="1" x14ac:dyDescent="0.25">
      <c r="B37" s="1123" t="s">
        <v>644</v>
      </c>
      <c r="C37" s="1124"/>
      <c r="D37" s="1124"/>
      <c r="E37" s="1125"/>
      <c r="F37" s="1124"/>
      <c r="G37" s="1124"/>
      <c r="H37" s="1124"/>
      <c r="K37" s="1098"/>
    </row>
    <row r="38" spans="2:12" x14ac:dyDescent="0.25">
      <c r="B38" s="1090" t="s">
        <v>645</v>
      </c>
      <c r="C38" s="408">
        <f>286/357</f>
        <v>0.80112044817927175</v>
      </c>
      <c r="D38" s="1127" t="s">
        <v>619</v>
      </c>
      <c r="E38" s="408">
        <f t="shared" ref="E38:E53" si="2">C38</f>
        <v>0.80112044817927175</v>
      </c>
      <c r="F38" s="1091">
        <v>4000</v>
      </c>
      <c r="G38" s="1091" t="s">
        <v>619</v>
      </c>
      <c r="H38" s="1132">
        <f t="shared" ref="H38:H53" si="3">E38*F38</f>
        <v>3204.481792717087</v>
      </c>
    </row>
    <row r="39" spans="2:12" x14ac:dyDescent="0.25">
      <c r="B39" s="1090" t="s">
        <v>646</v>
      </c>
      <c r="C39" s="408">
        <f>1785/357</f>
        <v>5</v>
      </c>
      <c r="D39" s="1127" t="s">
        <v>647</v>
      </c>
      <c r="E39" s="408">
        <f t="shared" si="2"/>
        <v>5</v>
      </c>
      <c r="F39" s="1091">
        <v>10100</v>
      </c>
      <c r="G39" s="1091" t="s">
        <v>647</v>
      </c>
      <c r="H39" s="1132">
        <f t="shared" si="3"/>
        <v>50500</v>
      </c>
    </row>
    <row r="40" spans="2:12" x14ac:dyDescent="0.25">
      <c r="B40" s="1090" t="s">
        <v>648</v>
      </c>
      <c r="C40" s="408">
        <f>714/357</f>
        <v>2</v>
      </c>
      <c r="D40" s="1127" t="s">
        <v>649</v>
      </c>
      <c r="E40" s="408">
        <f t="shared" si="2"/>
        <v>2</v>
      </c>
      <c r="F40" s="1091">
        <v>8160</v>
      </c>
      <c r="G40" s="1091" t="s">
        <v>649</v>
      </c>
      <c r="H40" s="1132">
        <f t="shared" si="3"/>
        <v>16320</v>
      </c>
    </row>
    <row r="41" spans="2:12" x14ac:dyDescent="0.25">
      <c r="B41" s="1090" t="s">
        <v>650</v>
      </c>
      <c r="C41" s="408">
        <f>360/357</f>
        <v>1.0084033613445378</v>
      </c>
      <c r="D41" s="1127" t="s">
        <v>651</v>
      </c>
      <c r="E41" s="408">
        <f t="shared" si="2"/>
        <v>1.0084033613445378</v>
      </c>
      <c r="F41" s="1091">
        <v>26550</v>
      </c>
      <c r="G41" s="1091" t="s">
        <v>651</v>
      </c>
      <c r="H41" s="1132">
        <f t="shared" si="3"/>
        <v>26773.10924369748</v>
      </c>
    </row>
    <row r="42" spans="2:12" x14ac:dyDescent="0.25">
      <c r="B42" s="1090" t="s">
        <v>652</v>
      </c>
      <c r="C42" s="408">
        <f>714/357</f>
        <v>2</v>
      </c>
      <c r="D42" s="1127" t="s">
        <v>649</v>
      </c>
      <c r="E42" s="408">
        <f t="shared" si="2"/>
        <v>2</v>
      </c>
      <c r="F42" s="1091">
        <v>31700</v>
      </c>
      <c r="G42" s="1091" t="s">
        <v>649</v>
      </c>
      <c r="H42" s="1132">
        <f t="shared" si="3"/>
        <v>63400</v>
      </c>
    </row>
    <row r="43" spans="2:12" x14ac:dyDescent="0.25">
      <c r="B43" s="1090" t="s">
        <v>653</v>
      </c>
      <c r="C43" s="408">
        <v>2.5</v>
      </c>
      <c r="D43" s="1127" t="s">
        <v>649</v>
      </c>
      <c r="E43" s="408">
        <f t="shared" si="2"/>
        <v>2.5</v>
      </c>
      <c r="F43" s="1091">
        <v>31006</v>
      </c>
      <c r="G43" s="1091" t="s">
        <v>649</v>
      </c>
      <c r="H43" s="1132">
        <f t="shared" si="3"/>
        <v>77515</v>
      </c>
    </row>
    <row r="44" spans="2:12" x14ac:dyDescent="0.25">
      <c r="B44" s="1090" t="s">
        <v>654</v>
      </c>
      <c r="C44" s="408">
        <f>179/357</f>
        <v>0.50140056022408963</v>
      </c>
      <c r="D44" s="1127" t="s">
        <v>619</v>
      </c>
      <c r="E44" s="408">
        <f t="shared" si="2"/>
        <v>0.50140056022408963</v>
      </c>
      <c r="F44" s="1091">
        <v>11950</v>
      </c>
      <c r="G44" s="1091" t="s">
        <v>619</v>
      </c>
      <c r="H44" s="1132">
        <f t="shared" si="3"/>
        <v>5991.7366946778711</v>
      </c>
    </row>
    <row r="45" spans="2:12" x14ac:dyDescent="0.25">
      <c r="B45" s="1090" t="s">
        <v>655</v>
      </c>
      <c r="C45" s="408">
        <f>214/357</f>
        <v>0.59943977591036413</v>
      </c>
      <c r="D45" s="1127" t="s">
        <v>619</v>
      </c>
      <c r="E45" s="408">
        <f t="shared" si="2"/>
        <v>0.59943977591036413</v>
      </c>
      <c r="F45" s="1091">
        <v>2545</v>
      </c>
      <c r="G45" s="1091" t="s">
        <v>619</v>
      </c>
      <c r="H45" s="1132">
        <f t="shared" si="3"/>
        <v>1525.5742296918768</v>
      </c>
    </row>
    <row r="46" spans="2:12" x14ac:dyDescent="0.25">
      <c r="B46" s="1090" t="s">
        <v>656</v>
      </c>
      <c r="C46" s="408">
        <f>1714/357</f>
        <v>4.8011204481792715</v>
      </c>
      <c r="D46" s="1127" t="s">
        <v>657</v>
      </c>
      <c r="E46" s="408">
        <f t="shared" si="2"/>
        <v>4.8011204481792715</v>
      </c>
      <c r="F46" s="1091">
        <v>930</v>
      </c>
      <c r="G46" s="1091" t="s">
        <v>657</v>
      </c>
      <c r="H46" s="1132">
        <f t="shared" si="3"/>
        <v>4465.0420168067221</v>
      </c>
    </row>
    <row r="47" spans="2:12" x14ac:dyDescent="0.25">
      <c r="B47" s="1090" t="s">
        <v>658</v>
      </c>
      <c r="C47" s="408">
        <f>71/357</f>
        <v>0.19887955182072828</v>
      </c>
      <c r="D47" s="1127" t="s">
        <v>619</v>
      </c>
      <c r="E47" s="408">
        <f t="shared" si="2"/>
        <v>0.19887955182072828</v>
      </c>
      <c r="F47" s="1091">
        <v>21050</v>
      </c>
      <c r="G47" s="1091" t="s">
        <v>619</v>
      </c>
      <c r="H47" s="1132">
        <f t="shared" si="3"/>
        <v>4186.4145658263305</v>
      </c>
    </row>
    <row r="48" spans="2:12" x14ac:dyDescent="0.25">
      <c r="B48" s="1090" t="s">
        <v>659</v>
      </c>
      <c r="C48" s="408">
        <f>12/357</f>
        <v>3.3613445378151259E-2</v>
      </c>
      <c r="D48" s="1127" t="s">
        <v>619</v>
      </c>
      <c r="E48" s="408">
        <f t="shared" si="2"/>
        <v>3.3613445378151259E-2</v>
      </c>
      <c r="F48" s="1091">
        <v>12500</v>
      </c>
      <c r="G48" s="1091" t="s">
        <v>619</v>
      </c>
      <c r="H48" s="1132">
        <f t="shared" si="3"/>
        <v>420.16806722689074</v>
      </c>
    </row>
    <row r="49" spans="1:12" x14ac:dyDescent="0.25">
      <c r="B49" s="1090" t="s">
        <v>660</v>
      </c>
      <c r="C49" s="408">
        <v>0.08</v>
      </c>
      <c r="D49" s="1127" t="s">
        <v>657</v>
      </c>
      <c r="E49" s="408">
        <f t="shared" si="2"/>
        <v>0.08</v>
      </c>
      <c r="F49" s="1091">
        <v>8160</v>
      </c>
      <c r="G49" s="1091" t="s">
        <v>657</v>
      </c>
      <c r="H49" s="1132">
        <f t="shared" si="3"/>
        <v>652.80000000000007</v>
      </c>
    </row>
    <row r="50" spans="1:12" x14ac:dyDescent="0.25">
      <c r="B50" s="1090" t="s">
        <v>661</v>
      </c>
      <c r="C50" s="408">
        <f>12/357</f>
        <v>3.3613445378151259E-2</v>
      </c>
      <c r="D50" s="1127" t="s">
        <v>619</v>
      </c>
      <c r="E50" s="408">
        <f t="shared" si="2"/>
        <v>3.3613445378151259E-2</v>
      </c>
      <c r="F50" s="1091">
        <v>23400</v>
      </c>
      <c r="G50" s="1091" t="s">
        <v>619</v>
      </c>
      <c r="H50" s="1132">
        <f t="shared" si="3"/>
        <v>786.55462184873943</v>
      </c>
    </row>
    <row r="51" spans="1:12" x14ac:dyDescent="0.25">
      <c r="B51" s="1090" t="s">
        <v>662</v>
      </c>
      <c r="C51" s="408">
        <f>12/357</f>
        <v>3.3613445378151259E-2</v>
      </c>
      <c r="D51" s="1127" t="s">
        <v>619</v>
      </c>
      <c r="E51" s="408">
        <f t="shared" si="2"/>
        <v>3.3613445378151259E-2</v>
      </c>
      <c r="F51" s="1091">
        <v>50800</v>
      </c>
      <c r="G51" s="1091" t="s">
        <v>619</v>
      </c>
      <c r="H51" s="1132">
        <f t="shared" si="3"/>
        <v>1707.5630252100839</v>
      </c>
    </row>
    <row r="52" spans="1:12" x14ac:dyDescent="0.25">
      <c r="B52" s="1090" t="s">
        <v>663</v>
      </c>
      <c r="C52" s="408">
        <v>0.08</v>
      </c>
      <c r="D52" s="1127" t="s">
        <v>619</v>
      </c>
      <c r="E52" s="408">
        <f t="shared" si="2"/>
        <v>0.08</v>
      </c>
      <c r="F52" s="1091">
        <v>6250</v>
      </c>
      <c r="G52" s="1091" t="s">
        <v>619</v>
      </c>
      <c r="H52" s="1132">
        <f t="shared" si="3"/>
        <v>500</v>
      </c>
    </row>
    <row r="53" spans="1:12" ht="15.75" thickBot="1" x14ac:dyDescent="0.3">
      <c r="B53" s="1090" t="s">
        <v>664</v>
      </c>
      <c r="C53" s="408">
        <v>0.05</v>
      </c>
      <c r="D53" s="1127" t="s">
        <v>619</v>
      </c>
      <c r="E53" s="408">
        <f t="shared" si="2"/>
        <v>0.05</v>
      </c>
      <c r="F53" s="1091">
        <v>24260</v>
      </c>
      <c r="G53" s="1091" t="s">
        <v>619</v>
      </c>
      <c r="H53" s="1132">
        <f t="shared" si="3"/>
        <v>1213</v>
      </c>
    </row>
    <row r="54" spans="1:12" ht="16.5" thickTop="1" thickBot="1" x14ac:dyDescent="0.3">
      <c r="B54" s="2380" t="s">
        <v>642</v>
      </c>
      <c r="C54" s="2381"/>
      <c r="D54" s="2381"/>
      <c r="E54" s="2381"/>
      <c r="F54" s="2381"/>
      <c r="G54" s="2382"/>
      <c r="H54" s="1131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383" t="s">
        <v>383</v>
      </c>
      <c r="C56" s="2383" t="s">
        <v>219</v>
      </c>
      <c r="D56" s="2383"/>
      <c r="E56" s="2385" t="s">
        <v>643</v>
      </c>
      <c r="F56" s="2383" t="s">
        <v>563</v>
      </c>
      <c r="G56" s="2383"/>
      <c r="H56" s="1121" t="s">
        <v>384</v>
      </c>
      <c r="K56" s="1098"/>
      <c r="L56" s="1122"/>
    </row>
    <row r="57" spans="1:12" ht="18.600000000000001" customHeight="1" x14ac:dyDescent="0.25">
      <c r="B57" s="2384"/>
      <c r="C57" s="2384"/>
      <c r="D57" s="2384"/>
      <c r="E57" s="2386"/>
      <c r="F57" s="2384"/>
      <c r="G57" s="2384"/>
      <c r="H57" s="1121" t="s">
        <v>385</v>
      </c>
      <c r="K57" s="1098"/>
    </row>
    <row r="58" spans="1:12" ht="18.600000000000001" customHeight="1" x14ac:dyDescent="0.25">
      <c r="B58" s="1123" t="s">
        <v>366</v>
      </c>
      <c r="C58" s="1124"/>
      <c r="D58" s="1124"/>
      <c r="E58" s="1125"/>
      <c r="F58" s="1124"/>
      <c r="G58" s="1124"/>
      <c r="H58" s="1133"/>
      <c r="K58" s="1098"/>
    </row>
    <row r="59" spans="1:12" x14ac:dyDescent="0.25">
      <c r="B59" s="1090" t="s">
        <v>665</v>
      </c>
      <c r="C59" s="408">
        <f>59/357</f>
        <v>0.16526610644257703</v>
      </c>
      <c r="D59" s="1127" t="s">
        <v>649</v>
      </c>
      <c r="E59" s="408">
        <f>C59</f>
        <v>0.16526610644257703</v>
      </c>
      <c r="F59" s="1091">
        <v>82000</v>
      </c>
      <c r="G59" s="1091" t="s">
        <v>649</v>
      </c>
      <c r="H59" s="1132">
        <f>E59*F59</f>
        <v>13551.820728291315</v>
      </c>
    </row>
    <row r="60" spans="1:12" ht="15.75" thickBot="1" x14ac:dyDescent="0.3">
      <c r="B60" s="1090" t="s">
        <v>666</v>
      </c>
      <c r="C60" s="408">
        <f>59/357</f>
        <v>0.16526610644257703</v>
      </c>
      <c r="D60" s="1127" t="s">
        <v>649</v>
      </c>
      <c r="E60" s="408">
        <f>C60</f>
        <v>0.16526610644257703</v>
      </c>
      <c r="F60" s="1091">
        <v>82000</v>
      </c>
      <c r="G60" s="1091" t="s">
        <v>649</v>
      </c>
      <c r="H60" s="1132">
        <f>E60*F60</f>
        <v>13551.820728291315</v>
      </c>
    </row>
    <row r="61" spans="1:12" ht="16.5" thickTop="1" thickBot="1" x14ac:dyDescent="0.3">
      <c r="B61" s="2380" t="s">
        <v>642</v>
      </c>
      <c r="C61" s="2381"/>
      <c r="D61" s="2381"/>
      <c r="E61" s="2381"/>
      <c r="F61" s="2381"/>
      <c r="G61" s="2382"/>
      <c r="H61" s="1131">
        <f>SUM(H59:H60)</f>
        <v>27103.641456582631</v>
      </c>
    </row>
    <row r="62" spans="1:12" ht="16.5" thickTop="1" thickBot="1" x14ac:dyDescent="0.3">
      <c r="B62" s="1134"/>
      <c r="C62" s="1134"/>
      <c r="D62" s="1134"/>
      <c r="E62" s="1134"/>
      <c r="F62" s="1134"/>
      <c r="G62" s="1134"/>
      <c r="H62" s="1135"/>
    </row>
    <row r="63" spans="1:12" ht="15.75" thickTop="1" x14ac:dyDescent="0.25">
      <c r="B63" s="2389" t="s">
        <v>667</v>
      </c>
      <c r="C63" s="2390"/>
      <c r="D63" s="2390"/>
      <c r="E63" s="2390"/>
      <c r="F63" s="2390"/>
      <c r="G63" s="2390"/>
      <c r="H63" s="2393">
        <f>H61+H54+H33</f>
        <v>1031520.2963585434</v>
      </c>
    </row>
    <row r="64" spans="1:12" ht="6.6" customHeight="1" thickBot="1" x14ac:dyDescent="0.3">
      <c r="B64" s="2391"/>
      <c r="C64" s="2392"/>
      <c r="D64" s="2392"/>
      <c r="E64" s="2392"/>
      <c r="F64" s="2392"/>
      <c r="G64" s="2392"/>
      <c r="H64" s="2394"/>
    </row>
    <row r="65" spans="2:9" ht="15.75" thickTop="1" x14ac:dyDescent="0.25"/>
    <row r="67" spans="2:9" ht="21" x14ac:dyDescent="0.25">
      <c r="B67" s="969"/>
      <c r="C67" s="1119" t="s">
        <v>668</v>
      </c>
      <c r="D67" s="969"/>
      <c r="E67" s="969"/>
      <c r="F67" s="343"/>
      <c r="G67" s="969"/>
      <c r="H67" s="969"/>
      <c r="I67" s="969"/>
    </row>
    <row r="68" spans="2:9" x14ac:dyDescent="0.25">
      <c r="B68" s="2383" t="s">
        <v>99</v>
      </c>
      <c r="C68" s="2383" t="s">
        <v>383</v>
      </c>
      <c r="D68" s="2383" t="s">
        <v>219</v>
      </c>
      <c r="E68" s="2383"/>
      <c r="F68" s="2385" t="s">
        <v>643</v>
      </c>
      <c r="G68" s="2383" t="s">
        <v>563</v>
      </c>
      <c r="H68" s="2383"/>
      <c r="I68" s="1136" t="s">
        <v>384</v>
      </c>
    </row>
    <row r="69" spans="2:9" ht="15.75" thickBot="1" x14ac:dyDescent="0.3">
      <c r="B69" s="2384"/>
      <c r="C69" s="2384"/>
      <c r="D69" s="2384"/>
      <c r="E69" s="2384"/>
      <c r="F69" s="2386"/>
      <c r="G69" s="2384"/>
      <c r="H69" s="2384"/>
      <c r="I69" s="1136" t="s">
        <v>385</v>
      </c>
    </row>
    <row r="70" spans="2:9" ht="15.75" thickTop="1" x14ac:dyDescent="0.25">
      <c r="B70" s="1137">
        <v>1</v>
      </c>
      <c r="C70" s="1138" t="s">
        <v>669</v>
      </c>
      <c r="D70" s="1139">
        <v>12</v>
      </c>
      <c r="E70" s="1139" t="s">
        <v>670</v>
      </c>
      <c r="F70" s="1140">
        <f>D70/357</f>
        <v>3.3613445378151259E-2</v>
      </c>
      <c r="G70" s="1141">
        <v>35000</v>
      </c>
      <c r="H70" s="1141" t="s">
        <v>671</v>
      </c>
      <c r="I70" s="1142">
        <f>F70*G70</f>
        <v>1176.4705882352941</v>
      </c>
    </row>
    <row r="71" spans="2:9" x14ac:dyDescent="0.25">
      <c r="B71" s="1143">
        <f>B70+1</f>
        <v>2</v>
      </c>
      <c r="C71" s="1144" t="s">
        <v>672</v>
      </c>
      <c r="D71" s="1145">
        <v>72</v>
      </c>
      <c r="E71" s="1145" t="s">
        <v>670</v>
      </c>
      <c r="F71" s="1146">
        <f t="shared" ref="F71:F110" si="4">D71/357</f>
        <v>0.20168067226890757</v>
      </c>
      <c r="G71" s="1147">
        <v>48000</v>
      </c>
      <c r="H71" s="1147" t="s">
        <v>671</v>
      </c>
      <c r="I71" s="1148">
        <f t="shared" ref="I71:I110" si="5">F71*G71</f>
        <v>9680.6722689075632</v>
      </c>
    </row>
    <row r="72" spans="2:9" x14ac:dyDescent="0.25">
      <c r="B72" s="1143">
        <f t="shared" ref="B72:B110" si="6">B71+1</f>
        <v>3</v>
      </c>
      <c r="C72" s="1144" t="s">
        <v>673</v>
      </c>
      <c r="D72" s="1145">
        <v>12</v>
      </c>
      <c r="E72" s="1145" t="s">
        <v>670</v>
      </c>
      <c r="F72" s="1146">
        <f t="shared" si="4"/>
        <v>3.3613445378151259E-2</v>
      </c>
      <c r="G72" s="1147">
        <v>100000</v>
      </c>
      <c r="H72" s="1147" t="s">
        <v>671</v>
      </c>
      <c r="I72" s="1148">
        <f t="shared" si="5"/>
        <v>3361.3445378151259</v>
      </c>
    </row>
    <row r="73" spans="2:9" x14ac:dyDescent="0.25">
      <c r="B73" s="1143">
        <f t="shared" si="6"/>
        <v>4</v>
      </c>
      <c r="C73" s="1144" t="s">
        <v>674</v>
      </c>
      <c r="D73" s="1145">
        <v>6</v>
      </c>
      <c r="E73" s="1145" t="s">
        <v>670</v>
      </c>
      <c r="F73" s="1146">
        <f t="shared" si="4"/>
        <v>1.680672268907563E-2</v>
      </c>
      <c r="G73" s="1147">
        <v>120000</v>
      </c>
      <c r="H73" s="1147" t="s">
        <v>671</v>
      </c>
      <c r="I73" s="1148">
        <f t="shared" si="5"/>
        <v>2016.8067226890755</v>
      </c>
    </row>
    <row r="74" spans="2:9" x14ac:dyDescent="0.25">
      <c r="B74" s="1143">
        <f t="shared" si="6"/>
        <v>5</v>
      </c>
      <c r="C74" s="1144" t="s">
        <v>675</v>
      </c>
      <c r="D74" s="1145">
        <v>6</v>
      </c>
      <c r="E74" s="1145" t="s">
        <v>670</v>
      </c>
      <c r="F74" s="1146">
        <f t="shared" si="4"/>
        <v>1.680672268907563E-2</v>
      </c>
      <c r="G74" s="1147">
        <v>142000</v>
      </c>
      <c r="H74" s="1147" t="s">
        <v>671</v>
      </c>
      <c r="I74" s="1148">
        <f t="shared" si="5"/>
        <v>2386.5546218487393</v>
      </c>
    </row>
    <row r="75" spans="2:9" x14ac:dyDescent="0.25">
      <c r="B75" s="1143">
        <f t="shared" si="6"/>
        <v>6</v>
      </c>
      <c r="C75" s="1144" t="s">
        <v>676</v>
      </c>
      <c r="D75" s="1145">
        <v>6</v>
      </c>
      <c r="E75" s="1145" t="s">
        <v>670</v>
      </c>
      <c r="F75" s="1146">
        <f t="shared" si="4"/>
        <v>1.680672268907563E-2</v>
      </c>
      <c r="G75" s="1147">
        <v>70000</v>
      </c>
      <c r="H75" s="1147" t="s">
        <v>671</v>
      </c>
      <c r="I75" s="1148">
        <f t="shared" si="5"/>
        <v>1176.4705882352941</v>
      </c>
    </row>
    <row r="76" spans="2:9" x14ac:dyDescent="0.25">
      <c r="B76" s="1143">
        <f t="shared" si="6"/>
        <v>7</v>
      </c>
      <c r="C76" s="1144" t="s">
        <v>677</v>
      </c>
      <c r="D76" s="1145">
        <v>6</v>
      </c>
      <c r="E76" s="1145" t="s">
        <v>670</v>
      </c>
      <c r="F76" s="1146">
        <f t="shared" si="4"/>
        <v>1.680672268907563E-2</v>
      </c>
      <c r="G76" s="1147">
        <v>180000</v>
      </c>
      <c r="H76" s="1147" t="s">
        <v>671</v>
      </c>
      <c r="I76" s="1148">
        <f t="shared" si="5"/>
        <v>3025.2100840336134</v>
      </c>
    </row>
    <row r="77" spans="2:9" x14ac:dyDescent="0.25">
      <c r="B77" s="1143">
        <f t="shared" si="6"/>
        <v>8</v>
      </c>
      <c r="C77" s="1144" t="s">
        <v>678</v>
      </c>
      <c r="D77" s="1145">
        <v>2</v>
      </c>
      <c r="E77" s="1145" t="s">
        <v>670</v>
      </c>
      <c r="F77" s="1146">
        <f t="shared" si="4"/>
        <v>5.6022408963585435E-3</v>
      </c>
      <c r="G77" s="1147">
        <v>350000</v>
      </c>
      <c r="H77" s="1147" t="s">
        <v>671</v>
      </c>
      <c r="I77" s="1148">
        <f t="shared" si="5"/>
        <v>1960.7843137254902</v>
      </c>
    </row>
    <row r="78" spans="2:9" x14ac:dyDescent="0.25">
      <c r="B78" s="1143">
        <f t="shared" si="6"/>
        <v>9</v>
      </c>
      <c r="C78" s="1144" t="s">
        <v>679</v>
      </c>
      <c r="D78" s="1145">
        <v>2</v>
      </c>
      <c r="E78" s="1145" t="s">
        <v>670</v>
      </c>
      <c r="F78" s="1146">
        <f t="shared" si="4"/>
        <v>5.6022408963585435E-3</v>
      </c>
      <c r="G78" s="1147">
        <v>350000</v>
      </c>
      <c r="H78" s="1147" t="s">
        <v>671</v>
      </c>
      <c r="I78" s="1148">
        <f t="shared" si="5"/>
        <v>1960.7843137254902</v>
      </c>
    </row>
    <row r="79" spans="2:9" x14ac:dyDescent="0.25">
      <c r="B79" s="1143">
        <f t="shared" si="6"/>
        <v>10</v>
      </c>
      <c r="C79" s="1144" t="s">
        <v>680</v>
      </c>
      <c r="D79" s="1145">
        <v>6</v>
      </c>
      <c r="E79" s="1145" t="s">
        <v>670</v>
      </c>
      <c r="F79" s="1146">
        <f t="shared" si="4"/>
        <v>1.680672268907563E-2</v>
      </c>
      <c r="G79" s="1147">
        <v>75000</v>
      </c>
      <c r="H79" s="1147" t="s">
        <v>671</v>
      </c>
      <c r="I79" s="1148">
        <f t="shared" si="5"/>
        <v>1260.5042016806722</v>
      </c>
    </row>
    <row r="80" spans="2:9" x14ac:dyDescent="0.25">
      <c r="B80" s="1143">
        <f t="shared" si="6"/>
        <v>11</v>
      </c>
      <c r="C80" s="1144" t="s">
        <v>681</v>
      </c>
      <c r="D80" s="1145">
        <v>72</v>
      </c>
      <c r="E80" s="1145" t="s">
        <v>670</v>
      </c>
      <c r="F80" s="1146">
        <f t="shared" si="4"/>
        <v>0.20168067226890757</v>
      </c>
      <c r="G80" s="1147">
        <v>90000</v>
      </c>
      <c r="H80" s="1147" t="s">
        <v>671</v>
      </c>
      <c r="I80" s="1148">
        <f t="shared" si="5"/>
        <v>18151.26050420168</v>
      </c>
    </row>
    <row r="81" spans="2:9" x14ac:dyDescent="0.25">
      <c r="B81" s="1143">
        <f t="shared" si="6"/>
        <v>12</v>
      </c>
      <c r="C81" s="1144" t="s">
        <v>682</v>
      </c>
      <c r="D81" s="1145">
        <v>2</v>
      </c>
      <c r="E81" s="1145" t="s">
        <v>670</v>
      </c>
      <c r="F81" s="1146">
        <f t="shared" si="4"/>
        <v>5.6022408963585435E-3</v>
      </c>
      <c r="G81" s="1147">
        <v>400000</v>
      </c>
      <c r="H81" s="1147" t="s">
        <v>671</v>
      </c>
      <c r="I81" s="1148">
        <f t="shared" si="5"/>
        <v>2240.8963585434176</v>
      </c>
    </row>
    <row r="82" spans="2:9" x14ac:dyDescent="0.25">
      <c r="B82" s="1143">
        <f t="shared" si="6"/>
        <v>13</v>
      </c>
      <c r="C82" s="1144" t="s">
        <v>683</v>
      </c>
      <c r="D82" s="1145">
        <v>2</v>
      </c>
      <c r="E82" s="1145" t="s">
        <v>670</v>
      </c>
      <c r="F82" s="1146">
        <f t="shared" si="4"/>
        <v>5.6022408963585435E-3</v>
      </c>
      <c r="G82" s="1147">
        <v>85000</v>
      </c>
      <c r="H82" s="1147" t="s">
        <v>671</v>
      </c>
      <c r="I82" s="1148">
        <f t="shared" si="5"/>
        <v>476.1904761904762</v>
      </c>
    </row>
    <row r="83" spans="2:9" x14ac:dyDescent="0.25">
      <c r="B83" s="1143">
        <f t="shared" si="6"/>
        <v>14</v>
      </c>
      <c r="C83" s="1144" t="s">
        <v>684</v>
      </c>
      <c r="D83" s="1145">
        <v>2</v>
      </c>
      <c r="E83" s="1145" t="s">
        <v>670</v>
      </c>
      <c r="F83" s="1146">
        <f t="shared" si="4"/>
        <v>5.6022408963585435E-3</v>
      </c>
      <c r="G83" s="1147">
        <v>550000</v>
      </c>
      <c r="H83" s="1147" t="s">
        <v>671</v>
      </c>
      <c r="I83" s="1148">
        <f t="shared" si="5"/>
        <v>3081.2324929971987</v>
      </c>
    </row>
    <row r="84" spans="2:9" x14ac:dyDescent="0.25">
      <c r="B84" s="1143">
        <f t="shared" si="6"/>
        <v>15</v>
      </c>
      <c r="C84" s="1144" t="s">
        <v>685</v>
      </c>
      <c r="D84" s="1145">
        <v>2</v>
      </c>
      <c r="E84" s="1145" t="s">
        <v>670</v>
      </c>
      <c r="F84" s="1146">
        <f t="shared" si="4"/>
        <v>5.6022408963585435E-3</v>
      </c>
      <c r="G84" s="1147">
        <v>600000</v>
      </c>
      <c r="H84" s="1147" t="s">
        <v>671</v>
      </c>
      <c r="I84" s="1148">
        <f t="shared" si="5"/>
        <v>3361.3445378151259</v>
      </c>
    </row>
    <row r="85" spans="2:9" x14ac:dyDescent="0.25">
      <c r="B85" s="1143">
        <f t="shared" si="6"/>
        <v>16</v>
      </c>
      <c r="C85" s="1144" t="s">
        <v>686</v>
      </c>
      <c r="D85" s="1145">
        <v>48</v>
      </c>
      <c r="E85" s="1145" t="s">
        <v>670</v>
      </c>
      <c r="F85" s="1146">
        <f t="shared" si="4"/>
        <v>0.13445378151260504</v>
      </c>
      <c r="G85" s="1147">
        <v>60000</v>
      </c>
      <c r="H85" s="1147" t="s">
        <v>671</v>
      </c>
      <c r="I85" s="1148">
        <f t="shared" si="5"/>
        <v>8067.2268907563021</v>
      </c>
    </row>
    <row r="86" spans="2:9" x14ac:dyDescent="0.25">
      <c r="B86" s="1143">
        <f t="shared" si="6"/>
        <v>17</v>
      </c>
      <c r="C86" s="1144" t="s">
        <v>687</v>
      </c>
      <c r="D86" s="1145">
        <v>2</v>
      </c>
      <c r="E86" s="1145" t="s">
        <v>670</v>
      </c>
      <c r="F86" s="1146">
        <f t="shared" si="4"/>
        <v>5.6022408963585435E-3</v>
      </c>
      <c r="G86" s="1147">
        <v>710000</v>
      </c>
      <c r="H86" s="1147" t="s">
        <v>671</v>
      </c>
      <c r="I86" s="1148">
        <f t="shared" si="5"/>
        <v>3977.5910364145657</v>
      </c>
    </row>
    <row r="87" spans="2:9" x14ac:dyDescent="0.25">
      <c r="B87" s="1143">
        <f t="shared" si="6"/>
        <v>18</v>
      </c>
      <c r="C87" s="1144" t="s">
        <v>688</v>
      </c>
      <c r="D87" s="1145">
        <v>2</v>
      </c>
      <c r="E87" s="1145" t="s">
        <v>670</v>
      </c>
      <c r="F87" s="1146">
        <f t="shared" si="4"/>
        <v>5.6022408963585435E-3</v>
      </c>
      <c r="G87" s="1147">
        <v>135000</v>
      </c>
      <c r="H87" s="1147" t="s">
        <v>671</v>
      </c>
      <c r="I87" s="1148">
        <f t="shared" si="5"/>
        <v>756.30252100840335</v>
      </c>
    </row>
    <row r="88" spans="2:9" x14ac:dyDescent="0.25">
      <c r="B88" s="1143">
        <f t="shared" si="6"/>
        <v>19</v>
      </c>
      <c r="C88" s="1144" t="s">
        <v>689</v>
      </c>
      <c r="D88" s="1145">
        <v>2</v>
      </c>
      <c r="E88" s="1145" t="s">
        <v>670</v>
      </c>
      <c r="F88" s="1146">
        <f t="shared" si="4"/>
        <v>5.6022408963585435E-3</v>
      </c>
      <c r="G88" s="1147">
        <v>520000</v>
      </c>
      <c r="H88" s="1147" t="s">
        <v>671</v>
      </c>
      <c r="I88" s="1148">
        <f t="shared" si="5"/>
        <v>2913.1652661064427</v>
      </c>
    </row>
    <row r="89" spans="2:9" x14ac:dyDescent="0.25">
      <c r="B89" s="1143">
        <f t="shared" si="6"/>
        <v>20</v>
      </c>
      <c r="C89" s="1144" t="s">
        <v>690</v>
      </c>
      <c r="D89" s="1145">
        <v>6</v>
      </c>
      <c r="E89" s="1145" t="s">
        <v>670</v>
      </c>
      <c r="F89" s="1146">
        <f t="shared" si="4"/>
        <v>1.680672268907563E-2</v>
      </c>
      <c r="G89" s="1147">
        <v>60000</v>
      </c>
      <c r="H89" s="1147" t="s">
        <v>671</v>
      </c>
      <c r="I89" s="1148">
        <f t="shared" si="5"/>
        <v>1008.4033613445378</v>
      </c>
    </row>
    <row r="90" spans="2:9" x14ac:dyDescent="0.25">
      <c r="B90" s="1143">
        <f t="shared" si="6"/>
        <v>21</v>
      </c>
      <c r="C90" s="1144" t="s">
        <v>691</v>
      </c>
      <c r="D90" s="1145">
        <v>6</v>
      </c>
      <c r="E90" s="1145" t="s">
        <v>670</v>
      </c>
      <c r="F90" s="1146">
        <f t="shared" si="4"/>
        <v>1.680672268907563E-2</v>
      </c>
      <c r="G90" s="1147">
        <v>65000</v>
      </c>
      <c r="H90" s="1147" t="s">
        <v>671</v>
      </c>
      <c r="I90" s="1148">
        <f t="shared" si="5"/>
        <v>1092.4369747899159</v>
      </c>
    </row>
    <row r="91" spans="2:9" x14ac:dyDescent="0.25">
      <c r="B91" s="1143">
        <f t="shared" si="6"/>
        <v>22</v>
      </c>
      <c r="C91" s="1144" t="s">
        <v>692</v>
      </c>
      <c r="D91" s="1145">
        <v>6</v>
      </c>
      <c r="E91" s="1145" t="s">
        <v>670</v>
      </c>
      <c r="F91" s="1146">
        <f t="shared" si="4"/>
        <v>1.680672268907563E-2</v>
      </c>
      <c r="G91" s="1147">
        <v>80000</v>
      </c>
      <c r="H91" s="1147" t="s">
        <v>671</v>
      </c>
      <c r="I91" s="1148">
        <f t="shared" si="5"/>
        <v>1344.5378151260504</v>
      </c>
    </row>
    <row r="92" spans="2:9" x14ac:dyDescent="0.25">
      <c r="B92" s="1143">
        <f t="shared" si="6"/>
        <v>23</v>
      </c>
      <c r="C92" s="1144" t="s">
        <v>693</v>
      </c>
      <c r="D92" s="1145">
        <v>6</v>
      </c>
      <c r="E92" s="1145" t="s">
        <v>670</v>
      </c>
      <c r="F92" s="1146">
        <f t="shared" si="4"/>
        <v>1.680672268907563E-2</v>
      </c>
      <c r="G92" s="1147">
        <v>130000</v>
      </c>
      <c r="H92" s="1147" t="s">
        <v>671</v>
      </c>
      <c r="I92" s="1148">
        <f t="shared" si="5"/>
        <v>2184.8739495798318</v>
      </c>
    </row>
    <row r="93" spans="2:9" x14ac:dyDescent="0.25">
      <c r="B93" s="1143">
        <f t="shared" si="6"/>
        <v>24</v>
      </c>
      <c r="C93" s="1144" t="s">
        <v>694</v>
      </c>
      <c r="D93" s="1145">
        <v>24</v>
      </c>
      <c r="E93" s="1145" t="s">
        <v>670</v>
      </c>
      <c r="F93" s="1146">
        <f t="shared" si="4"/>
        <v>6.7226890756302518E-2</v>
      </c>
      <c r="G93" s="1147">
        <v>130000</v>
      </c>
      <c r="H93" s="1147" t="s">
        <v>671</v>
      </c>
      <c r="I93" s="1148">
        <f t="shared" si="5"/>
        <v>8739.4957983193272</v>
      </c>
    </row>
    <row r="94" spans="2:9" x14ac:dyDescent="0.25">
      <c r="B94" s="1143">
        <f t="shared" si="6"/>
        <v>25</v>
      </c>
      <c r="C94" s="1144" t="s">
        <v>695</v>
      </c>
      <c r="D94" s="1145">
        <v>6</v>
      </c>
      <c r="E94" s="1145" t="s">
        <v>670</v>
      </c>
      <c r="F94" s="1146">
        <f t="shared" si="4"/>
        <v>1.680672268907563E-2</v>
      </c>
      <c r="G94" s="1147">
        <v>150000</v>
      </c>
      <c r="H94" s="1147" t="s">
        <v>671</v>
      </c>
      <c r="I94" s="1148">
        <f t="shared" si="5"/>
        <v>2521.0084033613443</v>
      </c>
    </row>
    <row r="95" spans="2:9" x14ac:dyDescent="0.25">
      <c r="B95" s="1143">
        <f t="shared" si="6"/>
        <v>26</v>
      </c>
      <c r="C95" s="1144" t="s">
        <v>696</v>
      </c>
      <c r="D95" s="1145">
        <v>6</v>
      </c>
      <c r="E95" s="1145" t="s">
        <v>670</v>
      </c>
      <c r="F95" s="1146">
        <f t="shared" si="4"/>
        <v>1.680672268907563E-2</v>
      </c>
      <c r="G95" s="1147">
        <v>180000</v>
      </c>
      <c r="H95" s="1147" t="s">
        <v>671</v>
      </c>
      <c r="I95" s="1148">
        <f t="shared" si="5"/>
        <v>3025.2100840336134</v>
      </c>
    </row>
    <row r="96" spans="2:9" x14ac:dyDescent="0.25">
      <c r="B96" s="1143">
        <f t="shared" si="6"/>
        <v>27</v>
      </c>
      <c r="C96" s="1144" t="s">
        <v>697</v>
      </c>
      <c r="D96" s="1145">
        <v>3</v>
      </c>
      <c r="E96" s="1145" t="s">
        <v>670</v>
      </c>
      <c r="F96" s="1146">
        <f t="shared" si="4"/>
        <v>8.4033613445378148E-3</v>
      </c>
      <c r="G96" s="1147">
        <v>210000</v>
      </c>
      <c r="H96" s="1147" t="s">
        <v>671</v>
      </c>
      <c r="I96" s="1148">
        <f t="shared" si="5"/>
        <v>1764.705882352941</v>
      </c>
    </row>
    <row r="97" spans="2:9" x14ac:dyDescent="0.25">
      <c r="B97" s="1143">
        <f t="shared" si="6"/>
        <v>28</v>
      </c>
      <c r="C97" s="1144" t="s">
        <v>698</v>
      </c>
      <c r="D97" s="1145">
        <v>3</v>
      </c>
      <c r="E97" s="1145" t="s">
        <v>670</v>
      </c>
      <c r="F97" s="1146">
        <f t="shared" si="4"/>
        <v>8.4033613445378148E-3</v>
      </c>
      <c r="G97" s="1147">
        <v>580000</v>
      </c>
      <c r="H97" s="1147" t="s">
        <v>671</v>
      </c>
      <c r="I97" s="1148">
        <f t="shared" si="5"/>
        <v>4873.9495798319322</v>
      </c>
    </row>
    <row r="98" spans="2:9" x14ac:dyDescent="0.25">
      <c r="B98" s="1143">
        <f t="shared" si="6"/>
        <v>29</v>
      </c>
      <c r="C98" s="1144" t="s">
        <v>699</v>
      </c>
      <c r="D98" s="1145">
        <v>3</v>
      </c>
      <c r="E98" s="1145" t="s">
        <v>670</v>
      </c>
      <c r="F98" s="1146">
        <f t="shared" si="4"/>
        <v>8.4033613445378148E-3</v>
      </c>
      <c r="G98" s="1147">
        <v>580000</v>
      </c>
      <c r="H98" s="1147" t="s">
        <v>671</v>
      </c>
      <c r="I98" s="1148">
        <f t="shared" si="5"/>
        <v>4873.9495798319322</v>
      </c>
    </row>
    <row r="99" spans="2:9" x14ac:dyDescent="0.25">
      <c r="B99" s="1143">
        <f t="shared" si="6"/>
        <v>30</v>
      </c>
      <c r="C99" s="1144" t="s">
        <v>700</v>
      </c>
      <c r="D99" s="1145">
        <v>500</v>
      </c>
      <c r="E99" s="1145" t="s">
        <v>670</v>
      </c>
      <c r="F99" s="1146">
        <f t="shared" si="4"/>
        <v>1.4005602240896358</v>
      </c>
      <c r="G99" s="1147">
        <v>10000</v>
      </c>
      <c r="H99" s="1147" t="s">
        <v>671</v>
      </c>
      <c r="I99" s="1148">
        <f t="shared" si="5"/>
        <v>14005.602240896358</v>
      </c>
    </row>
    <row r="100" spans="2:9" x14ac:dyDescent="0.25">
      <c r="B100" s="1143">
        <f t="shared" si="6"/>
        <v>31</v>
      </c>
      <c r="C100" s="1144" t="s">
        <v>701</v>
      </c>
      <c r="D100" s="1145">
        <v>12</v>
      </c>
      <c r="E100" s="1145" t="s">
        <v>670</v>
      </c>
      <c r="F100" s="1146">
        <f t="shared" si="4"/>
        <v>3.3613445378151259E-2</v>
      </c>
      <c r="G100" s="1147">
        <v>75000</v>
      </c>
      <c r="H100" s="1147" t="s">
        <v>671</v>
      </c>
      <c r="I100" s="1148">
        <f t="shared" si="5"/>
        <v>2521.0084033613443</v>
      </c>
    </row>
    <row r="101" spans="2:9" x14ac:dyDescent="0.25">
      <c r="B101" s="1143">
        <f t="shared" si="6"/>
        <v>32</v>
      </c>
      <c r="C101" s="1144" t="s">
        <v>702</v>
      </c>
      <c r="D101" s="1145">
        <v>4</v>
      </c>
      <c r="E101" s="1145" t="s">
        <v>670</v>
      </c>
      <c r="F101" s="1146">
        <f t="shared" si="4"/>
        <v>1.1204481792717087E-2</v>
      </c>
      <c r="G101" s="1147">
        <v>138000</v>
      </c>
      <c r="H101" s="1147" t="s">
        <v>671</v>
      </c>
      <c r="I101" s="1148">
        <f t="shared" si="5"/>
        <v>1546.2184873949579</v>
      </c>
    </row>
    <row r="102" spans="2:9" x14ac:dyDescent="0.25">
      <c r="B102" s="1143">
        <f t="shared" si="6"/>
        <v>33</v>
      </c>
      <c r="C102" s="1144" t="s">
        <v>703</v>
      </c>
      <c r="D102" s="1145">
        <v>2</v>
      </c>
      <c r="E102" s="1145" t="s">
        <v>670</v>
      </c>
      <c r="F102" s="1146">
        <f t="shared" si="4"/>
        <v>5.6022408963585435E-3</v>
      </c>
      <c r="G102" s="1147">
        <v>110000</v>
      </c>
      <c r="H102" s="1147" t="s">
        <v>671</v>
      </c>
      <c r="I102" s="1148">
        <f t="shared" si="5"/>
        <v>616.24649859943975</v>
      </c>
    </row>
    <row r="103" spans="2:9" x14ac:dyDescent="0.25">
      <c r="B103" s="1143">
        <f t="shared" si="6"/>
        <v>34</v>
      </c>
      <c r="C103" s="1144" t="s">
        <v>704</v>
      </c>
      <c r="D103" s="1145">
        <v>2</v>
      </c>
      <c r="E103" s="1145" t="s">
        <v>670</v>
      </c>
      <c r="F103" s="1146">
        <f t="shared" si="4"/>
        <v>5.6022408963585435E-3</v>
      </c>
      <c r="G103" s="1147">
        <v>125000</v>
      </c>
      <c r="H103" s="1147" t="s">
        <v>671</v>
      </c>
      <c r="I103" s="1148">
        <f t="shared" si="5"/>
        <v>700.28011204481788</v>
      </c>
    </row>
    <row r="104" spans="2:9" x14ac:dyDescent="0.25">
      <c r="B104" s="1143">
        <f t="shared" si="6"/>
        <v>35</v>
      </c>
      <c r="C104" s="1144" t="s">
        <v>705</v>
      </c>
      <c r="D104" s="1145">
        <v>2</v>
      </c>
      <c r="E104" s="1145" t="s">
        <v>670</v>
      </c>
      <c r="F104" s="1146">
        <f t="shared" si="4"/>
        <v>5.6022408963585435E-3</v>
      </c>
      <c r="G104" s="1147">
        <v>70000</v>
      </c>
      <c r="H104" s="1147" t="s">
        <v>671</v>
      </c>
      <c r="I104" s="1148">
        <f t="shared" si="5"/>
        <v>392.15686274509807</v>
      </c>
    </row>
    <row r="105" spans="2:9" x14ac:dyDescent="0.25">
      <c r="B105" s="1143">
        <f t="shared" si="6"/>
        <v>36</v>
      </c>
      <c r="C105" s="1144" t="s">
        <v>706</v>
      </c>
      <c r="D105" s="1145">
        <v>2</v>
      </c>
      <c r="E105" s="1145" t="s">
        <v>670</v>
      </c>
      <c r="F105" s="1146">
        <f t="shared" si="4"/>
        <v>5.6022408963585435E-3</v>
      </c>
      <c r="G105" s="1147">
        <v>210000</v>
      </c>
      <c r="H105" s="1147" t="s">
        <v>671</v>
      </c>
      <c r="I105" s="1148">
        <f t="shared" si="5"/>
        <v>1176.4705882352941</v>
      </c>
    </row>
    <row r="106" spans="2:9" x14ac:dyDescent="0.25">
      <c r="B106" s="1143">
        <f t="shared" si="6"/>
        <v>37</v>
      </c>
      <c r="C106" s="1144" t="s">
        <v>707</v>
      </c>
      <c r="D106" s="1145">
        <v>2</v>
      </c>
      <c r="E106" s="1145" t="s">
        <v>670</v>
      </c>
      <c r="F106" s="1146">
        <f t="shared" si="4"/>
        <v>5.6022408963585435E-3</v>
      </c>
      <c r="G106" s="1147">
        <v>325000</v>
      </c>
      <c r="H106" s="1147" t="s">
        <v>671</v>
      </c>
      <c r="I106" s="1148">
        <f t="shared" si="5"/>
        <v>1820.7282913165266</v>
      </c>
    </row>
    <row r="107" spans="2:9" x14ac:dyDescent="0.25">
      <c r="B107" s="1143">
        <f t="shared" si="6"/>
        <v>38</v>
      </c>
      <c r="C107" s="1144" t="s">
        <v>708</v>
      </c>
      <c r="D107" s="1145">
        <v>2</v>
      </c>
      <c r="E107" s="1145" t="s">
        <v>670</v>
      </c>
      <c r="F107" s="1146">
        <f t="shared" si="4"/>
        <v>5.6022408963585435E-3</v>
      </c>
      <c r="G107" s="1147">
        <v>400000</v>
      </c>
      <c r="H107" s="1147" t="s">
        <v>671</v>
      </c>
      <c r="I107" s="1148">
        <f t="shared" si="5"/>
        <v>2240.8963585434176</v>
      </c>
    </row>
    <row r="108" spans="2:9" x14ac:dyDescent="0.25">
      <c r="B108" s="1143">
        <f t="shared" si="6"/>
        <v>39</v>
      </c>
      <c r="C108" s="1144" t="s">
        <v>709</v>
      </c>
      <c r="D108" s="1145">
        <v>2</v>
      </c>
      <c r="E108" s="1145" t="s">
        <v>670</v>
      </c>
      <c r="F108" s="1146">
        <f t="shared" si="4"/>
        <v>5.6022408963585435E-3</v>
      </c>
      <c r="G108" s="1147">
        <v>520000</v>
      </c>
      <c r="H108" s="1147" t="s">
        <v>671</v>
      </c>
      <c r="I108" s="1148">
        <f t="shared" si="5"/>
        <v>2913.1652661064427</v>
      </c>
    </row>
    <row r="109" spans="2:9" x14ac:dyDescent="0.25">
      <c r="B109" s="1143">
        <f t="shared" si="6"/>
        <v>40</v>
      </c>
      <c r="C109" s="1144" t="s">
        <v>710</v>
      </c>
      <c r="D109" s="1145">
        <v>12</v>
      </c>
      <c r="E109" s="1145" t="s">
        <v>670</v>
      </c>
      <c r="F109" s="1146">
        <f t="shared" si="4"/>
        <v>3.3613445378151259E-2</v>
      </c>
      <c r="G109" s="1147">
        <v>75000</v>
      </c>
      <c r="H109" s="1147" t="s">
        <v>671</v>
      </c>
      <c r="I109" s="1148">
        <f t="shared" si="5"/>
        <v>2521.0084033613443</v>
      </c>
    </row>
    <row r="110" spans="2:9" ht="15.75" thickBot="1" x14ac:dyDescent="0.3">
      <c r="B110" s="1149">
        <f t="shared" si="6"/>
        <v>41</v>
      </c>
      <c r="C110" s="1150" t="s">
        <v>711</v>
      </c>
      <c r="D110" s="1151">
        <v>12</v>
      </c>
      <c r="E110" s="1151" t="s">
        <v>670</v>
      </c>
      <c r="F110" s="1152">
        <f t="shared" si="4"/>
        <v>3.3613445378151259E-2</v>
      </c>
      <c r="G110" s="1153">
        <v>85000</v>
      </c>
      <c r="H110" s="1153" t="s">
        <v>671</v>
      </c>
      <c r="I110" s="1154">
        <f t="shared" si="5"/>
        <v>2857.1428571428569</v>
      </c>
    </row>
    <row r="111" spans="2:9" ht="15.75" x14ac:dyDescent="0.25">
      <c r="B111" s="969"/>
      <c r="C111" s="913"/>
      <c r="D111" s="1075"/>
      <c r="E111" s="1075"/>
      <c r="G111" s="2387" t="s">
        <v>712</v>
      </c>
      <c r="H111" s="2388"/>
      <c r="I111" s="1155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74" t="s">
        <v>713</v>
      </c>
    </row>
    <row r="3" spans="2:13" x14ac:dyDescent="0.25">
      <c r="B3" s="1076" t="s">
        <v>383</v>
      </c>
      <c r="C3" s="2370" t="s">
        <v>219</v>
      </c>
      <c r="D3" s="2371"/>
      <c r="E3" s="1156" t="s">
        <v>643</v>
      </c>
      <c r="F3" s="2372" t="s">
        <v>563</v>
      </c>
      <c r="G3" s="2373"/>
      <c r="H3" s="1082" t="s">
        <v>564</v>
      </c>
      <c r="K3" s="1122" t="s">
        <v>714</v>
      </c>
    </row>
    <row r="4" spans="2:13" ht="21.6" customHeight="1" x14ac:dyDescent="0.25">
      <c r="B4" s="1157" t="s">
        <v>715</v>
      </c>
      <c r="C4" s="1158"/>
      <c r="D4" s="1107" t="s">
        <v>716</v>
      </c>
      <c r="E4" s="1159">
        <v>0</v>
      </c>
      <c r="F4" s="2378"/>
      <c r="G4" s="2379"/>
      <c r="H4" s="1078" t="s">
        <v>271</v>
      </c>
      <c r="K4" s="1160" t="s">
        <v>383</v>
      </c>
      <c r="L4" s="2370" t="s">
        <v>563</v>
      </c>
      <c r="M4" s="2371"/>
    </row>
    <row r="5" spans="2:13" ht="17.850000000000001" customHeight="1" x14ac:dyDescent="0.25">
      <c r="B5" s="1083" t="s">
        <v>274</v>
      </c>
      <c r="C5" s="1087"/>
      <c r="D5" s="1161"/>
      <c r="E5" s="1162"/>
      <c r="F5" s="1084"/>
      <c r="G5" s="1161"/>
      <c r="H5" s="1163">
        <v>0</v>
      </c>
      <c r="K5" s="1164" t="s">
        <v>717</v>
      </c>
      <c r="L5" s="1165">
        <v>1550</v>
      </c>
      <c r="M5" s="1166" t="s">
        <v>718</v>
      </c>
    </row>
    <row r="6" spans="2:13" x14ac:dyDescent="0.25">
      <c r="B6" s="1090" t="s">
        <v>719</v>
      </c>
      <c r="C6" s="1091">
        <v>100</v>
      </c>
      <c r="D6" s="1127" t="s">
        <v>720</v>
      </c>
      <c r="E6" s="408">
        <f>(C6*25%*4)/30</f>
        <v>3.3333333333333335</v>
      </c>
      <c r="F6" s="1091">
        <v>14500</v>
      </c>
      <c r="G6" s="1127" t="s">
        <v>721</v>
      </c>
      <c r="H6" s="1167">
        <f>F6*E6</f>
        <v>48333.333333333336</v>
      </c>
    </row>
    <row r="7" spans="2:13" x14ac:dyDescent="0.25">
      <c r="B7" s="1090" t="s">
        <v>722</v>
      </c>
      <c r="C7" s="1091">
        <v>100</v>
      </c>
      <c r="D7" s="1127" t="s">
        <v>720</v>
      </c>
      <c r="E7" s="408">
        <f>(C7*25%*4)/30</f>
        <v>3.3333333333333335</v>
      </c>
      <c r="F7" s="1091">
        <v>14500</v>
      </c>
      <c r="G7" s="1127" t="s">
        <v>721</v>
      </c>
      <c r="H7" s="1167">
        <f>F7*E7</f>
        <v>48333.333333333336</v>
      </c>
    </row>
    <row r="8" spans="2:13" x14ac:dyDescent="0.25">
      <c r="B8" s="1090" t="s">
        <v>723</v>
      </c>
      <c r="C8" s="1091">
        <v>100</v>
      </c>
      <c r="D8" s="1127" t="s">
        <v>720</v>
      </c>
      <c r="E8" s="408">
        <f>(C8*25%*4)/30</f>
        <v>3.3333333333333335</v>
      </c>
      <c r="F8" s="1091">
        <v>14500</v>
      </c>
      <c r="G8" s="1127" t="s">
        <v>721</v>
      </c>
      <c r="H8" s="1167">
        <f>F8*E8</f>
        <v>48333.333333333336</v>
      </c>
    </row>
    <row r="9" spans="2:13" x14ac:dyDescent="0.25">
      <c r="B9" s="1090" t="s">
        <v>580</v>
      </c>
      <c r="C9" s="1091"/>
      <c r="D9" s="1127" t="s">
        <v>271</v>
      </c>
      <c r="E9" s="1091"/>
      <c r="F9" s="1091"/>
      <c r="G9" s="1127"/>
      <c r="H9" s="1167">
        <v>0</v>
      </c>
      <c r="I9" s="1168"/>
    </row>
    <row r="10" spans="2:13" x14ac:dyDescent="0.25">
      <c r="B10" s="1100" t="s">
        <v>724</v>
      </c>
      <c r="C10" s="1101"/>
      <c r="D10" s="1102"/>
      <c r="E10" s="1101"/>
      <c r="F10" s="1101"/>
      <c r="G10" s="1102"/>
      <c r="H10" s="1169">
        <f>SUM(H5:H9)</f>
        <v>145000</v>
      </c>
    </row>
    <row r="11" spans="2:13" x14ac:dyDescent="0.25">
      <c r="H11" s="1170" t="s">
        <v>725</v>
      </c>
    </row>
    <row r="12" spans="2:13" x14ac:dyDescent="0.25">
      <c r="B12" s="1122" t="s">
        <v>726</v>
      </c>
    </row>
    <row r="13" spans="2:13" ht="23.1" customHeight="1" x14ac:dyDescent="0.25">
      <c r="B13" s="1076" t="s">
        <v>383</v>
      </c>
      <c r="C13" s="2370" t="s">
        <v>219</v>
      </c>
      <c r="D13" s="2371"/>
      <c r="E13" s="1078" t="s">
        <v>727</v>
      </c>
      <c r="F13" s="2372" t="s">
        <v>563</v>
      </c>
      <c r="G13" s="2373"/>
      <c r="H13" s="1082" t="s">
        <v>564</v>
      </c>
    </row>
    <row r="14" spans="2:13" ht="21" customHeight="1" x14ac:dyDescent="0.25">
      <c r="B14" s="1157" t="s">
        <v>728</v>
      </c>
      <c r="C14" s="1158">
        <v>2088</v>
      </c>
      <c r="D14" s="1078" t="s">
        <v>716</v>
      </c>
      <c r="E14" s="1159">
        <f>C14*24</f>
        <v>50112</v>
      </c>
      <c r="F14" s="2378"/>
      <c r="G14" s="2379"/>
      <c r="H14" s="1078" t="s">
        <v>271</v>
      </c>
    </row>
    <row r="15" spans="2:13" x14ac:dyDescent="0.25">
      <c r="B15" s="1083" t="s">
        <v>274</v>
      </c>
      <c r="C15" s="1171"/>
      <c r="D15" s="1085"/>
      <c r="E15" s="1162"/>
      <c r="F15" s="1172"/>
      <c r="G15" s="1085"/>
      <c r="H15" s="1173">
        <v>0</v>
      </c>
    </row>
    <row r="16" spans="2:13" x14ac:dyDescent="0.25">
      <c r="B16" s="1090" t="s">
        <v>719</v>
      </c>
      <c r="C16" s="1091">
        <v>800</v>
      </c>
      <c r="D16" s="1127" t="s">
        <v>720</v>
      </c>
      <c r="E16" s="408">
        <f>C16*24</f>
        <v>19200</v>
      </c>
      <c r="F16" s="1091">
        <v>14500</v>
      </c>
      <c r="G16" s="1127" t="s">
        <v>721</v>
      </c>
      <c r="H16" s="1167">
        <f>F16*E16</f>
        <v>278400000</v>
      </c>
    </row>
    <row r="17" spans="2:9" x14ac:dyDescent="0.25">
      <c r="B17" s="1090" t="s">
        <v>722</v>
      </c>
      <c r="C17" s="1091">
        <v>800</v>
      </c>
      <c r="D17" s="1127" t="s">
        <v>720</v>
      </c>
      <c r="E17" s="408">
        <f>C17*24</f>
        <v>19200</v>
      </c>
      <c r="F17" s="1091">
        <v>14500</v>
      </c>
      <c r="G17" s="1127" t="s">
        <v>721</v>
      </c>
      <c r="H17" s="1167">
        <f>F17*E17</f>
        <v>278400000</v>
      </c>
    </row>
    <row r="18" spans="2:9" x14ac:dyDescent="0.25">
      <c r="B18" s="1090" t="s">
        <v>723</v>
      </c>
      <c r="C18" s="1091"/>
      <c r="D18" s="1127" t="s">
        <v>720</v>
      </c>
      <c r="E18" s="408">
        <v>0</v>
      </c>
      <c r="F18" s="1091">
        <v>14500</v>
      </c>
      <c r="G18" s="1127" t="s">
        <v>721</v>
      </c>
      <c r="H18" s="1167">
        <f>F18*E18</f>
        <v>0</v>
      </c>
    </row>
    <row r="19" spans="2:9" x14ac:dyDescent="0.25">
      <c r="B19" s="1090" t="s">
        <v>580</v>
      </c>
      <c r="C19" s="1091"/>
      <c r="D19" s="1127" t="s">
        <v>271</v>
      </c>
      <c r="E19" s="1091"/>
      <c r="F19" s="1091"/>
      <c r="G19" s="1127"/>
      <c r="H19" s="1174">
        <v>0</v>
      </c>
      <c r="I19" s="1168"/>
    </row>
    <row r="20" spans="2:9" x14ac:dyDescent="0.25">
      <c r="B20" s="1100" t="s">
        <v>724</v>
      </c>
      <c r="C20" s="1101"/>
      <c r="D20" s="1102"/>
      <c r="E20" s="1101"/>
      <c r="F20" s="1101"/>
      <c r="G20" s="1102"/>
      <c r="H20" s="1169">
        <f>SUM(H15:H19)</f>
        <v>556800000</v>
      </c>
    </row>
    <row r="21" spans="2:9" x14ac:dyDescent="0.25">
      <c r="B21" s="1175"/>
      <c r="C21" s="1075"/>
      <c r="E21" s="1075"/>
      <c r="F21" s="2395" t="s">
        <v>729</v>
      </c>
      <c r="G21" s="2396"/>
      <c r="H21" s="1176">
        <f>H20/E14</f>
        <v>11111.111111111111</v>
      </c>
      <c r="I21" s="1122" t="s">
        <v>730</v>
      </c>
    </row>
    <row r="22" spans="2:9" x14ac:dyDescent="0.25">
      <c r="H22" s="1177"/>
    </row>
    <row r="23" spans="2:9" x14ac:dyDescent="0.25">
      <c r="B23" s="913" t="s">
        <v>583</v>
      </c>
      <c r="E23" s="1120"/>
    </row>
    <row r="24" spans="2:9" x14ac:dyDescent="0.25">
      <c r="B24" s="913" t="s">
        <v>731</v>
      </c>
      <c r="E24" s="1178"/>
    </row>
    <row r="25" spans="2:9" x14ac:dyDescent="0.25">
      <c r="E25" s="913"/>
      <c r="G25" s="1179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5703125" defaultRowHeight="12.75" x14ac:dyDescent="0.25"/>
  <cols>
    <col min="1" max="1" width="8.5703125" style="986"/>
    <col min="2" max="2" width="5.5703125" style="985" customWidth="1"/>
    <col min="3" max="3" width="63.5703125" style="986" customWidth="1"/>
    <col min="4" max="4" width="15.5703125" style="986" customWidth="1"/>
    <col min="5" max="5" width="15" style="986" customWidth="1"/>
    <col min="6" max="6" width="15.42578125" style="986" customWidth="1"/>
    <col min="7" max="7" width="14.5703125" style="986" customWidth="1"/>
    <col min="8" max="8" width="11.42578125" style="986" customWidth="1"/>
    <col min="9" max="9" width="12.42578125" style="986" customWidth="1"/>
    <col min="10" max="10" width="11" style="986" bestFit="1" customWidth="1"/>
    <col min="11" max="16384" width="8.5703125" style="986"/>
  </cols>
  <sheetData>
    <row r="2" spans="2:10" ht="19.5" thickBot="1" x14ac:dyDescent="0.3">
      <c r="B2" s="987" t="s">
        <v>542</v>
      </c>
    </row>
    <row r="3" spans="2:10" x14ac:dyDescent="0.25">
      <c r="B3" s="2401" t="s">
        <v>359</v>
      </c>
      <c r="C3" s="2402"/>
      <c r="D3" s="988"/>
      <c r="E3" s="988"/>
      <c r="F3" s="988"/>
      <c r="G3" s="988"/>
      <c r="H3" s="990" t="s">
        <v>379</v>
      </c>
      <c r="I3" s="991">
        <f>'HPP REF '!N3</f>
        <v>1781.3187</v>
      </c>
    </row>
    <row r="4" spans="2:10" x14ac:dyDescent="0.25">
      <c r="B4" s="2403" t="s">
        <v>411</v>
      </c>
      <c r="C4" s="2404"/>
      <c r="H4" s="992" t="s">
        <v>83</v>
      </c>
      <c r="I4" s="993">
        <f>'HPP REF '!N4</f>
        <v>10</v>
      </c>
    </row>
    <row r="5" spans="2:10" x14ac:dyDescent="0.25">
      <c r="B5" s="2403" t="s">
        <v>412</v>
      </c>
      <c r="C5" s="2404"/>
      <c r="H5" s="992" t="s">
        <v>413</v>
      </c>
      <c r="I5" s="993">
        <f>I4*I3</f>
        <v>17813.187000000002</v>
      </c>
    </row>
    <row r="6" spans="2:10" ht="13.5" thickBot="1" x14ac:dyDescent="0.3">
      <c r="B6" s="964" t="s">
        <v>414</v>
      </c>
      <c r="C6" s="965"/>
      <c r="D6" s="994"/>
      <c r="E6" s="994"/>
      <c r="F6" s="994"/>
      <c r="G6" s="994"/>
      <c r="H6" s="996"/>
      <c r="I6" s="1183">
        <v>16000</v>
      </c>
    </row>
    <row r="7" spans="2:10" ht="15" x14ac:dyDescent="0.25">
      <c r="B7" s="2405" t="s">
        <v>99</v>
      </c>
      <c r="C7" s="2407" t="s">
        <v>285</v>
      </c>
      <c r="D7" s="2397" t="s">
        <v>543</v>
      </c>
      <c r="E7" s="2409"/>
      <c r="F7" s="2397" t="s">
        <v>439</v>
      </c>
      <c r="G7" s="2397"/>
      <c r="H7" s="2397"/>
      <c r="I7" s="2398"/>
    </row>
    <row r="8" spans="2:10" ht="15.75" thickBot="1" x14ac:dyDescent="0.3">
      <c r="B8" s="2406"/>
      <c r="C8" s="2408"/>
      <c r="D8" s="1040" t="s">
        <v>440</v>
      </c>
      <c r="E8" s="1040" t="s">
        <v>441</v>
      </c>
      <c r="F8" s="1040" t="s">
        <v>440</v>
      </c>
      <c r="G8" s="1040" t="s">
        <v>441</v>
      </c>
      <c r="H8" s="1041" t="s">
        <v>416</v>
      </c>
      <c r="I8" s="1052" t="s">
        <v>226</v>
      </c>
    </row>
    <row r="9" spans="2:10" ht="13.5" thickTop="1" x14ac:dyDescent="0.25">
      <c r="B9" s="1042">
        <v>1</v>
      </c>
      <c r="C9" s="1062" t="s">
        <v>544</v>
      </c>
      <c r="D9" s="1058">
        <v>962709313.75999999</v>
      </c>
      <c r="E9" s="1058">
        <f t="shared" ref="E9:E15" si="0">D9/12</f>
        <v>80225776.146666661</v>
      </c>
      <c r="F9" s="1058">
        <f>G9*12</f>
        <v>531927347.99999374</v>
      </c>
      <c r="G9" s="1058">
        <v>44327278.999999478</v>
      </c>
      <c r="H9" s="1059">
        <f>$G$9/($I$5*1000)</f>
        <v>2.4884530207873232</v>
      </c>
      <c r="I9" s="1059">
        <f>($G$9/$I$6)/$I$5</f>
        <v>0.1555283137992077</v>
      </c>
      <c r="J9" s="986">
        <f>D9/12</f>
        <v>80225776.146666661</v>
      </c>
    </row>
    <row r="10" spans="2:10" x14ac:dyDescent="0.25">
      <c r="B10" s="1007">
        <f t="shared" ref="B10:B15" si="1">B9+1</f>
        <v>2</v>
      </c>
      <c r="C10" s="1062" t="s">
        <v>545</v>
      </c>
      <c r="D10" s="1012">
        <v>269614444.44</v>
      </c>
      <c r="E10" s="1012">
        <f t="shared" si="0"/>
        <v>22467870.370000001</v>
      </c>
      <c r="F10" s="1012">
        <v>0</v>
      </c>
      <c r="G10" s="1012">
        <v>0</v>
      </c>
      <c r="H10" s="1013">
        <f>$G$10/($I$5*1000)</f>
        <v>0</v>
      </c>
      <c r="I10" s="1013">
        <f>($G$10/$I$6)/$I$5</f>
        <v>0</v>
      </c>
    </row>
    <row r="11" spans="2:10" x14ac:dyDescent="0.25">
      <c r="B11" s="1007">
        <f t="shared" si="1"/>
        <v>3</v>
      </c>
      <c r="C11" s="1062" t="s">
        <v>546</v>
      </c>
      <c r="D11" s="1012">
        <v>0</v>
      </c>
      <c r="E11" s="1012">
        <f t="shared" si="0"/>
        <v>0</v>
      </c>
      <c r="F11" s="1012">
        <v>0</v>
      </c>
      <c r="G11" s="1012">
        <v>0</v>
      </c>
      <c r="H11" s="1013">
        <f>$G$11/($I$5*1000)</f>
        <v>0</v>
      </c>
      <c r="I11" s="1013">
        <f>($G$11/$I$6)/$I$5</f>
        <v>0</v>
      </c>
    </row>
    <row r="12" spans="2:10" x14ac:dyDescent="0.25">
      <c r="B12" s="1007">
        <f t="shared" si="1"/>
        <v>4</v>
      </c>
      <c r="C12" s="1062" t="s">
        <v>547</v>
      </c>
      <c r="D12" s="1012">
        <v>0</v>
      </c>
      <c r="E12" s="1012">
        <f t="shared" si="0"/>
        <v>0</v>
      </c>
      <c r="F12" s="1012">
        <v>0</v>
      </c>
      <c r="G12" s="1012">
        <v>0</v>
      </c>
      <c r="H12" s="1013">
        <f>$G$12/($I$5*1000)</f>
        <v>0</v>
      </c>
      <c r="I12" s="1013">
        <f>($G$12/$I$6)/$I$5</f>
        <v>0</v>
      </c>
    </row>
    <row r="13" spans="2:10" x14ac:dyDescent="0.25">
      <c r="B13" s="1007">
        <f t="shared" si="1"/>
        <v>5</v>
      </c>
      <c r="C13" s="1062" t="s">
        <v>548</v>
      </c>
      <c r="D13" s="1012">
        <v>0</v>
      </c>
      <c r="E13" s="1012">
        <f t="shared" si="0"/>
        <v>0</v>
      </c>
      <c r="F13" s="1012">
        <v>0</v>
      </c>
      <c r="G13" s="1012">
        <v>0</v>
      </c>
      <c r="H13" s="1013">
        <f>$G$13/($I$5*1000)</f>
        <v>0</v>
      </c>
      <c r="I13" s="1013">
        <f>($G$13/$I$6)/$I$5</f>
        <v>0</v>
      </c>
    </row>
    <row r="14" spans="2:10" x14ac:dyDescent="0.25">
      <c r="B14" s="1007">
        <f t="shared" si="1"/>
        <v>6</v>
      </c>
      <c r="C14" s="1062" t="s">
        <v>549</v>
      </c>
      <c r="D14" s="1012">
        <v>0</v>
      </c>
      <c r="E14" s="1012">
        <f t="shared" si="0"/>
        <v>0</v>
      </c>
      <c r="F14" s="1063">
        <v>0</v>
      </c>
      <c r="G14" s="1012">
        <v>0</v>
      </c>
      <c r="H14" s="1013">
        <f>$G$14/($I$5*1000)</f>
        <v>0</v>
      </c>
      <c r="I14" s="1013">
        <f>($G$14/$I$6)/$I$5</f>
        <v>0</v>
      </c>
    </row>
    <row r="15" spans="2:10" x14ac:dyDescent="0.25">
      <c r="B15" s="1007">
        <f t="shared" si="1"/>
        <v>7</v>
      </c>
      <c r="C15" s="1062" t="s">
        <v>550</v>
      </c>
      <c r="D15" s="1012">
        <v>12576902836.549999</v>
      </c>
      <c r="E15" s="1012">
        <f t="shared" si="0"/>
        <v>1048075236.3791666</v>
      </c>
      <c r="F15" s="1004">
        <f>G15*12</f>
        <v>12048990312</v>
      </c>
      <c r="G15" s="1012">
        <v>1004082526</v>
      </c>
      <c r="H15" s="1013">
        <f>$G$15/($I$5*1000)</f>
        <v>56.36737131878759</v>
      </c>
      <c r="I15" s="1013">
        <f>($G$15/$I$6)/$I$5</f>
        <v>3.522960707424224</v>
      </c>
    </row>
    <row r="16" spans="2:10" x14ac:dyDescent="0.25">
      <c r="B16" s="1007"/>
      <c r="C16" s="1014"/>
      <c r="D16" s="1012"/>
      <c r="E16" s="1012"/>
      <c r="F16" s="1012"/>
      <c r="G16" s="1012"/>
      <c r="H16" s="1013"/>
      <c r="I16" s="1013"/>
    </row>
    <row r="17" spans="2:9" x14ac:dyDescent="0.25">
      <c r="B17" s="1007"/>
      <c r="C17" s="1014"/>
      <c r="D17" s="1012"/>
      <c r="E17" s="1012"/>
      <c r="F17" s="1012"/>
      <c r="G17" s="1012"/>
      <c r="H17" s="1013"/>
      <c r="I17" s="1013"/>
    </row>
    <row r="18" spans="2:9" x14ac:dyDescent="0.25">
      <c r="B18" s="1007"/>
      <c r="C18" s="1014"/>
      <c r="D18" s="1012"/>
      <c r="E18" s="1012"/>
      <c r="F18" s="1012"/>
      <c r="G18" s="1012"/>
      <c r="H18" s="1013"/>
      <c r="I18" s="1013"/>
    </row>
    <row r="19" spans="2:9" ht="13.5" thickBot="1" x14ac:dyDescent="0.3">
      <c r="B19" s="1045"/>
      <c r="C19" s="1046"/>
      <c r="D19" s="1047"/>
      <c r="E19" s="1047"/>
      <c r="F19" s="1047"/>
      <c r="G19" s="1047"/>
      <c r="H19" s="1061"/>
      <c r="I19" s="1061"/>
    </row>
    <row r="20" spans="2:9" ht="16.5" thickTop="1" thickBot="1" x14ac:dyDescent="0.3">
      <c r="B20" s="2399" t="s">
        <v>486</v>
      </c>
      <c r="C20" s="2400"/>
      <c r="D20" s="1053">
        <f t="shared" ref="D20:I20" si="2">SUM(D9:D19)</f>
        <v>13809226594.75</v>
      </c>
      <c r="E20" s="1053">
        <f t="shared" si="2"/>
        <v>1150768882.8958333</v>
      </c>
      <c r="F20" s="1054">
        <f t="shared" si="2"/>
        <v>12580917659.999994</v>
      </c>
      <c r="G20" s="1054">
        <f t="shared" si="2"/>
        <v>1048409804.9999995</v>
      </c>
      <c r="H20" s="1055">
        <f t="shared" si="2"/>
        <v>58.855824339574916</v>
      </c>
      <c r="I20" s="1055">
        <f t="shared" si="2"/>
        <v>3.6784890212234318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5703125" defaultRowHeight="12.75" x14ac:dyDescent="0.25"/>
  <cols>
    <col min="1" max="1" width="8.5703125" style="986"/>
    <col min="2" max="2" width="5.5703125" style="985" customWidth="1"/>
    <col min="3" max="3" width="49.42578125" style="986" customWidth="1"/>
    <col min="4" max="4" width="16.5703125" style="986" customWidth="1"/>
    <col min="5" max="5" width="15.5703125" style="986" customWidth="1"/>
    <col min="6" max="7" width="15" style="986" customWidth="1"/>
    <col min="8" max="8" width="15.42578125" style="986" customWidth="1"/>
    <col min="9" max="9" width="14.5703125" style="986" customWidth="1"/>
    <col min="10" max="10" width="11.42578125" style="986" customWidth="1"/>
    <col min="11" max="11" width="12.42578125" style="986" customWidth="1"/>
    <col min="12" max="12" width="17.5703125" style="986" customWidth="1"/>
    <col min="13" max="16384" width="8.5703125" style="986"/>
  </cols>
  <sheetData>
    <row r="1" spans="2:11" ht="5.0999999999999996" customHeight="1" x14ac:dyDescent="0.25"/>
    <row r="2" spans="2:11" ht="23.85" customHeight="1" thickBot="1" x14ac:dyDescent="0.3">
      <c r="B2" s="987" t="s">
        <v>484</v>
      </c>
    </row>
    <row r="3" spans="2:11" ht="14.85" customHeight="1" x14ac:dyDescent="0.25">
      <c r="B3" s="2401" t="s">
        <v>359</v>
      </c>
      <c r="C3" s="2402"/>
      <c r="D3" s="887"/>
      <c r="E3" s="988"/>
      <c r="F3" s="988"/>
      <c r="G3" s="988"/>
      <c r="H3" s="988"/>
      <c r="I3" s="988"/>
      <c r="J3" s="990" t="s">
        <v>379</v>
      </c>
      <c r="K3" s="991">
        <f>'HPP REF '!N3</f>
        <v>1781.3187</v>
      </c>
    </row>
    <row r="4" spans="2:11" ht="14.85" customHeight="1" x14ac:dyDescent="0.25">
      <c r="B4" s="2403" t="s">
        <v>411</v>
      </c>
      <c r="C4" s="2404"/>
      <c r="D4" s="892"/>
      <c r="J4" s="992" t="s">
        <v>83</v>
      </c>
      <c r="K4" s="993">
        <f>'HPP REF '!N4</f>
        <v>10</v>
      </c>
    </row>
    <row r="5" spans="2:11" ht="14.85" customHeight="1" x14ac:dyDescent="0.25">
      <c r="B5" s="2403" t="s">
        <v>412</v>
      </c>
      <c r="C5" s="2404"/>
      <c r="D5" s="892"/>
      <c r="J5" s="992" t="s">
        <v>413</v>
      </c>
      <c r="K5" s="993">
        <f>K4*K3</f>
        <v>17813.187000000002</v>
      </c>
    </row>
    <row r="6" spans="2:11" ht="14.85" customHeight="1" thickBot="1" x14ac:dyDescent="0.3">
      <c r="B6" s="964" t="s">
        <v>414</v>
      </c>
      <c r="C6" s="965"/>
      <c r="D6" s="965"/>
      <c r="E6" s="994"/>
      <c r="F6" s="994"/>
      <c r="G6" s="994"/>
      <c r="H6" s="994"/>
      <c r="I6" s="994"/>
      <c r="J6" s="996"/>
      <c r="K6" s="1183">
        <v>16000</v>
      </c>
    </row>
    <row r="7" spans="2:11" ht="15.6" customHeight="1" x14ac:dyDescent="0.25">
      <c r="B7" s="2405" t="s">
        <v>99</v>
      </c>
      <c r="C7" s="2407" t="s">
        <v>285</v>
      </c>
      <c r="D7" s="2410" t="s">
        <v>438</v>
      </c>
      <c r="E7" s="2397"/>
      <c r="F7" s="2409"/>
      <c r="G7" s="2410" t="s">
        <v>439</v>
      </c>
      <c r="H7" s="2397"/>
      <c r="I7" s="2397"/>
      <c r="J7" s="2397"/>
      <c r="K7" s="2398"/>
    </row>
    <row r="8" spans="2:11" ht="15" customHeight="1" thickBot="1" x14ac:dyDescent="0.3">
      <c r="B8" s="2406"/>
      <c r="C8" s="2408"/>
      <c r="D8" s="1039" t="s">
        <v>485</v>
      </c>
      <c r="E8" s="1040" t="s">
        <v>440</v>
      </c>
      <c r="F8" s="1040" t="s">
        <v>441</v>
      </c>
      <c r="G8" s="1039" t="s">
        <v>485</v>
      </c>
      <c r="H8" s="1040" t="s">
        <v>440</v>
      </c>
      <c r="I8" s="1040" t="s">
        <v>441</v>
      </c>
      <c r="J8" s="1041" t="s">
        <v>416</v>
      </c>
      <c r="K8" s="1052" t="s">
        <v>226</v>
      </c>
    </row>
    <row r="9" spans="2:11" ht="23.85" customHeight="1" thickTop="1" thickBot="1" x14ac:dyDescent="0.3">
      <c r="B9" s="2399" t="s">
        <v>486</v>
      </c>
      <c r="C9" s="2400"/>
      <c r="D9" s="1053">
        <f t="shared" ref="D9:K9" si="0">SUM(D10:D75)</f>
        <v>679712126808.7334</v>
      </c>
      <c r="E9" s="1053">
        <f t="shared" si="0"/>
        <v>41807174181.37001</v>
      </c>
      <c r="F9" s="1053">
        <f t="shared" si="0"/>
        <v>3483931181.7808337</v>
      </c>
      <c r="G9" s="1054">
        <f t="shared" si="0"/>
        <v>775031394297.89551</v>
      </c>
      <c r="H9" s="1054">
        <f t="shared" si="0"/>
        <v>50174217449.730003</v>
      </c>
      <c r="I9" s="1054">
        <f t="shared" si="0"/>
        <v>4181184787.4775009</v>
      </c>
      <c r="J9" s="1055">
        <f t="shared" si="0"/>
        <v>234.72412811236418</v>
      </c>
      <c r="K9" s="1055">
        <f t="shared" si="0"/>
        <v>14.670258007022762</v>
      </c>
    </row>
    <row r="10" spans="2:11" ht="13.5" thickTop="1" x14ac:dyDescent="0.25">
      <c r="B10" s="1042">
        <v>1</v>
      </c>
      <c r="C10" s="1056" t="s">
        <v>487</v>
      </c>
      <c r="D10" s="1057">
        <v>3844320790</v>
      </c>
      <c r="E10" s="1058">
        <v>192216039.49999997</v>
      </c>
      <c r="F10" s="1058">
        <v>16018003.291666664</v>
      </c>
      <c r="G10" s="1058">
        <v>3844320789.5999999</v>
      </c>
      <c r="H10" s="1058">
        <f>I10*12</f>
        <v>192216039.48000002</v>
      </c>
      <c r="I10" s="1058">
        <v>16018003.290000001</v>
      </c>
      <c r="J10" s="1059">
        <f>$I$10/($K$5*1000)</f>
        <v>0.89922164349366573</v>
      </c>
      <c r="K10" s="1059">
        <f>($I$10/$K$6)/$K$5</f>
        <v>5.6201352718354101E-2</v>
      </c>
    </row>
    <row r="11" spans="2:11" x14ac:dyDescent="0.25">
      <c r="B11" s="1007">
        <f>B10+1</f>
        <v>2</v>
      </c>
      <c r="C11" s="1060" t="s">
        <v>488</v>
      </c>
      <c r="D11" s="1010">
        <v>247144032</v>
      </c>
      <c r="E11" s="1012">
        <v>12357201.600000001</v>
      </c>
      <c r="F11" s="1012">
        <v>1029766.8000000002</v>
      </c>
      <c r="G11" s="1012">
        <v>247144031.75</v>
      </c>
      <c r="H11" s="1012">
        <f>I11*12</f>
        <v>12357201.5875</v>
      </c>
      <c r="I11" s="1012">
        <v>1029766.7989583333</v>
      </c>
      <c r="J11" s="1013">
        <f>$I$11/($K$5*1000)</f>
        <v>5.7809239804103178E-2</v>
      </c>
      <c r="K11" s="1013">
        <f>($I$11/$K$6)/$K$5</f>
        <v>3.6130774877564482E-3</v>
      </c>
    </row>
    <row r="12" spans="2:11" x14ac:dyDescent="0.25">
      <c r="B12" s="1007">
        <f t="shared" ref="B12:B71" si="1">B11+1</f>
        <v>3</v>
      </c>
      <c r="C12" s="1060" t="s">
        <v>489</v>
      </c>
      <c r="D12" s="1010">
        <v>199088248</v>
      </c>
      <c r="E12" s="1012">
        <v>12429395.071824417</v>
      </c>
      <c r="F12" s="1012">
        <v>1035782.9226520347</v>
      </c>
      <c r="G12" s="1012">
        <v>397086862.12595332</v>
      </c>
      <c r="H12" s="1012">
        <f t="shared" ref="H12:H71" si="2">I12*12</f>
        <v>19854343.106297664</v>
      </c>
      <c r="I12" s="1012">
        <v>1654528.5921914722</v>
      </c>
      <c r="J12" s="1013">
        <f>$I$12/($K$5*1000)</f>
        <v>9.2882233380892049E-2</v>
      </c>
      <c r="K12" s="1013">
        <f>($I$12/$K$6)/$K$5</f>
        <v>5.8051395863057522E-3</v>
      </c>
    </row>
    <row r="13" spans="2:11" x14ac:dyDescent="0.25">
      <c r="B13" s="1007">
        <f t="shared" si="1"/>
        <v>4</v>
      </c>
      <c r="C13" s="1060" t="s">
        <v>490</v>
      </c>
      <c r="D13" s="1010">
        <v>53111657402</v>
      </c>
      <c r="E13" s="1012">
        <v>2655582870.099999</v>
      </c>
      <c r="F13" s="1012">
        <v>221298572.50833324</v>
      </c>
      <c r="G13" s="1012">
        <v>53111657403.529999</v>
      </c>
      <c r="H13" s="1012">
        <f t="shared" si="2"/>
        <v>2655582870.1764994</v>
      </c>
      <c r="I13" s="1012">
        <v>221298572.51470828</v>
      </c>
      <c r="J13" s="1013">
        <f>$I$13/($K$5*1000)</f>
        <v>12.423300362518413</v>
      </c>
      <c r="K13" s="1013">
        <f>($I$13/$K$6)/$K$5</f>
        <v>0.77645627265740069</v>
      </c>
    </row>
    <row r="14" spans="2:11" x14ac:dyDescent="0.25">
      <c r="B14" s="1007">
        <f t="shared" si="1"/>
        <v>5</v>
      </c>
      <c r="C14" s="1060" t="s">
        <v>491</v>
      </c>
      <c r="D14" s="1010">
        <v>1392076443.1299996</v>
      </c>
      <c r="E14" s="1012">
        <v>70956821.50959149</v>
      </c>
      <c r="F14" s="1012">
        <v>5913068.4591326239</v>
      </c>
      <c r="G14" s="1012">
        <v>1500316391.3773193</v>
      </c>
      <c r="H14" s="1012">
        <f t="shared" si="2"/>
        <v>75015819.56886597</v>
      </c>
      <c r="I14" s="1012">
        <v>6251318.2974054972</v>
      </c>
      <c r="J14" s="1013">
        <f>$I$14/($K$5*1000)</f>
        <v>0.35093766754963596</v>
      </c>
      <c r="K14" s="1013">
        <f>($I$14/$K$6)/$K$5</f>
        <v>2.1933604221852244E-2</v>
      </c>
    </row>
    <row r="15" spans="2:11" x14ac:dyDescent="0.25">
      <c r="B15" s="1007">
        <f t="shared" si="1"/>
        <v>6</v>
      </c>
      <c r="C15" s="1060" t="s">
        <v>492</v>
      </c>
      <c r="D15" s="1010">
        <v>22378266872</v>
      </c>
      <c r="E15" s="1012">
        <v>1118913343.5999999</v>
      </c>
      <c r="F15" s="1012">
        <v>93242778.633333325</v>
      </c>
      <c r="G15" s="1012">
        <v>22378266872.27499</v>
      </c>
      <c r="H15" s="1012">
        <f t="shared" si="2"/>
        <v>1118913343.6137495</v>
      </c>
      <c r="I15" s="1012">
        <v>93242778.63447912</v>
      </c>
      <c r="J15" s="1013">
        <f>$I$15/($K$5*1000)</f>
        <v>5.2344804236591198</v>
      </c>
      <c r="K15" s="1013">
        <f>($I$15/$K$6)/$K$5</f>
        <v>0.32715502647869493</v>
      </c>
    </row>
    <row r="16" spans="2:11" x14ac:dyDescent="0.25">
      <c r="B16" s="1007">
        <f t="shared" si="1"/>
        <v>7</v>
      </c>
      <c r="C16" s="1060" t="s">
        <v>493</v>
      </c>
      <c r="D16" s="1010">
        <v>22378266872</v>
      </c>
      <c r="E16" s="1012">
        <v>1118913343.5999999</v>
      </c>
      <c r="F16" s="1012">
        <v>93242778.633333325</v>
      </c>
      <c r="G16" s="1012">
        <v>22378266872.274998</v>
      </c>
      <c r="H16" s="1012">
        <f t="shared" si="2"/>
        <v>1118913343.61375</v>
      </c>
      <c r="I16" s="1012">
        <v>93242778.634479165</v>
      </c>
      <c r="J16" s="1013">
        <f>$I$16/($K$5*1000)</f>
        <v>5.2344804236591225</v>
      </c>
      <c r="K16" s="1013">
        <f>($I$16/$K$6)/$K$5</f>
        <v>0.3271550264786951</v>
      </c>
    </row>
    <row r="17" spans="2:11" x14ac:dyDescent="0.25">
      <c r="B17" s="1007">
        <f t="shared" si="1"/>
        <v>8</v>
      </c>
      <c r="C17" s="1060" t="s">
        <v>494</v>
      </c>
      <c r="D17" s="1010">
        <v>22548996820</v>
      </c>
      <c r="E17" s="1012">
        <v>1127449840.9999998</v>
      </c>
      <c r="F17" s="1012">
        <v>93954153.416666642</v>
      </c>
      <c r="G17" s="1012">
        <v>22548996819.889999</v>
      </c>
      <c r="H17" s="1012">
        <f t="shared" si="2"/>
        <v>1127449840.9944999</v>
      </c>
      <c r="I17" s="1012">
        <v>93954153.416208327</v>
      </c>
      <c r="J17" s="1013">
        <f>$I$17/($K$5*1000)</f>
        <v>5.2744157132695193</v>
      </c>
      <c r="K17" s="1013">
        <f>($I$17/$K$6)/$K$5</f>
        <v>0.3296509820793449</v>
      </c>
    </row>
    <row r="18" spans="2:11" x14ac:dyDescent="0.25">
      <c r="B18" s="1007">
        <f t="shared" si="1"/>
        <v>9</v>
      </c>
      <c r="C18" s="1060" t="s">
        <v>495</v>
      </c>
      <c r="D18" s="1010">
        <v>3242778116</v>
      </c>
      <c r="E18" s="1012">
        <v>166633458.44554368</v>
      </c>
      <c r="F18" s="1012">
        <v>13886121.53712864</v>
      </c>
      <c r="G18" s="1012">
        <v>3602342327.2934937</v>
      </c>
      <c r="H18" s="1012">
        <f t="shared" si="2"/>
        <v>180117116.36467469</v>
      </c>
      <c r="I18" s="1012">
        <v>15009759.697056225</v>
      </c>
      <c r="J18" s="1013">
        <f>$I$18/($K$5*1000)</f>
        <v>0.84262067742601165</v>
      </c>
      <c r="K18" s="1013">
        <f>($I$18/$K$6)/$K$5</f>
        <v>5.2663792339125721E-2</v>
      </c>
    </row>
    <row r="19" spans="2:11" x14ac:dyDescent="0.25">
      <c r="B19" s="1007">
        <f t="shared" si="1"/>
        <v>10</v>
      </c>
      <c r="C19" s="1060" t="s">
        <v>496</v>
      </c>
      <c r="D19" s="1010">
        <v>3088358215.0299997</v>
      </c>
      <c r="E19" s="1012">
        <v>167987620.50608689</v>
      </c>
      <c r="F19" s="1012">
        <v>13998968.375507241</v>
      </c>
      <c r="G19" s="1012">
        <v>4173934995.3969541</v>
      </c>
      <c r="H19" s="1012">
        <f t="shared" si="2"/>
        <v>208696749.76984769</v>
      </c>
      <c r="I19" s="1012">
        <v>17391395.814153973</v>
      </c>
      <c r="J19" s="1013">
        <f>$I$19/($K$5*1000)</f>
        <v>0.97632140807559997</v>
      </c>
      <c r="K19" s="1013">
        <f>($I$19/$K$6)/$K$5</f>
        <v>6.1020088004724998E-2</v>
      </c>
    </row>
    <row r="20" spans="2:11" x14ac:dyDescent="0.25">
      <c r="B20" s="1007">
        <f t="shared" si="1"/>
        <v>11</v>
      </c>
      <c r="C20" s="1060" t="s">
        <v>497</v>
      </c>
      <c r="D20" s="1010">
        <v>1306714556.04</v>
      </c>
      <c r="E20" s="1012">
        <v>65335727.801999979</v>
      </c>
      <c r="F20" s="1012">
        <v>5444643.9834999982</v>
      </c>
      <c r="G20" s="1012">
        <v>1306714556.04</v>
      </c>
      <c r="H20" s="1012">
        <f t="shared" si="2"/>
        <v>65335727.801999986</v>
      </c>
      <c r="I20" s="1012">
        <v>5444643.9834999992</v>
      </c>
      <c r="J20" s="1013">
        <f>$I$20/($K$5*1000)</f>
        <v>0.30565243510327483</v>
      </c>
      <c r="K20" s="1013">
        <f>($I$20/$K$6)/$K$5</f>
        <v>1.9103277193954677E-2</v>
      </c>
    </row>
    <row r="21" spans="2:11" x14ac:dyDescent="0.25">
      <c r="B21" s="1007">
        <f t="shared" si="1"/>
        <v>12</v>
      </c>
      <c r="C21" s="1060" t="s">
        <v>490</v>
      </c>
      <c r="D21" s="1010">
        <v>0</v>
      </c>
      <c r="E21" s="1012">
        <v>0</v>
      </c>
      <c r="F21" s="1012">
        <v>0</v>
      </c>
      <c r="G21" s="1012">
        <v>0</v>
      </c>
      <c r="H21" s="1012">
        <f t="shared" si="2"/>
        <v>0</v>
      </c>
      <c r="I21" s="1012">
        <v>0</v>
      </c>
      <c r="J21" s="1013">
        <f>$I$21/($K$5*1000)</f>
        <v>0</v>
      </c>
      <c r="K21" s="1013">
        <f>($I$21/$K$6)/$K$5</f>
        <v>0</v>
      </c>
    </row>
    <row r="22" spans="2:11" x14ac:dyDescent="0.25">
      <c r="B22" s="1007">
        <f t="shared" si="1"/>
        <v>13</v>
      </c>
      <c r="C22" s="1060" t="s">
        <v>498</v>
      </c>
      <c r="D22" s="1010">
        <v>26865966199</v>
      </c>
      <c r="E22" s="1012">
        <v>1343298309.95</v>
      </c>
      <c r="F22" s="1012">
        <v>111941525.82916667</v>
      </c>
      <c r="G22" s="1012">
        <v>26865966198.669998</v>
      </c>
      <c r="H22" s="1012">
        <f t="shared" si="2"/>
        <v>1895783032.6504397</v>
      </c>
      <c r="I22" s="1012">
        <v>157981919.38753664</v>
      </c>
      <c r="J22" s="1013">
        <f>$I$22/($K$5*1000)</f>
        <v>8.8688183303491197</v>
      </c>
      <c r="K22" s="1013">
        <f>($I$22/$K$6)/$K$5</f>
        <v>0.55430114564681998</v>
      </c>
    </row>
    <row r="23" spans="2:11" x14ac:dyDescent="0.25">
      <c r="B23" s="1007">
        <f t="shared" si="1"/>
        <v>14</v>
      </c>
      <c r="C23" s="1060" t="s">
        <v>499</v>
      </c>
      <c r="D23" s="1010">
        <v>808088751</v>
      </c>
      <c r="E23" s="1012">
        <v>52164852.670642003</v>
      </c>
      <c r="F23" s="1012">
        <v>4347071.0558868339</v>
      </c>
      <c r="G23" s="1012">
        <v>1748921960.5313604</v>
      </c>
      <c r="H23" s="1012">
        <f t="shared" si="2"/>
        <v>87446098.026568025</v>
      </c>
      <c r="I23" s="1012">
        <v>7287174.8355473354</v>
      </c>
      <c r="J23" s="1013">
        <f>$I$23/($K$5*1000)</f>
        <v>0.40908877426298479</v>
      </c>
      <c r="K23" s="1013">
        <f>($I$23/$K$6)/$K$5</f>
        <v>2.5568048391436549E-2</v>
      </c>
    </row>
    <row r="24" spans="2:11" x14ac:dyDescent="0.25">
      <c r="B24" s="1007">
        <f t="shared" si="1"/>
        <v>15</v>
      </c>
      <c r="C24" s="1060" t="s">
        <v>500</v>
      </c>
      <c r="D24" s="1010">
        <v>669445527</v>
      </c>
      <c r="E24" s="1012">
        <v>33472276.350000005</v>
      </c>
      <c r="F24" s="1012">
        <v>2789356.3625000003</v>
      </c>
      <c r="G24" s="1012">
        <v>669445526.98000002</v>
      </c>
      <c r="H24" s="1012">
        <f t="shared" si="2"/>
        <v>33472276.348999999</v>
      </c>
      <c r="I24" s="1012">
        <v>2789356.3624166665</v>
      </c>
      <c r="J24" s="1013">
        <f>$I$24/($K$5*1000)</f>
        <v>0.15658940550147857</v>
      </c>
      <c r="K24" s="1013">
        <f>($I$24/$K$6)/$K$5</f>
        <v>9.7868378438424088E-3</v>
      </c>
    </row>
    <row r="25" spans="2:11" x14ac:dyDescent="0.25">
      <c r="B25" s="1007">
        <f t="shared" si="1"/>
        <v>16</v>
      </c>
      <c r="C25" s="1060" t="s">
        <v>490</v>
      </c>
      <c r="D25" s="1010">
        <v>0</v>
      </c>
      <c r="E25" s="1012">
        <v>0</v>
      </c>
      <c r="F25" s="1012">
        <v>0</v>
      </c>
      <c r="G25" s="1012">
        <v>0</v>
      </c>
      <c r="H25" s="1012">
        <f t="shared" si="2"/>
        <v>0</v>
      </c>
      <c r="I25" s="1012">
        <v>0</v>
      </c>
      <c r="J25" s="1013">
        <f>$I$25/($K$5*1000)</f>
        <v>0</v>
      </c>
      <c r="K25" s="1013">
        <f>($I$25/$K$6)/$K$5</f>
        <v>0</v>
      </c>
    </row>
    <row r="26" spans="2:11" x14ac:dyDescent="0.25">
      <c r="B26" s="1007">
        <f t="shared" si="1"/>
        <v>17</v>
      </c>
      <c r="C26" s="1060" t="s">
        <v>501</v>
      </c>
      <c r="D26" s="1010">
        <v>35739000</v>
      </c>
      <c r="E26" s="1012">
        <v>3573900</v>
      </c>
      <c r="F26" s="1012">
        <v>297825</v>
      </c>
      <c r="G26" s="1012">
        <v>35739000</v>
      </c>
      <c r="H26" s="1012">
        <f t="shared" si="2"/>
        <v>3573900</v>
      </c>
      <c r="I26" s="1012">
        <v>297825</v>
      </c>
      <c r="J26" s="1013">
        <f>$I$26/($K$5*1000)</f>
        <v>1.6719355160870426E-2</v>
      </c>
      <c r="K26" s="1013">
        <f>($I$26/$K$6)/$K$5</f>
        <v>1.0449596975544016E-3</v>
      </c>
    </row>
    <row r="27" spans="2:11" x14ac:dyDescent="0.25">
      <c r="B27" s="1007">
        <f t="shared" si="1"/>
        <v>18</v>
      </c>
      <c r="C27" s="1060" t="s">
        <v>502</v>
      </c>
      <c r="D27" s="1010">
        <v>537402145</v>
      </c>
      <c r="E27" s="1012">
        <v>26870107.250000004</v>
      </c>
      <c r="F27" s="1012">
        <v>2239175.604166667</v>
      </c>
      <c r="G27" s="1012">
        <v>537402145</v>
      </c>
      <c r="H27" s="1012">
        <f t="shared" si="2"/>
        <v>26870107.25</v>
      </c>
      <c r="I27" s="1012">
        <v>2239175.6041666665</v>
      </c>
      <c r="J27" s="1013">
        <f>$I$27/($K$5*1000)</f>
        <v>0.12570325591746534</v>
      </c>
      <c r="K27" s="1013">
        <f>($I$27/$K$6)/$K$5</f>
        <v>7.856453494841582E-3</v>
      </c>
    </row>
    <row r="28" spans="2:11" x14ac:dyDescent="0.25">
      <c r="B28" s="1007">
        <f t="shared" si="1"/>
        <v>19</v>
      </c>
      <c r="C28" s="1060" t="s">
        <v>503</v>
      </c>
      <c r="D28" s="1010">
        <v>1071796228</v>
      </c>
      <c r="E28" s="1012">
        <v>26794905.699999999</v>
      </c>
      <c r="F28" s="1012">
        <v>2232908.8083333331</v>
      </c>
      <c r="G28" s="1012">
        <v>1071796228</v>
      </c>
      <c r="H28" s="1012">
        <f t="shared" si="2"/>
        <v>53589811.399999991</v>
      </c>
      <c r="I28" s="1012">
        <v>4465817.6166666662</v>
      </c>
      <c r="J28" s="1013">
        <f>$I$28/($K$5*1000)</f>
        <v>0.25070289873825868</v>
      </c>
      <c r="K28" s="1013">
        <f>($I$28/$K$6)/$K$5</f>
        <v>1.5668931171141168E-2</v>
      </c>
    </row>
    <row r="29" spans="2:11" x14ac:dyDescent="0.25">
      <c r="B29" s="1007">
        <f t="shared" si="1"/>
        <v>20</v>
      </c>
      <c r="C29" s="1060" t="s">
        <v>504</v>
      </c>
      <c r="D29" s="1010">
        <v>236594750</v>
      </c>
      <c r="E29" s="1012">
        <v>67601093.483989701</v>
      </c>
      <c r="F29" s="1012">
        <v>5633424.4569991417</v>
      </c>
      <c r="G29" s="1012">
        <v>3751924228.7191768</v>
      </c>
      <c r="H29" s="1012">
        <f t="shared" si="2"/>
        <v>199425948.93595883</v>
      </c>
      <c r="I29" s="1012">
        <v>16618829.077996569</v>
      </c>
      <c r="J29" s="1013">
        <f>$I$29/($K$5*1000)</f>
        <v>0.93295091316318457</v>
      </c>
      <c r="K29" s="1013">
        <f>($I$29/$K$6)/$K$5</f>
        <v>5.8309432072699029E-2</v>
      </c>
    </row>
    <row r="30" spans="2:11" x14ac:dyDescent="0.25">
      <c r="B30" s="1007">
        <f t="shared" si="1"/>
        <v>21</v>
      </c>
      <c r="C30" s="1060" t="s">
        <v>505</v>
      </c>
      <c r="D30" s="1010">
        <v>30414179484</v>
      </c>
      <c r="E30" s="1012">
        <v>1612030479.5500002</v>
      </c>
      <c r="F30" s="1012">
        <v>134335873.29583335</v>
      </c>
      <c r="G30" s="1012">
        <v>30414179484.479996</v>
      </c>
      <c r="H30" s="1012">
        <f t="shared" si="2"/>
        <v>1710615892.4508348</v>
      </c>
      <c r="I30" s="1012">
        <v>142551324.3709029</v>
      </c>
      <c r="J30" s="1013">
        <f>$I$30/($K$5*1000)</f>
        <v>8.0025727215968097</v>
      </c>
      <c r="K30" s="1013">
        <f>($I$30/$K$6)/$K$5</f>
        <v>0.50016079509980049</v>
      </c>
    </row>
    <row r="31" spans="2:11" x14ac:dyDescent="0.25">
      <c r="B31" s="1007">
        <f t="shared" si="1"/>
        <v>22</v>
      </c>
      <c r="C31" s="1060" t="s">
        <v>506</v>
      </c>
      <c r="D31" s="1010">
        <v>15714477178</v>
      </c>
      <c r="E31" s="1012">
        <v>1590698081.0625</v>
      </c>
      <c r="F31" s="1012">
        <v>132558173.421875</v>
      </c>
      <c r="G31" s="1012">
        <v>15714477178.919996</v>
      </c>
      <c r="H31" s="1012">
        <f t="shared" si="2"/>
        <v>1689283494.0092032</v>
      </c>
      <c r="I31" s="1012">
        <v>140773624.50076693</v>
      </c>
      <c r="J31" s="1013">
        <f>$I$31/($K$5*1000)</f>
        <v>7.902775876139791</v>
      </c>
      <c r="K31" s="1013">
        <f>($I$31/$K$6)/$K$5</f>
        <v>0.49392349225873683</v>
      </c>
    </row>
    <row r="32" spans="2:11" x14ac:dyDescent="0.25">
      <c r="B32" s="1007">
        <f t="shared" si="1"/>
        <v>23</v>
      </c>
      <c r="C32" s="1060" t="s">
        <v>507</v>
      </c>
      <c r="D32" s="1010">
        <v>39160256164.880692</v>
      </c>
      <c r="E32" s="1012">
        <v>1815696823.0725431</v>
      </c>
      <c r="F32" s="1012">
        <v>151308068.5893786</v>
      </c>
      <c r="G32" s="1012">
        <v>39160256163.939995</v>
      </c>
      <c r="H32" s="1012">
        <f t="shared" si="2"/>
        <v>1914282235.9513264</v>
      </c>
      <c r="I32" s="1012">
        <v>159523519.66261053</v>
      </c>
      <c r="J32" s="1013">
        <f>$I$32/($K$5*1000)</f>
        <v>8.9553609728910679</v>
      </c>
      <c r="K32" s="1013">
        <f>($I$32/$K$6)/$K$5</f>
        <v>0.55971006080569163</v>
      </c>
    </row>
    <row r="33" spans="2:12" x14ac:dyDescent="0.25">
      <c r="B33" s="1007">
        <f t="shared" si="1"/>
        <v>24</v>
      </c>
      <c r="C33" s="1060" t="s">
        <v>508</v>
      </c>
      <c r="D33" s="1010">
        <v>26158484525</v>
      </c>
      <c r="E33" s="1012">
        <v>1546139031.6360409</v>
      </c>
      <c r="F33" s="1012">
        <v>128844919.30300342</v>
      </c>
      <c r="G33" s="1012">
        <v>26158484522.87001</v>
      </c>
      <c r="H33" s="1012">
        <f t="shared" si="2"/>
        <v>2104335894.8711185</v>
      </c>
      <c r="I33" s="1012">
        <v>175361324.57259321</v>
      </c>
      <c r="J33" s="1013">
        <f>$I$33/($K$5*1000)</f>
        <v>9.844466606261598</v>
      </c>
      <c r="K33" s="1013">
        <f>($I$33/$K$6)/$K$5</f>
        <v>0.61527916289134976</v>
      </c>
    </row>
    <row r="34" spans="2:12" x14ac:dyDescent="0.25">
      <c r="B34" s="1007">
        <f t="shared" si="1"/>
        <v>25</v>
      </c>
      <c r="C34" s="1060" t="s">
        <v>509</v>
      </c>
      <c r="D34" s="1010">
        <v>44700543389</v>
      </c>
      <c r="E34" s="1012">
        <v>2525781268.3374996</v>
      </c>
      <c r="F34" s="1012">
        <v>210481772.3614583</v>
      </c>
      <c r="G34" s="1012">
        <v>44700543388.480034</v>
      </c>
      <c r="H34" s="1012">
        <f t="shared" si="2"/>
        <v>2624366681.1205378</v>
      </c>
      <c r="I34" s="1012">
        <v>218697223.4267115</v>
      </c>
      <c r="J34" s="1013">
        <f>$I$34/($K$5*1000)</f>
        <v>12.277265344304279</v>
      </c>
      <c r="K34" s="1013">
        <f>($I$34/$K$6)/$K$5</f>
        <v>0.76732908401901734</v>
      </c>
    </row>
    <row r="35" spans="2:12" x14ac:dyDescent="0.25">
      <c r="B35" s="1007">
        <f t="shared" si="1"/>
        <v>26</v>
      </c>
      <c r="C35" s="1060" t="s">
        <v>510</v>
      </c>
      <c r="D35" s="1010">
        <v>12406716786</v>
      </c>
      <c r="E35" s="1012">
        <v>697263539.22500026</v>
      </c>
      <c r="F35" s="1012">
        <v>58105294.935416691</v>
      </c>
      <c r="G35" s="1012">
        <v>12406716785.500004</v>
      </c>
      <c r="H35" s="1012">
        <f t="shared" si="2"/>
        <v>697263539.18067789</v>
      </c>
      <c r="I35" s="1012">
        <v>58105294.931723163</v>
      </c>
      <c r="J35" s="1013">
        <f>$I$35/($K$5*1000)</f>
        <v>3.2619258379605607</v>
      </c>
      <c r="K35" s="1013">
        <f>($I$35/$K$6)/$K$5</f>
        <v>0.20387036487253501</v>
      </c>
    </row>
    <row r="36" spans="2:12" x14ac:dyDescent="0.25">
      <c r="B36" s="1007">
        <f t="shared" si="1"/>
        <v>27</v>
      </c>
      <c r="C36" s="1060" t="s">
        <v>511</v>
      </c>
      <c r="D36" s="1010">
        <v>2279256408</v>
      </c>
      <c r="E36" s="1012">
        <v>168443707.171875</v>
      </c>
      <c r="F36" s="1012">
        <v>14036975.59765625</v>
      </c>
      <c r="G36" s="1012">
        <v>2279256406.4351387</v>
      </c>
      <c r="H36" s="1012">
        <f t="shared" si="2"/>
        <v>203668384.116157</v>
      </c>
      <c r="I36" s="1012">
        <v>16972365.343013082</v>
      </c>
      <c r="J36" s="1013">
        <f>$I$36/($K$5*1000)</f>
        <v>0.95279779766602579</v>
      </c>
      <c r="K36" s="1013">
        <f>($I$36/$K$6)/$K$5</f>
        <v>5.9549862354126612E-2</v>
      </c>
    </row>
    <row r="37" spans="2:12" x14ac:dyDescent="0.25">
      <c r="B37" s="1007">
        <f t="shared" si="1"/>
        <v>28</v>
      </c>
      <c r="C37" s="1060" t="s">
        <v>512</v>
      </c>
      <c r="D37" s="1010">
        <v>8173671310</v>
      </c>
      <c r="E37" s="1012">
        <v>501654825.27499992</v>
      </c>
      <c r="F37" s="1012">
        <v>41804568.77291666</v>
      </c>
      <c r="G37" s="1012">
        <v>8173671308.9999981</v>
      </c>
      <c r="H37" s="1012">
        <f t="shared" si="2"/>
        <v>518407225.14050961</v>
      </c>
      <c r="I37" s="1012">
        <v>43200602.095042467</v>
      </c>
      <c r="J37" s="1013">
        <f>$I$37/($K$5*1000)</f>
        <v>2.4252034234549082</v>
      </c>
      <c r="K37" s="1013">
        <f>($I$37/$K$6)/$K$5</f>
        <v>0.15157521396593174</v>
      </c>
    </row>
    <row r="38" spans="2:12" x14ac:dyDescent="0.25">
      <c r="B38" s="1007">
        <f t="shared" si="1"/>
        <v>29</v>
      </c>
      <c r="C38" s="1060" t="s">
        <v>513</v>
      </c>
      <c r="D38" s="1010">
        <v>8136945794.652689</v>
      </c>
      <c r="E38" s="1012">
        <v>469788395.43263459</v>
      </c>
      <c r="F38" s="1012">
        <v>39149032.952719547</v>
      </c>
      <c r="G38" s="1012">
        <v>8136945802.1199989</v>
      </c>
      <c r="H38" s="1012">
        <f t="shared" si="2"/>
        <v>469788395.77994156</v>
      </c>
      <c r="I38" s="1012">
        <v>39149032.981661797</v>
      </c>
      <c r="J38" s="1013">
        <f>$I$38/($K$5*1000)</f>
        <v>2.1977556841266974</v>
      </c>
      <c r="K38" s="1013">
        <f>($I$38/$K$6)/$K$5</f>
        <v>0.13735973025791859</v>
      </c>
    </row>
    <row r="39" spans="2:12" x14ac:dyDescent="0.25">
      <c r="B39" s="1007">
        <f t="shared" si="1"/>
        <v>30</v>
      </c>
      <c r="C39" s="1060" t="s">
        <v>514</v>
      </c>
      <c r="D39" s="1010">
        <v>5554219736</v>
      </c>
      <c r="E39" s="1012">
        <v>370213728.22500008</v>
      </c>
      <c r="F39" s="1012">
        <v>30851144.018750008</v>
      </c>
      <c r="G39" s="1012">
        <v>5554219736.7600012</v>
      </c>
      <c r="H39" s="1012">
        <f t="shared" si="2"/>
        <v>370213728.37244105</v>
      </c>
      <c r="I39" s="1012">
        <v>30851144.031036757</v>
      </c>
      <c r="J39" s="1013">
        <f>$I$39/($K$5*1000)</f>
        <v>1.7319272531656889</v>
      </c>
      <c r="K39" s="1013">
        <f>($I$39/$K$6)/$K$5</f>
        <v>0.10824545332285554</v>
      </c>
    </row>
    <row r="40" spans="2:12" x14ac:dyDescent="0.25">
      <c r="B40" s="1007">
        <f t="shared" si="1"/>
        <v>31</v>
      </c>
      <c r="C40" s="1060" t="s">
        <v>515</v>
      </c>
      <c r="D40" s="1010">
        <v>28411905935</v>
      </c>
      <c r="E40" s="1012">
        <v>1600990284.1625001</v>
      </c>
      <c r="F40" s="1012">
        <v>133415857.01354168</v>
      </c>
      <c r="G40" s="1012">
        <v>28411905934.010002</v>
      </c>
      <c r="H40" s="1012">
        <f t="shared" si="2"/>
        <v>1600990284.0066733</v>
      </c>
      <c r="I40" s="1012">
        <v>133415857.00055611</v>
      </c>
      <c r="J40" s="1013">
        <f>$I$40/($K$5*1000)</f>
        <v>7.4897241577577391</v>
      </c>
      <c r="K40" s="1013">
        <f>($I$40/$K$6)/$K$5</f>
        <v>0.46810775985985864</v>
      </c>
      <c r="L40" s="986">
        <f>H40/12</f>
        <v>133415857.00055611</v>
      </c>
    </row>
    <row r="41" spans="2:12" x14ac:dyDescent="0.25">
      <c r="B41" s="1007">
        <f t="shared" si="1"/>
        <v>32</v>
      </c>
      <c r="C41" s="1060" t="s">
        <v>516</v>
      </c>
      <c r="D41" s="1010">
        <v>8813632097</v>
      </c>
      <c r="E41" s="1012">
        <v>557196884.82499993</v>
      </c>
      <c r="F41" s="1012">
        <v>46433073.735416658</v>
      </c>
      <c r="G41" s="1012">
        <v>8813632095.9899998</v>
      </c>
      <c r="H41" s="1012">
        <f t="shared" si="2"/>
        <v>557196884.7227875</v>
      </c>
      <c r="I41" s="1012">
        <v>46433073.726898961</v>
      </c>
      <c r="J41" s="1013">
        <f>$I$41/($K$5*1000)</f>
        <v>2.6066685162457994</v>
      </c>
      <c r="K41" s="1013">
        <f>($I$41/$K$6)/$K$5</f>
        <v>0.16291678226536244</v>
      </c>
    </row>
    <row r="42" spans="2:12" x14ac:dyDescent="0.25">
      <c r="B42" s="1007">
        <f t="shared" si="1"/>
        <v>33</v>
      </c>
      <c r="C42" s="1060" t="s">
        <v>517</v>
      </c>
      <c r="D42" s="1010">
        <v>4990631887</v>
      </c>
      <c r="E42" s="1012">
        <v>359915737.76250005</v>
      </c>
      <c r="F42" s="1012">
        <v>29992978.146875005</v>
      </c>
      <c r="G42" s="1012">
        <v>4990631885.8800001</v>
      </c>
      <c r="H42" s="1012">
        <f t="shared" si="2"/>
        <v>359915737.56721592</v>
      </c>
      <c r="I42" s="1012">
        <v>29992978.130601324</v>
      </c>
      <c r="J42" s="1013">
        <f>$I$42/($K$5*1000)</f>
        <v>1.6837513764718983</v>
      </c>
      <c r="K42" s="1013">
        <f>($I$42/$K$6)/$K$5</f>
        <v>0.10523446102949363</v>
      </c>
    </row>
    <row r="43" spans="2:12" x14ac:dyDescent="0.25">
      <c r="B43" s="1007">
        <f t="shared" si="1"/>
        <v>34</v>
      </c>
      <c r="C43" s="1060" t="s">
        <v>518</v>
      </c>
      <c r="D43" s="1010">
        <v>11752092639</v>
      </c>
      <c r="E43" s="1012">
        <v>611861933.47500002</v>
      </c>
      <c r="F43" s="1012">
        <v>50988494.456250004</v>
      </c>
      <c r="G43" s="1012">
        <v>11752092638.839998</v>
      </c>
      <c r="H43" s="1012">
        <f t="shared" si="2"/>
        <v>611861933.53528774</v>
      </c>
      <c r="I43" s="1012">
        <v>50988494.461273976</v>
      </c>
      <c r="J43" s="1013">
        <f>$I$43/($K$5*1000)</f>
        <v>2.8624015714467026</v>
      </c>
      <c r="K43" s="1013">
        <f>($I$43/$K$6)/$K$5</f>
        <v>0.17890009821541891</v>
      </c>
    </row>
    <row r="44" spans="2:12" x14ac:dyDescent="0.25">
      <c r="B44" s="1007">
        <f t="shared" si="1"/>
        <v>35</v>
      </c>
      <c r="C44" s="1060" t="s">
        <v>519</v>
      </c>
      <c r="D44" s="1010">
        <v>9891619567</v>
      </c>
      <c r="E44" s="1012">
        <v>899876594.18749964</v>
      </c>
      <c r="F44" s="1012">
        <v>74989716.182291642</v>
      </c>
      <c r="G44" s="1012">
        <v>9891619567.5300026</v>
      </c>
      <c r="H44" s="1012">
        <f t="shared" si="2"/>
        <v>899876594.12820303</v>
      </c>
      <c r="I44" s="1012">
        <v>74989716.177350253</v>
      </c>
      <c r="J44" s="1013">
        <f>$I$44/($K$5*1000)</f>
        <v>4.2097866135549049</v>
      </c>
      <c r="K44" s="1013">
        <f>($I$44/$K$6)/$K$5</f>
        <v>0.26311166334718156</v>
      </c>
    </row>
    <row r="45" spans="2:12" x14ac:dyDescent="0.25">
      <c r="B45" s="1007">
        <f t="shared" si="1"/>
        <v>36</v>
      </c>
      <c r="C45" s="1060" t="s">
        <v>520</v>
      </c>
      <c r="D45" s="1010">
        <v>4518985787</v>
      </c>
      <c r="E45" s="1012">
        <v>244637940.60000005</v>
      </c>
      <c r="F45" s="1012">
        <v>20386495.050000004</v>
      </c>
      <c r="G45" s="1012">
        <v>4518985787.3899994</v>
      </c>
      <c r="H45" s="1012">
        <f t="shared" si="2"/>
        <v>244637940.5848676</v>
      </c>
      <c r="I45" s="1012">
        <v>20386495.048738968</v>
      </c>
      <c r="J45" s="1013">
        <f>$I$45/($K$5*1000)</f>
        <v>1.1444608451446092</v>
      </c>
      <c r="K45" s="1013">
        <f>($I$45/$K$6)/$K$5</f>
        <v>7.1528802821538076E-2</v>
      </c>
    </row>
    <row r="46" spans="2:12" x14ac:dyDescent="0.25">
      <c r="B46" s="1007">
        <f t="shared" si="1"/>
        <v>37</v>
      </c>
      <c r="C46" s="1060" t="s">
        <v>521</v>
      </c>
      <c r="D46" s="1010">
        <v>34206697993</v>
      </c>
      <c r="E46" s="1012">
        <v>3139434562.2500439</v>
      </c>
      <c r="F46" s="1012">
        <v>261619546.85417032</v>
      </c>
      <c r="G46" s="1012">
        <v>121634364373.43024</v>
      </c>
      <c r="H46" s="1012">
        <f t="shared" si="2"/>
        <v>7874623587.8125553</v>
      </c>
      <c r="I46" s="1012">
        <v>656218632.3177129</v>
      </c>
      <c r="J46" s="1013">
        <f>$I$46/($K$5*1000)</f>
        <v>36.838923451357296</v>
      </c>
      <c r="K46" s="1013">
        <f>($I$46/$K$6)/$K$5</f>
        <v>2.3024327157098305</v>
      </c>
    </row>
    <row r="47" spans="2:12" x14ac:dyDescent="0.25">
      <c r="B47" s="1007">
        <f t="shared" si="1"/>
        <v>38</v>
      </c>
      <c r="C47" s="1060" t="s">
        <v>522</v>
      </c>
      <c r="D47" s="1010">
        <v>93804025615</v>
      </c>
      <c r="E47" s="1012">
        <v>6310838834.0541668</v>
      </c>
      <c r="F47" s="1012">
        <v>525903236.17118055</v>
      </c>
      <c r="G47" s="1012">
        <v>93804025613.289978</v>
      </c>
      <c r="H47" s="1012">
        <f t="shared" si="2"/>
        <v>6332772167.2313156</v>
      </c>
      <c r="I47" s="1012">
        <v>527731013.93594301</v>
      </c>
      <c r="J47" s="1013">
        <f>$I$47/($K$5*1000)</f>
        <v>29.625861668433785</v>
      </c>
      <c r="K47" s="1013">
        <f>($I$47/$K$6)/$K$5</f>
        <v>1.8516163542771114</v>
      </c>
    </row>
    <row r="48" spans="2:12" x14ac:dyDescent="0.25">
      <c r="B48" s="1007">
        <f t="shared" si="1"/>
        <v>39</v>
      </c>
      <c r="C48" s="1060" t="s">
        <v>523</v>
      </c>
      <c r="D48" s="1010">
        <v>69305898501</v>
      </c>
      <c r="E48" s="1012">
        <v>4714142216.8125</v>
      </c>
      <c r="F48" s="1012">
        <v>392845184.734375</v>
      </c>
      <c r="G48" s="1012">
        <v>69305898500.289993</v>
      </c>
      <c r="H48" s="1012">
        <f t="shared" si="2"/>
        <v>4714142216.7859001</v>
      </c>
      <c r="I48" s="1012">
        <v>392845184.7321583</v>
      </c>
      <c r="J48" s="1013">
        <f>$I$48/($K$5*1000)</f>
        <v>22.053615938133827</v>
      </c>
      <c r="K48" s="1013">
        <f>($I$48/$K$6)/$K$5</f>
        <v>1.3783509961333642</v>
      </c>
    </row>
    <row r="49" spans="2:11" x14ac:dyDescent="0.25">
      <c r="B49" s="1007">
        <f t="shared" si="1"/>
        <v>40</v>
      </c>
      <c r="C49" s="1060" t="s">
        <v>524</v>
      </c>
      <c r="D49" s="1010">
        <v>1222833568</v>
      </c>
      <c r="E49" s="1012">
        <v>76427098</v>
      </c>
      <c r="F49" s="1012">
        <v>6368924.833333333</v>
      </c>
      <c r="G49" s="1012">
        <v>1222833567.6900001</v>
      </c>
      <c r="H49" s="1012">
        <f t="shared" si="2"/>
        <v>76427097.980625004</v>
      </c>
      <c r="I49" s="1012">
        <v>6368924.8317187503</v>
      </c>
      <c r="J49" s="1013">
        <f>$I$49/($K$5*1000)</f>
        <v>0.35753988501432959</v>
      </c>
      <c r="K49" s="1013">
        <f>($I$49/$K$6)/$K$5</f>
        <v>2.2346242813395596E-2</v>
      </c>
    </row>
    <row r="50" spans="2:11" x14ac:dyDescent="0.25">
      <c r="B50" s="1007">
        <f t="shared" si="1"/>
        <v>41</v>
      </c>
      <c r="C50" s="1060" t="s">
        <v>525</v>
      </c>
      <c r="D50" s="1010">
        <v>2557397646</v>
      </c>
      <c r="E50" s="1012">
        <v>127869882.30000001</v>
      </c>
      <c r="F50" s="1012">
        <v>10655823.525</v>
      </c>
      <c r="G50" s="1012">
        <v>2557397645.6100001</v>
      </c>
      <c r="H50" s="1012">
        <f t="shared" si="2"/>
        <v>127869882.28050001</v>
      </c>
      <c r="I50" s="1012">
        <v>10655823.523375001</v>
      </c>
      <c r="J50" s="1013">
        <f>$I$50/($K$5*1000)</f>
        <v>0.59819859991224489</v>
      </c>
      <c r="K50" s="1013">
        <f>($I$50/$K$6)/$K$5</f>
        <v>3.7387412494515299E-2</v>
      </c>
    </row>
    <row r="51" spans="2:11" x14ac:dyDescent="0.25">
      <c r="B51" s="1007">
        <f t="shared" si="1"/>
        <v>42</v>
      </c>
      <c r="C51" s="1060" t="s">
        <v>526</v>
      </c>
      <c r="D51" s="1010">
        <v>30580769059</v>
      </c>
      <c r="E51" s="1012">
        <v>1658149317.4009175</v>
      </c>
      <c r="F51" s="1012">
        <v>138179109.7834098</v>
      </c>
      <c r="G51" s="1012">
        <v>30797884415.073391</v>
      </c>
      <c r="H51" s="1012">
        <f t="shared" si="2"/>
        <v>2888992764.2857904</v>
      </c>
      <c r="I51" s="1012">
        <v>240749397.02381587</v>
      </c>
      <c r="J51" s="1013">
        <f>$I$51/($K$5*1000)</f>
        <v>13.515234361140198</v>
      </c>
      <c r="K51" s="1013">
        <f>($I$51/$K$6)/$K$5</f>
        <v>0.84470214757126227</v>
      </c>
    </row>
    <row r="52" spans="2:11" x14ac:dyDescent="0.25">
      <c r="B52" s="1007">
        <f t="shared" si="1"/>
        <v>43</v>
      </c>
      <c r="C52" s="1060" t="s">
        <v>527</v>
      </c>
      <c r="D52" s="1010">
        <v>2460303143</v>
      </c>
      <c r="E52" s="1012">
        <v>153768946.4375</v>
      </c>
      <c r="F52" s="1012">
        <v>12814078.869791666</v>
      </c>
      <c r="G52" s="1012">
        <v>2460303143</v>
      </c>
      <c r="H52" s="1012">
        <f t="shared" si="2"/>
        <v>153768946.4375</v>
      </c>
      <c r="I52" s="1012">
        <v>12814078.869791666</v>
      </c>
      <c r="J52" s="1013">
        <f>$I$52/($K$5*1000)</f>
        <v>0.71935913937195328</v>
      </c>
      <c r="K52" s="1013">
        <f>($I$52/$K$6)/$K$5</f>
        <v>4.495994621074708E-2</v>
      </c>
    </row>
    <row r="53" spans="2:11" x14ac:dyDescent="0.25">
      <c r="B53" s="1007">
        <f t="shared" si="1"/>
        <v>44</v>
      </c>
      <c r="C53" s="1060" t="s">
        <v>526</v>
      </c>
      <c r="D53" s="1010">
        <v>0</v>
      </c>
      <c r="E53" s="1012">
        <v>0</v>
      </c>
      <c r="F53" s="1012">
        <v>0</v>
      </c>
      <c r="G53" s="1012">
        <v>0</v>
      </c>
      <c r="H53" s="1012">
        <f t="shared" si="2"/>
        <v>0</v>
      </c>
      <c r="I53" s="1012">
        <v>0</v>
      </c>
      <c r="J53" s="1013">
        <f>$I$53/($K$5*1000)</f>
        <v>0</v>
      </c>
      <c r="K53" s="1013">
        <f>($I$53/$K$6)/$K$5</f>
        <v>0</v>
      </c>
    </row>
    <row r="54" spans="2:11" x14ac:dyDescent="0.25">
      <c r="B54" s="1007">
        <f t="shared" si="1"/>
        <v>45</v>
      </c>
      <c r="C54" s="1060" t="s">
        <v>526</v>
      </c>
      <c r="D54" s="1010">
        <v>0</v>
      </c>
      <c r="E54" s="1012">
        <v>0</v>
      </c>
      <c r="F54" s="1012">
        <v>0</v>
      </c>
      <c r="G54" s="1012">
        <v>0</v>
      </c>
      <c r="H54" s="1012">
        <f t="shared" si="2"/>
        <v>0</v>
      </c>
      <c r="I54" s="1012">
        <v>0</v>
      </c>
      <c r="J54" s="1013">
        <f>$I$54/($K$5*1000)</f>
        <v>0</v>
      </c>
      <c r="K54" s="1013">
        <f>($I$54/$K$6)/$K$5</f>
        <v>0</v>
      </c>
    </row>
    <row r="55" spans="2:11" x14ac:dyDescent="0.25">
      <c r="B55" s="1007">
        <f t="shared" si="1"/>
        <v>46</v>
      </c>
      <c r="C55" s="1060" t="s">
        <v>508</v>
      </c>
      <c r="D55" s="1010">
        <v>0</v>
      </c>
      <c r="E55" s="1012">
        <v>0</v>
      </c>
      <c r="F55" s="1012">
        <v>0</v>
      </c>
      <c r="G55" s="1012">
        <v>0</v>
      </c>
      <c r="H55" s="1012">
        <f t="shared" si="2"/>
        <v>0</v>
      </c>
      <c r="I55" s="1012">
        <v>0</v>
      </c>
      <c r="J55" s="1013">
        <f>$I$55/($K$5*1000)</f>
        <v>0</v>
      </c>
      <c r="K55" s="1013">
        <f>($I$55/$K$6)/$K$5</f>
        <v>0</v>
      </c>
    </row>
    <row r="56" spans="2:11" x14ac:dyDescent="0.25">
      <c r="B56" s="1007">
        <f t="shared" si="1"/>
        <v>47</v>
      </c>
      <c r="C56" s="1060" t="s">
        <v>528</v>
      </c>
      <c r="D56" s="1010">
        <v>814629325</v>
      </c>
      <c r="E56" s="1012">
        <v>138420459.72499999</v>
      </c>
      <c r="F56" s="1012">
        <v>11535038.310416667</v>
      </c>
      <c r="G56" s="1012">
        <v>814629325</v>
      </c>
      <c r="H56" s="1012">
        <f t="shared" si="2"/>
        <v>138420459.72499999</v>
      </c>
      <c r="I56" s="1012">
        <v>11535038.310416667</v>
      </c>
      <c r="J56" s="1013">
        <f>$I$56/($K$5*1000)</f>
        <v>0.64755612291145137</v>
      </c>
      <c r="K56" s="1013">
        <f>($I$56/$K$6)/$K$5</f>
        <v>4.0472257681965704E-2</v>
      </c>
    </row>
    <row r="57" spans="2:11" x14ac:dyDescent="0.25">
      <c r="B57" s="1007">
        <f t="shared" si="1"/>
        <v>48</v>
      </c>
      <c r="C57" s="1060" t="s">
        <v>490</v>
      </c>
      <c r="D57" s="1010">
        <v>0</v>
      </c>
      <c r="E57" s="1012">
        <v>0</v>
      </c>
      <c r="F57" s="1012">
        <v>0</v>
      </c>
      <c r="G57" s="1012">
        <v>0</v>
      </c>
      <c r="H57" s="1012">
        <f t="shared" si="2"/>
        <v>0</v>
      </c>
      <c r="I57" s="1012">
        <v>0</v>
      </c>
      <c r="J57" s="1013">
        <f>$I$57/($K$5*1000)</f>
        <v>0</v>
      </c>
      <c r="K57" s="1013">
        <f>($I$57/$K$6)/$K$5</f>
        <v>0</v>
      </c>
    </row>
    <row r="58" spans="2:11" x14ac:dyDescent="0.25">
      <c r="B58" s="1007">
        <f t="shared" si="1"/>
        <v>49</v>
      </c>
      <c r="C58" s="1060" t="s">
        <v>529</v>
      </c>
      <c r="D58" s="1010">
        <v>3324550757</v>
      </c>
      <c r="E58" s="1012">
        <v>166227537.84999993</v>
      </c>
      <c r="F58" s="1012">
        <v>13852294.820833327</v>
      </c>
      <c r="G58" s="1012">
        <v>3324550757.3499999</v>
      </c>
      <c r="H58" s="1012">
        <f t="shared" si="2"/>
        <v>166227537.86750001</v>
      </c>
      <c r="I58" s="1012">
        <v>13852294.822291667</v>
      </c>
      <c r="J58" s="1013">
        <f>$I$58/($K$5*1000)</f>
        <v>0.77764269932672159</v>
      </c>
      <c r="K58" s="1013">
        <f>($I$58/$K$6)/$K$5</f>
        <v>4.8602668707920099E-2</v>
      </c>
    </row>
    <row r="59" spans="2:11" x14ac:dyDescent="0.25">
      <c r="B59" s="1007">
        <f t="shared" si="1"/>
        <v>50</v>
      </c>
      <c r="C59" s="1060" t="s">
        <v>530</v>
      </c>
      <c r="D59" s="1010">
        <v>1457273906</v>
      </c>
      <c r="E59" s="1012">
        <v>72863695.299999997</v>
      </c>
      <c r="F59" s="1012">
        <v>6071974.6083333334</v>
      </c>
      <c r="G59" s="1012">
        <v>1457273906</v>
      </c>
      <c r="H59" s="1012">
        <f t="shared" si="2"/>
        <v>72863695.299999997</v>
      </c>
      <c r="I59" s="1012">
        <v>6071974.6083333334</v>
      </c>
      <c r="J59" s="1013">
        <f>$I$59/($K$5*1000)</f>
        <v>0.34086963822550864</v>
      </c>
      <c r="K59" s="1013">
        <f>($I$59/$K$6)/$K$5</f>
        <v>2.1304352389094287E-2</v>
      </c>
    </row>
    <row r="60" spans="2:11" x14ac:dyDescent="0.25">
      <c r="B60" s="1007">
        <f t="shared" si="1"/>
        <v>51</v>
      </c>
      <c r="C60" s="1060" t="s">
        <v>490</v>
      </c>
      <c r="D60" s="1010">
        <v>0</v>
      </c>
      <c r="E60" s="1012">
        <v>0</v>
      </c>
      <c r="F60" s="1012">
        <v>0</v>
      </c>
      <c r="G60" s="1012">
        <v>0</v>
      </c>
      <c r="H60" s="1012">
        <f t="shared" si="2"/>
        <v>0</v>
      </c>
      <c r="I60" s="1012">
        <v>0</v>
      </c>
      <c r="J60" s="1013">
        <f>$I$60/($K$5*1000)</f>
        <v>0</v>
      </c>
      <c r="K60" s="1013">
        <f>($I$60/$K$6)/$K$5</f>
        <v>0</v>
      </c>
    </row>
    <row r="61" spans="2:11" x14ac:dyDescent="0.25">
      <c r="B61" s="1007">
        <f t="shared" si="1"/>
        <v>52</v>
      </c>
      <c r="C61" s="1060" t="s">
        <v>531</v>
      </c>
      <c r="D61" s="1010">
        <v>702420000</v>
      </c>
      <c r="E61" s="1012">
        <v>58515250</v>
      </c>
      <c r="F61" s="1012">
        <v>4876270.833333333</v>
      </c>
      <c r="G61" s="1012">
        <v>702420000</v>
      </c>
      <c r="H61" s="1012">
        <f t="shared" si="2"/>
        <v>92109000</v>
      </c>
      <c r="I61" s="1012">
        <v>7675750</v>
      </c>
      <c r="J61" s="1013">
        <f>$I$61/($K$5*1000)</f>
        <v>0.43090267900965729</v>
      </c>
      <c r="K61" s="1013">
        <f>($I$61/$K$6)/$K$5</f>
        <v>2.6931417438103577E-2</v>
      </c>
    </row>
    <row r="62" spans="2:11" x14ac:dyDescent="0.25">
      <c r="B62" s="1007">
        <f t="shared" si="1"/>
        <v>53</v>
      </c>
      <c r="C62" s="1060" t="s">
        <v>532</v>
      </c>
      <c r="D62" s="1010">
        <v>2093240354</v>
      </c>
      <c r="E62" s="1012">
        <v>287495712.54999989</v>
      </c>
      <c r="F62" s="1012">
        <v>23957976.045833323</v>
      </c>
      <c r="G62" s="1012">
        <v>2093240354</v>
      </c>
      <c r="H62" s="1012">
        <f t="shared" si="2"/>
        <v>287495712.54999995</v>
      </c>
      <c r="I62" s="1012">
        <v>23957976.045833331</v>
      </c>
      <c r="J62" s="1013">
        <f>$I$62/($K$5*1000)</f>
        <v>1.3449573086406903</v>
      </c>
      <c r="K62" s="1013">
        <f>($I$62/$K$6)/$K$5</f>
        <v>8.405983179004313E-2</v>
      </c>
    </row>
    <row r="63" spans="2:11" x14ac:dyDescent="0.25">
      <c r="B63" s="1007">
        <f t="shared" si="1"/>
        <v>54</v>
      </c>
      <c r="C63" s="1060" t="s">
        <v>533</v>
      </c>
      <c r="D63" s="1010">
        <v>0</v>
      </c>
      <c r="E63" s="1012">
        <v>0</v>
      </c>
      <c r="F63" s="1012">
        <v>0</v>
      </c>
      <c r="G63" s="1012">
        <v>0</v>
      </c>
      <c r="H63" s="1012">
        <f t="shared" si="2"/>
        <v>0</v>
      </c>
      <c r="I63" s="1012">
        <v>0</v>
      </c>
      <c r="J63" s="1013">
        <f>$I$63/($K$5*1000)</f>
        <v>0</v>
      </c>
      <c r="K63" s="1013">
        <f>($I$63/$K$6)/$K$5</f>
        <v>0</v>
      </c>
    </row>
    <row r="64" spans="2:11" x14ac:dyDescent="0.25">
      <c r="B64" s="1007">
        <f t="shared" si="1"/>
        <v>55</v>
      </c>
      <c r="C64" s="1060" t="s">
        <v>534</v>
      </c>
      <c r="D64" s="1010">
        <v>68073000</v>
      </c>
      <c r="E64" s="1012">
        <v>13614600</v>
      </c>
      <c r="F64" s="1012">
        <v>1134550</v>
      </c>
      <c r="G64" s="1012">
        <v>68073000</v>
      </c>
      <c r="H64" s="1012">
        <f t="shared" si="2"/>
        <v>13614600</v>
      </c>
      <c r="I64" s="1012">
        <v>1134550</v>
      </c>
      <c r="J64" s="1013">
        <f>$I$64/($K$5*1000)</f>
        <v>6.3691578604098187E-2</v>
      </c>
      <c r="K64" s="1013">
        <f>($I$64/$K$6)/$K$5</f>
        <v>3.9807236627561367E-3</v>
      </c>
    </row>
    <row r="65" spans="2:11" x14ac:dyDescent="0.25">
      <c r="B65" s="1007">
        <f t="shared" si="1"/>
        <v>56</v>
      </c>
      <c r="C65" s="1060" t="s">
        <v>535</v>
      </c>
      <c r="D65" s="1010">
        <v>140550000</v>
      </c>
      <c r="E65" s="1012">
        <v>28110000</v>
      </c>
      <c r="F65" s="1012">
        <v>2342500</v>
      </c>
      <c r="G65" s="1012">
        <v>140550000</v>
      </c>
      <c r="H65" s="1012">
        <f t="shared" si="2"/>
        <v>28110000</v>
      </c>
      <c r="I65" s="1012">
        <v>2342500</v>
      </c>
      <c r="J65" s="1013">
        <f>$I$65/($K$5*1000)</f>
        <v>0.13150370003975145</v>
      </c>
      <c r="K65" s="1013">
        <f>($I$65/$K$6)/$K$5</f>
        <v>8.2189812524844641E-3</v>
      </c>
    </row>
    <row r="66" spans="2:11" x14ac:dyDescent="0.25">
      <c r="B66" s="1007">
        <f t="shared" si="1"/>
        <v>57</v>
      </c>
      <c r="C66" s="1060" t="s">
        <v>536</v>
      </c>
      <c r="D66" s="1010">
        <v>3453064640</v>
      </c>
      <c r="E66" s="1012">
        <v>373988923.72499996</v>
      </c>
      <c r="F66" s="1012">
        <v>31165743.643749997</v>
      </c>
      <c r="G66" s="1012">
        <v>4405170868</v>
      </c>
      <c r="H66" s="1012">
        <f t="shared" si="2"/>
        <v>896034173.60000002</v>
      </c>
      <c r="I66" s="1012">
        <v>74669514.466666669</v>
      </c>
      <c r="J66" s="1013">
        <f>$I$66/($K$5*1000)</f>
        <v>4.1918110704539657</v>
      </c>
      <c r="K66" s="1013">
        <f>($I$66/$K$6)/$K$5</f>
        <v>0.26198819190337286</v>
      </c>
    </row>
    <row r="67" spans="2:11" x14ac:dyDescent="0.25">
      <c r="B67" s="1007">
        <f t="shared" si="1"/>
        <v>58</v>
      </c>
      <c r="C67" s="1060" t="s">
        <v>537</v>
      </c>
      <c r="D67" s="1010">
        <v>1542535419</v>
      </c>
      <c r="E67" s="1012">
        <v>294442763.82414317</v>
      </c>
      <c r="F67" s="1012">
        <v>24536896.985345263</v>
      </c>
      <c r="G67" s="1012">
        <v>1976060354.2647929</v>
      </c>
      <c r="H67" s="1012">
        <f t="shared" si="2"/>
        <v>298253959.59197366</v>
      </c>
      <c r="I67" s="1012">
        <v>24854496.632664472</v>
      </c>
      <c r="J67" s="1013">
        <f>$I$67/($K$5*1000)</f>
        <v>1.3952863478424424</v>
      </c>
      <c r="K67" s="1013">
        <f>($I$67/$K$6)/$K$5</f>
        <v>8.7205396740152638E-2</v>
      </c>
    </row>
    <row r="68" spans="2:11" x14ac:dyDescent="0.25">
      <c r="B68" s="1007">
        <f t="shared" si="1"/>
        <v>59</v>
      </c>
      <c r="C68" s="1060" t="s">
        <v>538</v>
      </c>
      <c r="D68" s="1010">
        <v>11270000</v>
      </c>
      <c r="E68" s="1012">
        <v>2253999.9999999995</v>
      </c>
      <c r="F68" s="1012">
        <v>187833.33333333328</v>
      </c>
      <c r="G68" s="1012">
        <v>11270000</v>
      </c>
      <c r="H68" s="1012">
        <f t="shared" si="2"/>
        <v>2254000</v>
      </c>
      <c r="I68" s="1012">
        <v>187833.33333333334</v>
      </c>
      <c r="J68" s="1013">
        <f>$I$68/($K$5*1000)</f>
        <v>1.0544622550323721E-2</v>
      </c>
      <c r="K68" s="1013">
        <f>($I$68/$K$6)/$K$5</f>
        <v>6.5903890939523243E-4</v>
      </c>
    </row>
    <row r="69" spans="2:11" x14ac:dyDescent="0.25">
      <c r="B69" s="1007">
        <f t="shared" si="1"/>
        <v>60</v>
      </c>
      <c r="C69" s="1060" t="s">
        <v>539</v>
      </c>
      <c r="D69" s="1010">
        <v>26932688</v>
      </c>
      <c r="E69" s="1012">
        <v>5386537.5999999996</v>
      </c>
      <c r="F69" s="1012">
        <v>448878.1333333333</v>
      </c>
      <c r="G69" s="1012">
        <v>26932688</v>
      </c>
      <c r="H69" s="1012">
        <f t="shared" si="2"/>
        <v>5386537.5380002018</v>
      </c>
      <c r="I69" s="1012">
        <v>448878.12816668348</v>
      </c>
      <c r="J69" s="1013">
        <f>$I$69/($K$5*1000)</f>
        <v>2.5199203722875839E-2</v>
      </c>
      <c r="K69" s="1013">
        <f>($I$69/$K$6)/$K$5</f>
        <v>1.5749502326797397E-3</v>
      </c>
    </row>
    <row r="70" spans="2:11" x14ac:dyDescent="0.25">
      <c r="B70" s="1007">
        <f t="shared" si="1"/>
        <v>61</v>
      </c>
      <c r="C70" s="1060" t="s">
        <v>540</v>
      </c>
      <c r="D70" s="1010">
        <v>30000000</v>
      </c>
      <c r="E70" s="1012">
        <v>6000000</v>
      </c>
      <c r="F70" s="1012">
        <v>500000</v>
      </c>
      <c r="G70" s="1012">
        <v>30000000.340209961</v>
      </c>
      <c r="H70" s="1012">
        <f t="shared" si="2"/>
        <v>6000000.0680419924</v>
      </c>
      <c r="I70" s="1012">
        <v>500000.00567016605</v>
      </c>
      <c r="J70" s="1013">
        <f>$I$70/($K$5*1000)</f>
        <v>2.8069093176317412E-2</v>
      </c>
      <c r="K70" s="1013">
        <f>($I$70/$K$6)/$K$5</f>
        <v>1.7543183235198382E-3</v>
      </c>
    </row>
    <row r="71" spans="2:11" x14ac:dyDescent="0.25">
      <c r="B71" s="1007">
        <f t="shared" si="1"/>
        <v>62</v>
      </c>
      <c r="C71" s="1060" t="s">
        <v>541</v>
      </c>
      <c r="D71" s="1010">
        <v>6869341541</v>
      </c>
      <c r="E71" s="1012">
        <v>344483481.40046716</v>
      </c>
      <c r="F71" s="1012">
        <v>28706956.783372264</v>
      </c>
      <c r="G71" s="1012">
        <v>6950653888.9573593</v>
      </c>
      <c r="H71" s="1012">
        <f t="shared" si="2"/>
        <v>347532694.44786799</v>
      </c>
      <c r="I71" s="1012">
        <v>28961057.870655663</v>
      </c>
      <c r="J71" s="1013">
        <f>$I$71/($K$5*1000)</f>
        <v>1.6258212452749563</v>
      </c>
      <c r="K71" s="1013">
        <f>($I$71/$K$6)/$K$5</f>
        <v>0.10161382782968476</v>
      </c>
    </row>
    <row r="72" spans="2:11" x14ac:dyDescent="0.25">
      <c r="B72" s="1007"/>
      <c r="C72" s="1014"/>
      <c r="D72" s="1014"/>
      <c r="E72" s="1012"/>
      <c r="F72" s="1012"/>
      <c r="G72" s="1012"/>
      <c r="H72" s="1012"/>
      <c r="I72" s="1012"/>
      <c r="J72" s="1013"/>
      <c r="K72" s="1013"/>
    </row>
    <row r="73" spans="2:11" x14ac:dyDescent="0.25">
      <c r="B73" s="1007"/>
      <c r="C73" s="1014"/>
      <c r="D73" s="1014"/>
      <c r="E73" s="1012"/>
      <c r="F73" s="1012"/>
      <c r="G73" s="1012"/>
      <c r="H73" s="1012"/>
      <c r="I73" s="1012"/>
      <c r="J73" s="1013"/>
      <c r="K73" s="1013"/>
    </row>
    <row r="74" spans="2:11" x14ac:dyDescent="0.25">
      <c r="B74" s="1007"/>
      <c r="C74" s="1014"/>
      <c r="D74" s="1014"/>
      <c r="E74" s="1012"/>
      <c r="F74" s="1012"/>
      <c r="G74" s="1012"/>
      <c r="H74" s="1012"/>
      <c r="I74" s="1012"/>
      <c r="J74" s="1013"/>
      <c r="K74" s="1013"/>
    </row>
    <row r="75" spans="2:11" ht="13.5" thickBot="1" x14ac:dyDescent="0.3">
      <c r="B75" s="1045"/>
      <c r="C75" s="1046"/>
      <c r="D75" s="1046"/>
      <c r="E75" s="1047"/>
      <c r="F75" s="1047"/>
      <c r="G75" s="1047"/>
      <c r="H75" s="1047"/>
      <c r="I75" s="1047"/>
      <c r="J75" s="1061"/>
      <c r="K75" s="1061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5703125" defaultRowHeight="15" x14ac:dyDescent="0.25"/>
  <cols>
    <col min="1" max="1" width="8.5703125" style="343"/>
    <col min="2" max="2" width="52.5703125" style="343" customWidth="1"/>
    <col min="3" max="4" width="17.5703125" style="969" customWidth="1"/>
    <col min="5" max="5" width="55.42578125" style="343" customWidth="1"/>
    <col min="6" max="6" width="17.5703125" style="969" customWidth="1"/>
    <col min="7" max="16384" width="8.5703125" style="343"/>
  </cols>
  <sheetData>
    <row r="1" spans="2:6" x14ac:dyDescent="0.25">
      <c r="C1" s="969" t="s">
        <v>407</v>
      </c>
      <c r="F1" s="969" t="s">
        <v>407</v>
      </c>
    </row>
    <row r="2" spans="2:6" ht="19.5" thickBot="1" x14ac:dyDescent="0.3">
      <c r="B2" s="968" t="s">
        <v>381</v>
      </c>
      <c r="C2" s="1038">
        <f>'JUNI 2025'!AL6</f>
        <v>10</v>
      </c>
      <c r="E2" s="968" t="s">
        <v>382</v>
      </c>
      <c r="F2" s="1038">
        <f>'JUNI 2025'!AL6</f>
        <v>10</v>
      </c>
    </row>
    <row r="3" spans="2:6" x14ac:dyDescent="0.25">
      <c r="B3" s="2411" t="s">
        <v>383</v>
      </c>
      <c r="C3" s="970" t="s">
        <v>384</v>
      </c>
      <c r="E3" s="2411" t="s">
        <v>383</v>
      </c>
      <c r="F3" s="970" t="s">
        <v>384</v>
      </c>
    </row>
    <row r="4" spans="2:6" ht="15.75" thickBot="1" x14ac:dyDescent="0.3">
      <c r="B4" s="2412"/>
      <c r="C4" s="971" t="s">
        <v>385</v>
      </c>
      <c r="E4" s="2412"/>
      <c r="F4" s="971" t="s">
        <v>385</v>
      </c>
    </row>
    <row r="5" spans="2:6" ht="15.75" thickTop="1" x14ac:dyDescent="0.25">
      <c r="B5" s="972" t="s">
        <v>386</v>
      </c>
      <c r="C5" s="973">
        <v>1648879.5518207287</v>
      </c>
      <c r="E5" s="974" t="s">
        <v>387</v>
      </c>
      <c r="F5" s="975">
        <v>4911824.2689075638</v>
      </c>
    </row>
    <row r="6" spans="2:6" x14ac:dyDescent="0.25">
      <c r="B6" s="972" t="s">
        <v>148</v>
      </c>
      <c r="C6" s="973">
        <v>2678431.3725490198</v>
      </c>
      <c r="E6" s="972" t="s">
        <v>388</v>
      </c>
      <c r="F6" s="973">
        <v>1230672.2689075631</v>
      </c>
    </row>
    <row r="7" spans="2:6" x14ac:dyDescent="0.25">
      <c r="B7" s="972" t="s">
        <v>389</v>
      </c>
      <c r="C7" s="973">
        <v>288459.3837535014</v>
      </c>
      <c r="E7" s="972" t="s">
        <v>390</v>
      </c>
      <c r="F7" s="973">
        <v>1084733.893557423</v>
      </c>
    </row>
    <row r="8" spans="2:6" x14ac:dyDescent="0.25">
      <c r="B8" s="972" t="s">
        <v>391</v>
      </c>
      <c r="C8" s="973">
        <v>404271.70868347352</v>
      </c>
      <c r="E8" s="972" t="s">
        <v>392</v>
      </c>
      <c r="F8" s="973">
        <v>833815.51820728299</v>
      </c>
    </row>
    <row r="9" spans="2:6" x14ac:dyDescent="0.25">
      <c r="B9" s="972" t="s">
        <v>393</v>
      </c>
      <c r="C9" s="973">
        <v>150891.40056022411</v>
      </c>
      <c r="E9" s="972" t="s">
        <v>394</v>
      </c>
      <c r="F9" s="973">
        <v>949299.71988795535</v>
      </c>
    </row>
    <row r="10" spans="2:6" x14ac:dyDescent="0.25">
      <c r="B10" s="972" t="s">
        <v>395</v>
      </c>
      <c r="C10" s="973">
        <v>58543.417366946771</v>
      </c>
      <c r="E10" s="972" t="s">
        <v>396</v>
      </c>
      <c r="F10" s="973">
        <v>1106022.4089635855</v>
      </c>
    </row>
    <row r="11" spans="2:6" x14ac:dyDescent="0.25">
      <c r="B11" s="972" t="s">
        <v>397</v>
      </c>
      <c r="C11" s="973">
        <v>87425.770308123247</v>
      </c>
      <c r="E11" s="972" t="s">
        <v>398</v>
      </c>
      <c r="F11" s="973">
        <v>5634698.8795518195</v>
      </c>
    </row>
    <row r="12" spans="2:6" ht="15.75" thickBot="1" x14ac:dyDescent="0.3">
      <c r="B12" s="972" t="s">
        <v>399</v>
      </c>
      <c r="C12" s="973">
        <v>254341.73669467788</v>
      </c>
      <c r="E12" s="976"/>
      <c r="F12" s="977"/>
    </row>
    <row r="13" spans="2:6" x14ac:dyDescent="0.25">
      <c r="B13" s="972" t="s">
        <v>400</v>
      </c>
      <c r="C13" s="973">
        <v>114733.89355742298</v>
      </c>
      <c r="E13" s="978" t="s">
        <v>1</v>
      </c>
      <c r="F13" s="979">
        <f>SUM(F5:F12)</f>
        <v>15751066.957983192</v>
      </c>
    </row>
    <row r="14" spans="2:6" x14ac:dyDescent="0.25">
      <c r="B14" s="972" t="s">
        <v>401</v>
      </c>
      <c r="C14" s="973">
        <v>203159.6638655462</v>
      </c>
      <c r="E14" s="980" t="s">
        <v>402</v>
      </c>
      <c r="F14" s="981">
        <f>F13*F2</f>
        <v>157510669.57983193</v>
      </c>
    </row>
    <row r="15" spans="2:6" ht="15.75" thickBot="1" x14ac:dyDescent="0.3">
      <c r="B15" s="972" t="s">
        <v>403</v>
      </c>
      <c r="C15" s="973">
        <v>580672.26890756306</v>
      </c>
      <c r="E15" s="982" t="s">
        <v>404</v>
      </c>
      <c r="F15" s="983">
        <f>F14*12</f>
        <v>1890128034.957983</v>
      </c>
    </row>
    <row r="16" spans="2:6" ht="15.75" thickBot="1" x14ac:dyDescent="0.3">
      <c r="B16" s="976" t="s">
        <v>405</v>
      </c>
      <c r="C16" s="977">
        <v>4089635.8543417375</v>
      </c>
    </row>
    <row r="17" spans="2:6" x14ac:dyDescent="0.25">
      <c r="B17" s="978" t="s">
        <v>406</v>
      </c>
      <c r="C17" s="979">
        <f>SUM(C5:C16)</f>
        <v>10559446.022408964</v>
      </c>
      <c r="E17" s="343" t="s">
        <v>409</v>
      </c>
    </row>
    <row r="18" spans="2:6" x14ac:dyDescent="0.25">
      <c r="B18" s="980" t="s">
        <v>402</v>
      </c>
      <c r="C18" s="981">
        <f>C17*C2</f>
        <v>105594460.22408964</v>
      </c>
      <c r="E18" s="343" t="s">
        <v>408</v>
      </c>
      <c r="F18" s="984">
        <f>F14+C18</f>
        <v>263105129.80392158</v>
      </c>
    </row>
    <row r="19" spans="2:6" ht="15.75" thickBot="1" x14ac:dyDescent="0.3">
      <c r="B19" s="982" t="s">
        <v>404</v>
      </c>
      <c r="C19" s="983">
        <f>C18*12</f>
        <v>1267133522.6890757</v>
      </c>
      <c r="E19" s="343" t="s">
        <v>188</v>
      </c>
      <c r="F19" s="984">
        <f>F18*12</f>
        <v>3157261557.647059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5703125" defaultRowHeight="12.75" x14ac:dyDescent="0.25"/>
  <cols>
    <col min="1" max="1" width="8.5703125" style="986"/>
    <col min="2" max="2" width="6.42578125" style="985" customWidth="1"/>
    <col min="3" max="3" width="48.42578125" style="986" customWidth="1"/>
    <col min="4" max="4" width="4.5703125" style="985" customWidth="1"/>
    <col min="5" max="5" width="23.5703125" style="986" customWidth="1"/>
    <col min="6" max="6" width="9.5703125" style="985" customWidth="1"/>
    <col min="7" max="7" width="9.42578125" style="986" customWidth="1"/>
    <col min="8" max="8" width="9.5703125" style="985" customWidth="1"/>
    <col min="9" max="9" width="16.5703125" style="986" customWidth="1"/>
    <col min="10" max="10" width="16.42578125" style="985" customWidth="1"/>
    <col min="11" max="11" width="13.5703125" style="985" customWidth="1"/>
    <col min="12" max="12" width="18.5703125" style="985" customWidth="1"/>
    <col min="13" max="16384" width="8.5703125" style="986"/>
  </cols>
  <sheetData>
    <row r="2" spans="2:12" ht="19.5" thickBot="1" x14ac:dyDescent="0.3">
      <c r="B2" s="987" t="s">
        <v>410</v>
      </c>
    </row>
    <row r="3" spans="2:12" x14ac:dyDescent="0.25">
      <c r="B3" s="2401" t="s">
        <v>359</v>
      </c>
      <c r="C3" s="2402"/>
      <c r="D3" s="889"/>
      <c r="E3" s="988"/>
      <c r="F3" s="989"/>
      <c r="G3" s="988"/>
      <c r="H3" s="989"/>
      <c r="I3" s="988"/>
      <c r="J3" s="990" t="s">
        <v>379</v>
      </c>
      <c r="K3" s="991">
        <f>'HPP REF '!N3</f>
        <v>1781.3187</v>
      </c>
    </row>
    <row r="4" spans="2:12" x14ac:dyDescent="0.25">
      <c r="B4" s="2403" t="s">
        <v>411</v>
      </c>
      <c r="C4" s="2404"/>
      <c r="D4" s="893"/>
      <c r="J4" s="992" t="s">
        <v>83</v>
      </c>
      <c r="K4" s="993">
        <f>'HPP REF '!N4</f>
        <v>10</v>
      </c>
    </row>
    <row r="5" spans="2:12" x14ac:dyDescent="0.25">
      <c r="B5" s="2403" t="s">
        <v>412</v>
      </c>
      <c r="C5" s="2404"/>
      <c r="D5" s="893"/>
      <c r="J5" s="992" t="s">
        <v>413</v>
      </c>
      <c r="K5" s="993">
        <f>K4*K3</f>
        <v>17813.187000000002</v>
      </c>
    </row>
    <row r="6" spans="2:12" ht="13.5" thickBot="1" x14ac:dyDescent="0.3">
      <c r="B6" s="964" t="s">
        <v>414</v>
      </c>
      <c r="C6" s="965"/>
      <c r="D6" s="966"/>
      <c r="E6" s="994"/>
      <c r="F6" s="995"/>
      <c r="G6" s="994"/>
      <c r="H6" s="995"/>
      <c r="I6" s="994"/>
      <c r="J6" s="996"/>
      <c r="K6" s="1183">
        <v>16000</v>
      </c>
    </row>
    <row r="7" spans="2:12" ht="13.5" thickBot="1" x14ac:dyDescent="0.3">
      <c r="B7" s="997" t="s">
        <v>99</v>
      </c>
      <c r="C7" s="2414" t="s">
        <v>285</v>
      </c>
      <c r="D7" s="2414"/>
      <c r="E7" s="2414"/>
      <c r="F7" s="2414"/>
      <c r="G7" s="2415" t="s">
        <v>219</v>
      </c>
      <c r="H7" s="2416"/>
      <c r="I7" s="997" t="s">
        <v>415</v>
      </c>
      <c r="J7" s="997" t="s">
        <v>416</v>
      </c>
      <c r="K7" s="997" t="s">
        <v>226</v>
      </c>
    </row>
    <row r="8" spans="2:12" ht="13.5" thickTop="1" x14ac:dyDescent="0.25">
      <c r="B8" s="998">
        <v>1</v>
      </c>
      <c r="C8" s="999" t="s">
        <v>371</v>
      </c>
      <c r="D8" s="1000"/>
      <c r="E8" s="1001" t="s">
        <v>417</v>
      </c>
      <c r="F8" s="1002">
        <f>(100%-0.8%-1.1*5%)*80%*K5</f>
        <v>13352.764975200002</v>
      </c>
      <c r="G8" s="1003" t="s">
        <v>286</v>
      </c>
      <c r="H8" s="1003">
        <v>90</v>
      </c>
      <c r="I8" s="1004">
        <f>H8*F8*1000</f>
        <v>1201748847.7680001</v>
      </c>
      <c r="J8" s="1005">
        <f>I8/($K$5*1000)</f>
        <v>67.464000000000013</v>
      </c>
      <c r="K8" s="1005">
        <f t="shared" ref="K8:K21" si="0">(I8/$K$6)/$K$5</f>
        <v>4.2164999999999999</v>
      </c>
      <c r="L8" s="1006"/>
    </row>
    <row r="9" spans="2:12" x14ac:dyDescent="0.25">
      <c r="B9" s="1007"/>
      <c r="C9" s="1008"/>
      <c r="D9" s="405"/>
      <c r="E9" s="1009" t="s">
        <v>418</v>
      </c>
      <c r="F9" s="1010">
        <f>(100%-0.8%-1.1*5%)*20%*K5</f>
        <v>3338.1912438000004</v>
      </c>
      <c r="G9" s="1011" t="s">
        <v>286</v>
      </c>
      <c r="H9" s="1011">
        <v>150</v>
      </c>
      <c r="I9" s="1012">
        <f>H9*F9*1000</f>
        <v>500728686.57000005</v>
      </c>
      <c r="J9" s="1013">
        <f t="shared" ref="J9:J21" si="1">I9/($K$5*1000)</f>
        <v>28.110000000000003</v>
      </c>
      <c r="K9" s="1013">
        <f t="shared" si="0"/>
        <v>1.7568750000000002</v>
      </c>
      <c r="L9" s="1006"/>
    </row>
    <row r="10" spans="2:12" x14ac:dyDescent="0.25">
      <c r="B10" s="1014"/>
      <c r="C10" s="1015"/>
      <c r="D10" s="1016"/>
      <c r="E10" s="1017" t="s">
        <v>419</v>
      </c>
      <c r="F10" s="1018">
        <f>1.1*5%*K5</f>
        <v>979.72528500000021</v>
      </c>
      <c r="G10" s="1011" t="s">
        <v>286</v>
      </c>
      <c r="H10" s="1007">
        <v>150</v>
      </c>
      <c r="I10" s="1012">
        <f>H10*F10*1000</f>
        <v>146958792.75000003</v>
      </c>
      <c r="J10" s="1013">
        <f t="shared" si="1"/>
        <v>8.2500000000000018</v>
      </c>
      <c r="K10" s="1013">
        <f t="shared" si="0"/>
        <v>0.515625</v>
      </c>
      <c r="L10" s="1006"/>
    </row>
    <row r="11" spans="2:12" x14ac:dyDescent="0.25">
      <c r="B11" s="1007">
        <v>2</v>
      </c>
      <c r="C11" s="1019" t="s">
        <v>372</v>
      </c>
      <c r="D11" s="1020"/>
      <c r="E11" s="1017" t="s">
        <v>420</v>
      </c>
      <c r="F11" s="1018">
        <v>1</v>
      </c>
      <c r="G11" s="1018" t="s">
        <v>286</v>
      </c>
      <c r="H11" s="1007">
        <v>77</v>
      </c>
      <c r="I11" s="1012">
        <f>H11*8000*F11*1000</f>
        <v>616000000</v>
      </c>
      <c r="J11" s="1013">
        <f t="shared" si="1"/>
        <v>34.581122401061641</v>
      </c>
      <c r="K11" s="1013">
        <f t="shared" si="0"/>
        <v>2.1613201500663521</v>
      </c>
      <c r="L11" s="1006"/>
    </row>
    <row r="12" spans="2:12" x14ac:dyDescent="0.25">
      <c r="B12" s="1007"/>
      <c r="C12" s="1015"/>
      <c r="D12" s="1016"/>
      <c r="E12" s="1017" t="s">
        <v>421</v>
      </c>
      <c r="F12" s="1007">
        <v>2</v>
      </c>
      <c r="G12" s="1018" t="s">
        <v>286</v>
      </c>
      <c r="H12" s="1007">
        <v>79</v>
      </c>
      <c r="I12" s="1012">
        <f>H12*5000*F12*1000</f>
        <v>790000000</v>
      </c>
      <c r="J12" s="1013">
        <f t="shared" si="1"/>
        <v>44.349166715647236</v>
      </c>
      <c r="K12" s="1013">
        <f t="shared" si="0"/>
        <v>2.7718229197279518</v>
      </c>
      <c r="L12" s="1006"/>
    </row>
    <row r="13" spans="2:12" x14ac:dyDescent="0.25">
      <c r="B13" s="1007"/>
      <c r="C13" s="1015"/>
      <c r="D13" s="1016"/>
      <c r="E13" s="1017" t="s">
        <v>422</v>
      </c>
      <c r="F13" s="1007">
        <v>1</v>
      </c>
      <c r="G13" s="1018" t="s">
        <v>286</v>
      </c>
      <c r="H13" s="1007">
        <v>77</v>
      </c>
      <c r="I13" s="1012">
        <f>H13*3000*F13*1000</f>
        <v>231000000</v>
      </c>
      <c r="J13" s="1013">
        <f t="shared" si="1"/>
        <v>12.967920900398115</v>
      </c>
      <c r="K13" s="1013">
        <f t="shared" si="0"/>
        <v>0.81049505627488216</v>
      </c>
      <c r="L13" s="1006"/>
    </row>
    <row r="14" spans="2:12" x14ac:dyDescent="0.25">
      <c r="B14" s="1007"/>
      <c r="C14" s="1015"/>
      <c r="D14" s="1016"/>
      <c r="E14" s="1017" t="s">
        <v>423</v>
      </c>
      <c r="F14" s="1007">
        <v>1</v>
      </c>
      <c r="G14" s="1018" t="s">
        <v>286</v>
      </c>
      <c r="H14" s="1007">
        <v>83</v>
      </c>
      <c r="I14" s="1012">
        <f>H14*3000*F14*1000</f>
        <v>249000000</v>
      </c>
      <c r="J14" s="1013">
        <f t="shared" si="1"/>
        <v>13.97840824328628</v>
      </c>
      <c r="K14" s="1013">
        <f t="shared" si="0"/>
        <v>0.87365051520539239</v>
      </c>
      <c r="L14" s="1006"/>
    </row>
    <row r="15" spans="2:12" x14ac:dyDescent="0.25">
      <c r="B15" s="1007">
        <v>3</v>
      </c>
      <c r="C15" s="1015" t="s">
        <v>424</v>
      </c>
      <c r="D15" s="1016">
        <v>0</v>
      </c>
      <c r="E15" s="1017" t="s">
        <v>425</v>
      </c>
      <c r="F15" s="1012">
        <f>F8-(8000*D15)</f>
        <v>13352.764975200002</v>
      </c>
      <c r="G15" s="1018" t="s">
        <v>286</v>
      </c>
      <c r="H15" s="1021">
        <v>43</v>
      </c>
      <c r="I15" s="1012">
        <f>H15*F15*1000</f>
        <v>574168893.93360007</v>
      </c>
      <c r="J15" s="1013">
        <f>I15/($K$5*1000)</f>
        <v>32.232800000000005</v>
      </c>
      <c r="K15" s="1013">
        <f>(I15/$K$6)/$K$5</f>
        <v>2.0145499999999998</v>
      </c>
      <c r="L15" s="1006"/>
    </row>
    <row r="16" spans="2:12" x14ac:dyDescent="0.25">
      <c r="B16" s="1007"/>
      <c r="C16" s="1015"/>
      <c r="D16" s="1016">
        <v>0</v>
      </c>
      <c r="E16" s="1017" t="s">
        <v>426</v>
      </c>
      <c r="F16" s="1012">
        <f>F9-(10000*D16)</f>
        <v>3338.1912438000004</v>
      </c>
      <c r="G16" s="1018" t="s">
        <v>286</v>
      </c>
      <c r="H16" s="1021">
        <v>43</v>
      </c>
      <c r="I16" s="1012">
        <f>H16*F16*1000</f>
        <v>143542223.48340002</v>
      </c>
      <c r="J16" s="1013">
        <f>I16/($K$5*1000)</f>
        <v>8.0582000000000011</v>
      </c>
      <c r="K16" s="1013">
        <f>(I16/$K$6)/$K$5</f>
        <v>0.50363749999999996</v>
      </c>
      <c r="L16" s="1006"/>
    </row>
    <row r="17" spans="2:12" x14ac:dyDescent="0.25">
      <c r="B17" s="1007"/>
      <c r="C17" s="1015"/>
      <c r="D17" s="1016">
        <v>0</v>
      </c>
      <c r="E17" s="1017" t="s">
        <v>427</v>
      </c>
      <c r="F17" s="1012">
        <f>F10-(3000*D17)</f>
        <v>979.72528500000021</v>
      </c>
      <c r="G17" s="1018" t="s">
        <v>286</v>
      </c>
      <c r="H17" s="1021">
        <v>43</v>
      </c>
      <c r="I17" s="1012">
        <f>H17*F17*1000</f>
        <v>42128187.25500001</v>
      </c>
      <c r="J17" s="1013">
        <f>I17/($K$5*1000)</f>
        <v>2.3650000000000007</v>
      </c>
      <c r="K17" s="1013">
        <f>(I17/$K$6)/$K$5</f>
        <v>0.14781250000000001</v>
      </c>
      <c r="L17" s="1006"/>
    </row>
    <row r="18" spans="2:12" x14ac:dyDescent="0.25">
      <c r="B18" s="1007">
        <v>3</v>
      </c>
      <c r="C18" s="1019" t="s">
        <v>428</v>
      </c>
      <c r="D18" s="1020"/>
      <c r="E18" s="1017" t="s">
        <v>429</v>
      </c>
      <c r="F18" s="1018">
        <f>SUM(F8:F10)</f>
        <v>17670.681504000004</v>
      </c>
      <c r="G18" s="1018" t="s">
        <v>286</v>
      </c>
      <c r="H18" s="1007">
        <v>22</v>
      </c>
      <c r="I18" s="1012">
        <f>H18*F18*1000</f>
        <v>388754993.08800012</v>
      </c>
      <c r="J18" s="1013">
        <f t="shared" si="1"/>
        <v>21.824000000000005</v>
      </c>
      <c r="K18" s="1013">
        <f t="shared" si="0"/>
        <v>1.3640000000000003</v>
      </c>
      <c r="L18" s="1006"/>
    </row>
    <row r="19" spans="2:12" x14ac:dyDescent="0.25">
      <c r="B19" s="1007">
        <f t="shared" ref="B19:B24" si="2">B18+1</f>
        <v>4</v>
      </c>
      <c r="C19" s="1019" t="s">
        <v>430</v>
      </c>
      <c r="D19" s="1020"/>
      <c r="E19" s="1017" t="s">
        <v>429</v>
      </c>
      <c r="F19" s="1012">
        <f>F18</f>
        <v>17670.681504000004</v>
      </c>
      <c r="G19" s="1018" t="s">
        <v>286</v>
      </c>
      <c r="H19" s="1007">
        <v>26</v>
      </c>
      <c r="I19" s="1012">
        <f>H19*F18*1000</f>
        <v>459437719.10400009</v>
      </c>
      <c r="J19" s="1013">
        <f t="shared" si="1"/>
        <v>25.792000000000005</v>
      </c>
      <c r="K19" s="1013">
        <f t="shared" si="0"/>
        <v>1.6120000000000001</v>
      </c>
    </row>
    <row r="20" spans="2:12" x14ac:dyDescent="0.25">
      <c r="B20" s="1007">
        <f t="shared" si="2"/>
        <v>5</v>
      </c>
      <c r="C20" s="1019" t="s">
        <v>431</v>
      </c>
      <c r="D20" s="1020"/>
      <c r="E20" s="1017" t="s">
        <v>429</v>
      </c>
      <c r="F20" s="1018">
        <f>F18</f>
        <v>17670.681504000004</v>
      </c>
      <c r="G20" s="1018" t="s">
        <v>286</v>
      </c>
      <c r="H20" s="1007">
        <v>3</v>
      </c>
      <c r="I20" s="1012">
        <f>H20*F20*1000</f>
        <v>53012044.512000009</v>
      </c>
      <c r="J20" s="1013">
        <f t="shared" si="1"/>
        <v>2.9760000000000004</v>
      </c>
      <c r="K20" s="1013">
        <f t="shared" si="0"/>
        <v>0.186</v>
      </c>
    </row>
    <row r="21" spans="2:12" x14ac:dyDescent="0.25">
      <c r="B21" s="1007">
        <f t="shared" si="2"/>
        <v>6</v>
      </c>
      <c r="C21" s="1019" t="s">
        <v>432</v>
      </c>
      <c r="D21" s="1020"/>
      <c r="E21" s="1017" t="s">
        <v>429</v>
      </c>
      <c r="F21" s="1018">
        <f>F20</f>
        <v>17670.681504000004</v>
      </c>
      <c r="G21" s="1018" t="s">
        <v>286</v>
      </c>
      <c r="H21" s="1007">
        <v>3</v>
      </c>
      <c r="I21" s="1012">
        <f>H21*F21*1000</f>
        <v>53012044.512000009</v>
      </c>
      <c r="J21" s="1013">
        <f t="shared" si="1"/>
        <v>2.9760000000000004</v>
      </c>
      <c r="K21" s="1013">
        <f t="shared" si="0"/>
        <v>0.186</v>
      </c>
    </row>
    <row r="22" spans="2:12" x14ac:dyDescent="0.25">
      <c r="B22" s="1007">
        <f t="shared" si="2"/>
        <v>7</v>
      </c>
      <c r="C22" s="1019" t="s">
        <v>433</v>
      </c>
      <c r="D22" s="1020"/>
      <c r="E22" s="1014"/>
      <c r="F22" s="1014"/>
      <c r="G22" s="1014"/>
      <c r="H22" s="1014"/>
      <c r="I22" s="1012"/>
      <c r="J22" s="1013"/>
      <c r="K22" s="1013"/>
    </row>
    <row r="23" spans="2:12" x14ac:dyDescent="0.25">
      <c r="B23" s="1007">
        <f t="shared" si="2"/>
        <v>8</v>
      </c>
      <c r="C23" s="1019" t="s">
        <v>434</v>
      </c>
      <c r="D23" s="1020"/>
      <c r="E23" s="1014"/>
      <c r="F23" s="1014"/>
      <c r="G23" s="1014"/>
      <c r="H23" s="1007"/>
      <c r="I23" s="1012"/>
      <c r="J23" s="1013"/>
      <c r="K23" s="1013"/>
    </row>
    <row r="24" spans="2:12" ht="13.5" thickBot="1" x14ac:dyDescent="0.3">
      <c r="B24" s="1022">
        <f t="shared" si="2"/>
        <v>9</v>
      </c>
      <c r="C24" s="1023" t="s">
        <v>435</v>
      </c>
      <c r="D24" s="1024"/>
      <c r="E24" s="1025"/>
      <c r="F24" s="1026"/>
      <c r="G24" s="1027"/>
      <c r="H24" s="1022"/>
      <c r="I24" s="1028"/>
      <c r="J24" s="1029"/>
      <c r="K24" s="1022"/>
    </row>
    <row r="25" spans="2:12" ht="14.25" thickTop="1" thickBot="1" x14ac:dyDescent="0.3">
      <c r="B25" s="2413" t="s">
        <v>436</v>
      </c>
      <c r="C25" s="2413"/>
      <c r="D25" s="2413"/>
      <c r="E25" s="2413"/>
      <c r="F25" s="2413"/>
      <c r="G25" s="2413"/>
      <c r="H25" s="2413"/>
      <c r="I25" s="1030">
        <f>SUM(I8:I24)</f>
        <v>5449492432.9760017</v>
      </c>
      <c r="J25" s="1031">
        <f>SUM(J8:J24)</f>
        <v>305.92461826039334</v>
      </c>
      <c r="K25" s="1031">
        <f>SUM(K8:K24)</f>
        <v>19.120288641274584</v>
      </c>
      <c r="L25" s="1032"/>
    </row>
    <row r="26" spans="2:12" x14ac:dyDescent="0.25">
      <c r="C26" s="930"/>
      <c r="D26" s="1033"/>
      <c r="E26" s="930"/>
      <c r="F26" s="1033"/>
      <c r="G26" s="1034"/>
      <c r="J26" s="1033"/>
    </row>
    <row r="27" spans="2:12" x14ac:dyDescent="0.25">
      <c r="C27" s="930"/>
      <c r="D27" s="1033"/>
      <c r="E27" s="930"/>
      <c r="F27" s="1033"/>
      <c r="G27" s="1034"/>
      <c r="J27" s="1033"/>
    </row>
    <row r="28" spans="2:12" x14ac:dyDescent="0.25">
      <c r="C28" s="930"/>
      <c r="D28" s="1033"/>
      <c r="E28" s="930"/>
      <c r="F28" s="1035"/>
      <c r="G28" s="1036"/>
      <c r="J28" s="1033"/>
    </row>
    <row r="29" spans="2:12" x14ac:dyDescent="0.25">
      <c r="C29" s="1037"/>
      <c r="D29" s="1035"/>
      <c r="E29" s="1037"/>
      <c r="F29" s="1033"/>
      <c r="G29" s="1034"/>
      <c r="J29" s="1033"/>
    </row>
    <row r="30" spans="2:12" x14ac:dyDescent="0.25">
      <c r="E30" s="930"/>
      <c r="F30" s="1033"/>
      <c r="G30" s="1034"/>
      <c r="J30" s="1033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5703125" defaultRowHeight="12.75" x14ac:dyDescent="0.25"/>
  <cols>
    <col min="1" max="1" width="8.5703125" style="986"/>
    <col min="2" max="2" width="5.5703125" style="985" customWidth="1"/>
    <col min="3" max="3" width="64.42578125" style="986" customWidth="1"/>
    <col min="4" max="4" width="15.5703125" style="986" customWidth="1"/>
    <col min="5" max="5" width="15" style="986" customWidth="1"/>
    <col min="6" max="6" width="15.42578125" style="986" customWidth="1"/>
    <col min="7" max="7" width="14.5703125" style="986" customWidth="1"/>
    <col min="8" max="8" width="11.42578125" style="986" customWidth="1"/>
    <col min="9" max="9" width="12.42578125" style="986" customWidth="1"/>
    <col min="10" max="16384" width="8.5703125" style="986"/>
  </cols>
  <sheetData>
    <row r="1" spans="2:9" ht="5.0999999999999996" customHeight="1" x14ac:dyDescent="0.25"/>
    <row r="2" spans="2:9" ht="26.85" customHeight="1" thickBot="1" x14ac:dyDescent="0.3">
      <c r="B2" s="987" t="s">
        <v>437</v>
      </c>
    </row>
    <row r="3" spans="2:9" ht="14.85" customHeight="1" x14ac:dyDescent="0.25">
      <c r="B3" s="2401" t="s">
        <v>359</v>
      </c>
      <c r="C3" s="2402"/>
      <c r="D3" s="988"/>
      <c r="E3" s="988"/>
      <c r="F3" s="988"/>
      <c r="G3" s="988"/>
      <c r="H3" s="990" t="s">
        <v>379</v>
      </c>
      <c r="I3" s="991">
        <f>'HPP REF '!N3</f>
        <v>1781.3187</v>
      </c>
    </row>
    <row r="4" spans="2:9" ht="14.85" customHeight="1" x14ac:dyDescent="0.25">
      <c r="B4" s="2403" t="s">
        <v>411</v>
      </c>
      <c r="C4" s="2404"/>
      <c r="H4" s="992" t="s">
        <v>83</v>
      </c>
      <c r="I4" s="993">
        <f>'SUMMARY HPP '!I4</f>
        <v>10</v>
      </c>
    </row>
    <row r="5" spans="2:9" ht="14.85" customHeight="1" x14ac:dyDescent="0.25">
      <c r="B5" s="2403" t="s">
        <v>412</v>
      </c>
      <c r="C5" s="2404"/>
      <c r="H5" s="992" t="s">
        <v>413</v>
      </c>
      <c r="I5" s="993">
        <f>I4*I3</f>
        <v>17813.187000000002</v>
      </c>
    </row>
    <row r="6" spans="2:9" ht="14.85" customHeight="1" thickBot="1" x14ac:dyDescent="0.3">
      <c r="B6" s="964" t="s">
        <v>414</v>
      </c>
      <c r="C6" s="965"/>
      <c r="D6" s="994"/>
      <c r="E6" s="994"/>
      <c r="F6" s="994"/>
      <c r="G6" s="994"/>
      <c r="H6" s="996"/>
      <c r="I6" s="1183">
        <v>16000</v>
      </c>
    </row>
    <row r="7" spans="2:9" ht="15.6" customHeight="1" x14ac:dyDescent="0.25">
      <c r="B7" s="2407" t="s">
        <v>99</v>
      </c>
      <c r="C7" s="2407" t="s">
        <v>285</v>
      </c>
      <c r="D7" s="2417" t="s">
        <v>438</v>
      </c>
      <c r="E7" s="2417"/>
      <c r="F7" s="2417" t="s">
        <v>439</v>
      </c>
      <c r="G7" s="2417"/>
      <c r="H7" s="2417"/>
      <c r="I7" s="2417"/>
    </row>
    <row r="8" spans="2:9" ht="15" customHeight="1" thickBot="1" x14ac:dyDescent="0.3">
      <c r="B8" s="2408"/>
      <c r="C8" s="2408"/>
      <c r="D8" s="1040" t="s">
        <v>440</v>
      </c>
      <c r="E8" s="1040" t="s">
        <v>441</v>
      </c>
      <c r="F8" s="1040" t="s">
        <v>440</v>
      </c>
      <c r="G8" s="1040" t="s">
        <v>441</v>
      </c>
      <c r="H8" s="1041" t="s">
        <v>416</v>
      </c>
      <c r="I8" s="1041" t="s">
        <v>226</v>
      </c>
    </row>
    <row r="9" spans="2:9" ht="13.5" thickTop="1" x14ac:dyDescent="0.25">
      <c r="B9" s="1042">
        <v>1</v>
      </c>
      <c r="C9" s="1043" t="s">
        <v>442</v>
      </c>
      <c r="D9" s="1004">
        <v>305458258</v>
      </c>
      <c r="E9" s="1004">
        <f>IFERROR(D9/12,0)</f>
        <v>25454854.833333332</v>
      </c>
      <c r="F9" s="1044">
        <f>G9*12</f>
        <v>366549909.59999996</v>
      </c>
      <c r="G9" s="1044">
        <v>30545825.799999997</v>
      </c>
      <c r="H9" s="1005">
        <f>G9/($I$5*1000)</f>
        <v>1.7147872416092638</v>
      </c>
      <c r="I9" s="1005">
        <f>(G9/$I$6)/$I$5</f>
        <v>0.10717420260057899</v>
      </c>
    </row>
    <row r="10" spans="2:9" x14ac:dyDescent="0.25">
      <c r="B10" s="1007">
        <f>B9+1</f>
        <v>2</v>
      </c>
      <c r="C10" s="1014" t="s">
        <v>443</v>
      </c>
      <c r="D10" s="1012">
        <v>2628729528.8000002</v>
      </c>
      <c r="E10" s="1012">
        <f t="shared" ref="E10:E50" si="0">IFERROR(D10/12,0)</f>
        <v>219060794.06666669</v>
      </c>
      <c r="F10" s="1044">
        <f>G10*12</f>
        <v>3548784863.8800001</v>
      </c>
      <c r="G10" s="1044">
        <v>295732071.99000001</v>
      </c>
      <c r="H10" s="1005">
        <f t="shared" ref="H10:H50" si="1">G10/($I$5*1000)</f>
        <v>16.601861979554808</v>
      </c>
      <c r="I10" s="1005">
        <f t="shared" ref="I10:I50" si="2">(G10/$I$6)/$I$5</f>
        <v>1.0376163737221755</v>
      </c>
    </row>
    <row r="11" spans="2:9" x14ac:dyDescent="0.25">
      <c r="B11" s="1007">
        <f t="shared" ref="B11:B50" si="3">B10+1</f>
        <v>3</v>
      </c>
      <c r="C11" s="1014" t="s">
        <v>444</v>
      </c>
      <c r="D11" s="1012">
        <v>720175678</v>
      </c>
      <c r="E11" s="1012">
        <f t="shared" si="0"/>
        <v>60014639.833333336</v>
      </c>
      <c r="F11" s="1044">
        <f t="shared" ref="F11:F49" si="4">G11*12</f>
        <v>756184461.9000001</v>
      </c>
      <c r="G11" s="1044">
        <v>63015371.825000003</v>
      </c>
      <c r="H11" s="1005">
        <f t="shared" si="1"/>
        <v>3.5375686464752212</v>
      </c>
      <c r="I11" s="1005">
        <f t="shared" si="2"/>
        <v>0.2210980404047013</v>
      </c>
    </row>
    <row r="12" spans="2:9" x14ac:dyDescent="0.25">
      <c r="B12" s="1007">
        <f t="shared" si="3"/>
        <v>4</v>
      </c>
      <c r="C12" s="1014" t="s">
        <v>445</v>
      </c>
      <c r="D12" s="1012">
        <v>2428347903</v>
      </c>
      <c r="E12" s="1012">
        <f t="shared" si="0"/>
        <v>202362325.25</v>
      </c>
      <c r="F12" s="1044">
        <f t="shared" si="4"/>
        <v>2220000000</v>
      </c>
      <c r="G12" s="1044">
        <v>185000000</v>
      </c>
      <c r="H12" s="1005">
        <f t="shared" si="1"/>
        <v>10.385564357461694</v>
      </c>
      <c r="I12" s="1005">
        <f t="shared" si="2"/>
        <v>0.64909777234135579</v>
      </c>
    </row>
    <row r="13" spans="2:9" x14ac:dyDescent="0.25">
      <c r="B13" s="1007">
        <f t="shared" si="3"/>
        <v>5</v>
      </c>
      <c r="C13" s="1014" t="s">
        <v>446</v>
      </c>
      <c r="D13" s="1012">
        <v>110862850</v>
      </c>
      <c r="E13" s="1012">
        <f t="shared" si="0"/>
        <v>9238570.833333334</v>
      </c>
      <c r="F13" s="1044">
        <f t="shared" si="4"/>
        <v>110862850</v>
      </c>
      <c r="G13" s="1044">
        <v>9238570.833333334</v>
      </c>
      <c r="H13" s="1005">
        <f t="shared" si="1"/>
        <v>0.51863660519217214</v>
      </c>
      <c r="I13" s="1005">
        <f t="shared" si="2"/>
        <v>3.2414787824510759E-2</v>
      </c>
    </row>
    <row r="14" spans="2:9" x14ac:dyDescent="0.25">
      <c r="B14" s="1007">
        <f t="shared" si="3"/>
        <v>6</v>
      </c>
      <c r="C14" s="1014" t="s">
        <v>447</v>
      </c>
      <c r="D14" s="1012">
        <v>126990400</v>
      </c>
      <c r="E14" s="1012">
        <f t="shared" si="0"/>
        <v>10582533.333333334</v>
      </c>
      <c r="F14" s="1044">
        <f t="shared" si="4"/>
        <v>110000400</v>
      </c>
      <c r="G14" s="1044">
        <v>9166700</v>
      </c>
      <c r="H14" s="1005">
        <f t="shared" si="1"/>
        <v>0.51460190700294117</v>
      </c>
      <c r="I14" s="1005">
        <f t="shared" si="2"/>
        <v>3.2162619187683823E-2</v>
      </c>
    </row>
    <row r="15" spans="2:9" x14ac:dyDescent="0.25">
      <c r="B15" s="1007">
        <f t="shared" si="3"/>
        <v>7</v>
      </c>
      <c r="C15" s="1014" t="s">
        <v>448</v>
      </c>
      <c r="D15" s="1012">
        <v>108868060</v>
      </c>
      <c r="E15" s="1012">
        <f t="shared" si="0"/>
        <v>9072338.333333334</v>
      </c>
      <c r="F15" s="1044">
        <f t="shared" si="4"/>
        <v>100000000</v>
      </c>
      <c r="G15" s="1044">
        <v>8333333.333333333</v>
      </c>
      <c r="H15" s="1005">
        <f t="shared" si="1"/>
        <v>0.46781821430007631</v>
      </c>
      <c r="I15" s="1005">
        <f t="shared" si="2"/>
        <v>2.9238638393754762E-2</v>
      </c>
    </row>
    <row r="16" spans="2:9" x14ac:dyDescent="0.25">
      <c r="B16" s="1007">
        <f t="shared" si="3"/>
        <v>8</v>
      </c>
      <c r="C16" s="1014" t="s">
        <v>449</v>
      </c>
      <c r="D16" s="1012">
        <v>203000</v>
      </c>
      <c r="E16" s="1012">
        <f t="shared" si="0"/>
        <v>16916.666666666668</v>
      </c>
      <c r="F16" s="1044">
        <f t="shared" si="4"/>
        <v>0</v>
      </c>
      <c r="G16" s="1044">
        <v>0</v>
      </c>
      <c r="H16" s="1005">
        <f t="shared" si="1"/>
        <v>0</v>
      </c>
      <c r="I16" s="1005">
        <f t="shared" si="2"/>
        <v>0</v>
      </c>
    </row>
    <row r="17" spans="2:9" x14ac:dyDescent="0.25">
      <c r="B17" s="1007">
        <f t="shared" si="3"/>
        <v>9</v>
      </c>
      <c r="C17" s="1014" t="s">
        <v>450</v>
      </c>
      <c r="D17" s="1012">
        <v>108952486</v>
      </c>
      <c r="E17" s="1012">
        <f t="shared" si="0"/>
        <v>9079373.833333334</v>
      </c>
      <c r="F17" s="1044">
        <f t="shared" si="4"/>
        <v>114400110.30000001</v>
      </c>
      <c r="G17" s="1044">
        <v>9533342.5250000004</v>
      </c>
      <c r="H17" s="1005">
        <f t="shared" si="1"/>
        <v>0.53518455316277769</v>
      </c>
      <c r="I17" s="1005">
        <f t="shared" si="2"/>
        <v>3.3449034572673599E-2</v>
      </c>
    </row>
    <row r="18" spans="2:9" x14ac:dyDescent="0.25">
      <c r="B18" s="1007">
        <f t="shared" si="3"/>
        <v>10</v>
      </c>
      <c r="C18" s="1014" t="s">
        <v>451</v>
      </c>
      <c r="D18" s="1012">
        <v>32369030</v>
      </c>
      <c r="E18" s="1012">
        <f t="shared" si="0"/>
        <v>2697419.1666666665</v>
      </c>
      <c r="F18" s="1044">
        <f t="shared" si="4"/>
        <v>33987481.5</v>
      </c>
      <c r="G18" s="1044">
        <v>2832290.125</v>
      </c>
      <c r="H18" s="1005">
        <f t="shared" si="1"/>
        <v>0.1589996290388688</v>
      </c>
      <c r="I18" s="1005">
        <f t="shared" si="2"/>
        <v>9.9374768149292983E-3</v>
      </c>
    </row>
    <row r="19" spans="2:9" x14ac:dyDescent="0.25">
      <c r="B19" s="1007">
        <f t="shared" si="3"/>
        <v>11</v>
      </c>
      <c r="C19" s="1014" t="s">
        <v>452</v>
      </c>
      <c r="D19" s="1012">
        <v>179265600</v>
      </c>
      <c r="E19" s="1012">
        <f t="shared" si="0"/>
        <v>14938800</v>
      </c>
      <c r="F19" s="1044">
        <f t="shared" si="4"/>
        <v>188228880</v>
      </c>
      <c r="G19" s="1044">
        <v>15685740</v>
      </c>
      <c r="H19" s="1005">
        <f t="shared" si="1"/>
        <v>0.88056898521303351</v>
      </c>
      <c r="I19" s="1005">
        <f t="shared" si="2"/>
        <v>5.5035561575814587E-2</v>
      </c>
    </row>
    <row r="20" spans="2:9" x14ac:dyDescent="0.25">
      <c r="B20" s="1007">
        <f t="shared" si="3"/>
        <v>12</v>
      </c>
      <c r="C20" s="1014" t="s">
        <v>453</v>
      </c>
      <c r="D20" s="1012">
        <v>253700695</v>
      </c>
      <c r="E20" s="1012">
        <f t="shared" si="0"/>
        <v>21141724.583333332</v>
      </c>
      <c r="F20" s="1044">
        <f t="shared" si="4"/>
        <v>266385729.75</v>
      </c>
      <c r="G20" s="1044">
        <v>22198810.8125</v>
      </c>
      <c r="H20" s="1005">
        <f t="shared" si="1"/>
        <v>1.2462009640666771</v>
      </c>
      <c r="I20" s="1005">
        <f t="shared" si="2"/>
        <v>7.7887560254167307E-2</v>
      </c>
    </row>
    <row r="21" spans="2:9" x14ac:dyDescent="0.25">
      <c r="B21" s="1007">
        <f t="shared" si="3"/>
        <v>13</v>
      </c>
      <c r="C21" s="1014" t="s">
        <v>454</v>
      </c>
      <c r="D21" s="1012">
        <v>1859843066</v>
      </c>
      <c r="E21" s="1012">
        <f t="shared" si="0"/>
        <v>154986922.16666666</v>
      </c>
      <c r="F21" s="1044">
        <f t="shared" si="4"/>
        <v>335473201</v>
      </c>
      <c r="G21" s="1044">
        <v>27956100.083333332</v>
      </c>
      <c r="H21" s="1005">
        <f t="shared" si="1"/>
        <v>1.5694047383735057</v>
      </c>
      <c r="I21" s="1005">
        <f t="shared" si="2"/>
        <v>9.8087796148344092E-2</v>
      </c>
    </row>
    <row r="22" spans="2:9" x14ac:dyDescent="0.25">
      <c r="B22" s="1007">
        <f t="shared" si="3"/>
        <v>14</v>
      </c>
      <c r="C22" s="1014" t="s">
        <v>455</v>
      </c>
      <c r="D22" s="1012">
        <v>694460474</v>
      </c>
      <c r="E22" s="1012">
        <f t="shared" si="0"/>
        <v>57871706.166666664</v>
      </c>
      <c r="F22" s="1044">
        <f t="shared" si="4"/>
        <v>268391053.16000003</v>
      </c>
      <c r="G22" s="1044">
        <v>22365921.096666668</v>
      </c>
      <c r="H22" s="1005">
        <f t="shared" si="1"/>
        <v>1.2555822322342807</v>
      </c>
      <c r="I22" s="1005">
        <f t="shared" si="2"/>
        <v>7.8473889514642528E-2</v>
      </c>
    </row>
    <row r="23" spans="2:9" x14ac:dyDescent="0.25">
      <c r="B23" s="1007">
        <f t="shared" si="3"/>
        <v>15</v>
      </c>
      <c r="C23" s="1014" t="s">
        <v>456</v>
      </c>
      <c r="D23" s="1012"/>
      <c r="E23" s="1012">
        <f t="shared" si="0"/>
        <v>0</v>
      </c>
      <c r="F23" s="1044">
        <f t="shared" si="4"/>
        <v>60000000</v>
      </c>
      <c r="G23" s="1044">
        <v>5000000</v>
      </c>
      <c r="H23" s="1005">
        <f t="shared" si="1"/>
        <v>0.2806909285800458</v>
      </c>
      <c r="I23" s="1005">
        <f t="shared" si="2"/>
        <v>1.7543183036252859E-2</v>
      </c>
    </row>
    <row r="24" spans="2:9" x14ac:dyDescent="0.25">
      <c r="B24" s="1007">
        <f t="shared" si="3"/>
        <v>16</v>
      </c>
      <c r="C24" s="1014" t="s">
        <v>457</v>
      </c>
      <c r="D24" s="1012">
        <v>659276883</v>
      </c>
      <c r="E24" s="1012">
        <f t="shared" si="0"/>
        <v>54939740.25</v>
      </c>
      <c r="F24" s="1044">
        <f t="shared" si="4"/>
        <v>1518332400</v>
      </c>
      <c r="G24" s="1044">
        <v>126527700</v>
      </c>
      <c r="H24" s="1005">
        <f t="shared" si="1"/>
        <v>7.1030355208194917</v>
      </c>
      <c r="I24" s="1005">
        <f t="shared" si="2"/>
        <v>0.44393972005121818</v>
      </c>
    </row>
    <row r="25" spans="2:9" x14ac:dyDescent="0.25">
      <c r="B25" s="1007">
        <f t="shared" si="3"/>
        <v>17</v>
      </c>
      <c r="C25" s="1014" t="s">
        <v>458</v>
      </c>
      <c r="D25" s="1012"/>
      <c r="E25" s="1012">
        <f t="shared" si="0"/>
        <v>0</v>
      </c>
      <c r="F25" s="1044">
        <f t="shared" si="4"/>
        <v>197000000</v>
      </c>
      <c r="G25" s="1044">
        <v>16416666.666666666</v>
      </c>
      <c r="H25" s="1005">
        <f t="shared" si="1"/>
        <v>0.92160188217115024</v>
      </c>
      <c r="I25" s="1005">
        <f t="shared" si="2"/>
        <v>5.7600117635696883E-2</v>
      </c>
    </row>
    <row r="26" spans="2:9" x14ac:dyDescent="0.25">
      <c r="B26" s="1007">
        <f t="shared" si="3"/>
        <v>18</v>
      </c>
      <c r="C26" s="1014" t="s">
        <v>459</v>
      </c>
      <c r="D26" s="1012">
        <v>62716328</v>
      </c>
      <c r="E26" s="1012">
        <f t="shared" si="0"/>
        <v>5226360.666666667</v>
      </c>
      <c r="F26" s="1044">
        <f t="shared" si="4"/>
        <v>80400000</v>
      </c>
      <c r="G26" s="1044">
        <v>6700000</v>
      </c>
      <c r="H26" s="1005">
        <f t="shared" si="1"/>
        <v>0.37612584429726137</v>
      </c>
      <c r="I26" s="1005">
        <f t="shared" si="2"/>
        <v>2.3507865268578832E-2</v>
      </c>
    </row>
    <row r="27" spans="2:9" x14ac:dyDescent="0.25">
      <c r="B27" s="1007">
        <f t="shared" si="3"/>
        <v>19</v>
      </c>
      <c r="C27" s="1014" t="s">
        <v>460</v>
      </c>
      <c r="D27" s="1012">
        <v>1756590</v>
      </c>
      <c r="E27" s="1012">
        <f t="shared" si="0"/>
        <v>146382.5</v>
      </c>
      <c r="F27" s="1044">
        <f t="shared" si="4"/>
        <v>6840000</v>
      </c>
      <c r="G27" s="1044">
        <v>570000</v>
      </c>
      <c r="H27" s="1005">
        <f t="shared" si="1"/>
        <v>3.1998765858125222E-2</v>
      </c>
      <c r="I27" s="1005">
        <f t="shared" si="2"/>
        <v>1.9999228661328259E-3</v>
      </c>
    </row>
    <row r="28" spans="2:9" x14ac:dyDescent="0.25">
      <c r="B28" s="1007">
        <f t="shared" si="3"/>
        <v>20</v>
      </c>
      <c r="C28" s="1014" t="s">
        <v>461</v>
      </c>
      <c r="D28" s="1012">
        <v>1193620819.1700001</v>
      </c>
      <c r="E28" s="1012">
        <f t="shared" si="0"/>
        <v>99468401.597500011</v>
      </c>
      <c r="F28" s="1044">
        <f t="shared" si="4"/>
        <v>1193620819.1700001</v>
      </c>
      <c r="G28" s="1044">
        <v>99468401.597500011</v>
      </c>
      <c r="H28" s="1005">
        <f t="shared" si="1"/>
        <v>5.5839756017550375</v>
      </c>
      <c r="I28" s="1005">
        <f t="shared" si="2"/>
        <v>0.34899847510968979</v>
      </c>
    </row>
    <row r="29" spans="2:9" x14ac:dyDescent="0.25">
      <c r="B29" s="1007">
        <f t="shared" si="3"/>
        <v>21</v>
      </c>
      <c r="C29" s="1014" t="s">
        <v>462</v>
      </c>
      <c r="D29" s="1012">
        <v>488020500</v>
      </c>
      <c r="E29" s="1012">
        <f t="shared" si="0"/>
        <v>40668375</v>
      </c>
      <c r="F29" s="1044">
        <f t="shared" si="4"/>
        <v>264000000</v>
      </c>
      <c r="G29" s="1044">
        <v>22000000</v>
      </c>
      <c r="H29" s="1005">
        <f t="shared" si="1"/>
        <v>1.2350400857522015</v>
      </c>
      <c r="I29" s="1005">
        <f t="shared" si="2"/>
        <v>7.7190005359512578E-2</v>
      </c>
    </row>
    <row r="30" spans="2:9" x14ac:dyDescent="0.25">
      <c r="B30" s="1007">
        <f t="shared" si="3"/>
        <v>22</v>
      </c>
      <c r="C30" s="1014" t="s">
        <v>463</v>
      </c>
      <c r="D30" s="1012">
        <v>68171900</v>
      </c>
      <c r="E30" s="1012">
        <f t="shared" si="0"/>
        <v>5680991.666666667</v>
      </c>
      <c r="F30" s="1044">
        <f t="shared" si="4"/>
        <v>258000000</v>
      </c>
      <c r="G30" s="1044">
        <v>21500000</v>
      </c>
      <c r="H30" s="1005">
        <f t="shared" si="1"/>
        <v>1.206970992894197</v>
      </c>
      <c r="I30" s="1005">
        <f t="shared" si="2"/>
        <v>7.5435687055887296E-2</v>
      </c>
    </row>
    <row r="31" spans="2:9" x14ac:dyDescent="0.25">
      <c r="B31" s="1007">
        <f t="shared" si="3"/>
        <v>23</v>
      </c>
      <c r="C31" s="1014" t="s">
        <v>464</v>
      </c>
      <c r="D31" s="1012">
        <v>1186354647</v>
      </c>
      <c r="E31" s="1012">
        <f t="shared" si="0"/>
        <v>98862887.25</v>
      </c>
      <c r="F31" s="1044">
        <f t="shared" si="4"/>
        <v>10000000</v>
      </c>
      <c r="G31" s="1044">
        <v>833333.33333333337</v>
      </c>
      <c r="H31" s="1005">
        <f t="shared" si="1"/>
        <v>4.6781821430007635E-2</v>
      </c>
      <c r="I31" s="1005">
        <f t="shared" si="2"/>
        <v>2.9238638393754767E-3</v>
      </c>
    </row>
    <row r="32" spans="2:9" x14ac:dyDescent="0.25">
      <c r="B32" s="1007">
        <f t="shared" si="3"/>
        <v>24</v>
      </c>
      <c r="C32" s="1014" t="s">
        <v>465</v>
      </c>
      <c r="D32" s="1012">
        <v>847778298.30999994</v>
      </c>
      <c r="E32" s="1012">
        <f t="shared" si="0"/>
        <v>70648191.525833324</v>
      </c>
      <c r="F32" s="1044">
        <f t="shared" si="4"/>
        <v>907122779.19169986</v>
      </c>
      <c r="G32" s="1044">
        <v>75593564.932641655</v>
      </c>
      <c r="H32" s="1005">
        <f t="shared" si="1"/>
        <v>4.2436855871238341</v>
      </c>
      <c r="I32" s="1005">
        <f t="shared" si="2"/>
        <v>0.26523034919523963</v>
      </c>
    </row>
    <row r="33" spans="2:9" x14ac:dyDescent="0.25">
      <c r="B33" s="1007">
        <f t="shared" si="3"/>
        <v>25</v>
      </c>
      <c r="C33" s="1014" t="s">
        <v>466</v>
      </c>
      <c r="D33" s="1012">
        <v>245454645</v>
      </c>
      <c r="E33" s="1012">
        <f t="shared" si="0"/>
        <v>20454553.75</v>
      </c>
      <c r="F33" s="1044">
        <f t="shared" si="4"/>
        <v>270000109.5</v>
      </c>
      <c r="G33" s="1044">
        <v>22500009.125</v>
      </c>
      <c r="H33" s="1005">
        <f t="shared" si="1"/>
        <v>1.2631096908711508</v>
      </c>
      <c r="I33" s="1005">
        <f t="shared" si="2"/>
        <v>7.8944355679446909E-2</v>
      </c>
    </row>
    <row r="34" spans="2:9" x14ac:dyDescent="0.25">
      <c r="B34" s="1007">
        <f t="shared" si="3"/>
        <v>26</v>
      </c>
      <c r="C34" s="1014" t="s">
        <v>467</v>
      </c>
      <c r="D34" s="1012"/>
      <c r="E34" s="1012">
        <f t="shared" si="0"/>
        <v>0</v>
      </c>
      <c r="F34" s="1044">
        <f t="shared" si="4"/>
        <v>0</v>
      </c>
      <c r="G34" s="1044">
        <v>0</v>
      </c>
      <c r="H34" s="1005">
        <f t="shared" si="1"/>
        <v>0</v>
      </c>
      <c r="I34" s="1005">
        <f t="shared" si="2"/>
        <v>0</v>
      </c>
    </row>
    <row r="35" spans="2:9" x14ac:dyDescent="0.25">
      <c r="B35" s="1007">
        <f t="shared" si="3"/>
        <v>27</v>
      </c>
      <c r="C35" s="1014" t="s">
        <v>468</v>
      </c>
      <c r="D35" s="1012"/>
      <c r="E35" s="1012">
        <f t="shared" si="0"/>
        <v>0</v>
      </c>
      <c r="F35" s="1044">
        <f t="shared" si="4"/>
        <v>0</v>
      </c>
      <c r="G35" s="1044">
        <v>0</v>
      </c>
      <c r="H35" s="1005">
        <f t="shared" si="1"/>
        <v>0</v>
      </c>
      <c r="I35" s="1005">
        <f t="shared" si="2"/>
        <v>0</v>
      </c>
    </row>
    <row r="36" spans="2:9" x14ac:dyDescent="0.25">
      <c r="B36" s="1007">
        <f t="shared" si="3"/>
        <v>28</v>
      </c>
      <c r="C36" s="1014" t="s">
        <v>469</v>
      </c>
      <c r="D36" s="1012">
        <v>188207400</v>
      </c>
      <c r="E36" s="1012">
        <f t="shared" si="0"/>
        <v>15683950</v>
      </c>
      <c r="F36" s="1044">
        <f t="shared" si="4"/>
        <v>207028140</v>
      </c>
      <c r="G36" s="1044">
        <v>17252345</v>
      </c>
      <c r="H36" s="1005">
        <f t="shared" si="1"/>
        <v>0.96851534764666203</v>
      </c>
      <c r="I36" s="1005">
        <f t="shared" si="2"/>
        <v>6.053220922791637E-2</v>
      </c>
    </row>
    <row r="37" spans="2:9" x14ac:dyDescent="0.25">
      <c r="B37" s="1007">
        <f t="shared" si="3"/>
        <v>29</v>
      </c>
      <c r="C37" s="1014" t="s">
        <v>470</v>
      </c>
      <c r="D37" s="1012">
        <v>4384212523</v>
      </c>
      <c r="E37" s="1012">
        <f t="shared" si="0"/>
        <v>365351043.58333331</v>
      </c>
      <c r="F37" s="1044">
        <f t="shared" si="4"/>
        <v>666345107</v>
      </c>
      <c r="G37" s="1044">
        <v>55528758.916666664</v>
      </c>
      <c r="H37" s="1005">
        <f t="shared" si="1"/>
        <v>3.1172837806433327</v>
      </c>
      <c r="I37" s="1005">
        <f t="shared" si="2"/>
        <v>0.19483023629020826</v>
      </c>
    </row>
    <row r="38" spans="2:9" x14ac:dyDescent="0.25">
      <c r="B38" s="1007">
        <f t="shared" si="3"/>
        <v>30</v>
      </c>
      <c r="C38" s="1014" t="s">
        <v>471</v>
      </c>
      <c r="D38" s="1012">
        <v>108648500</v>
      </c>
      <c r="E38" s="1012">
        <f t="shared" si="0"/>
        <v>9054041.666666666</v>
      </c>
      <c r="F38" s="1044">
        <f t="shared" si="4"/>
        <v>114080925</v>
      </c>
      <c r="G38" s="1044">
        <v>9506743.75</v>
      </c>
      <c r="H38" s="1005">
        <f t="shared" si="1"/>
        <v>0.53369134619200931</v>
      </c>
      <c r="I38" s="1005">
        <f t="shared" si="2"/>
        <v>3.3355709137000575E-2</v>
      </c>
    </row>
    <row r="39" spans="2:9" x14ac:dyDescent="0.25">
      <c r="B39" s="1007">
        <f t="shared" si="3"/>
        <v>31</v>
      </c>
      <c r="C39" s="1014" t="s">
        <v>472</v>
      </c>
      <c r="D39" s="1012">
        <v>80056015</v>
      </c>
      <c r="E39" s="1012">
        <f t="shared" si="0"/>
        <v>6671334.583333333</v>
      </c>
      <c r="F39" s="1044">
        <f t="shared" si="4"/>
        <v>0</v>
      </c>
      <c r="G39" s="1044">
        <v>0</v>
      </c>
      <c r="H39" s="1005">
        <f t="shared" si="1"/>
        <v>0</v>
      </c>
      <c r="I39" s="1005">
        <f t="shared" si="2"/>
        <v>0</v>
      </c>
    </row>
    <row r="40" spans="2:9" x14ac:dyDescent="0.25">
      <c r="B40" s="1007">
        <f t="shared" si="3"/>
        <v>32</v>
      </c>
      <c r="C40" s="1014" t="s">
        <v>473</v>
      </c>
      <c r="D40" s="1012">
        <v>84564877</v>
      </c>
      <c r="E40" s="1012">
        <f t="shared" si="0"/>
        <v>7047073.083333333</v>
      </c>
      <c r="F40" s="1044">
        <f t="shared" si="4"/>
        <v>88793120.849999994</v>
      </c>
      <c r="G40" s="1044">
        <v>7399426.7374999998</v>
      </c>
      <c r="H40" s="1005">
        <f t="shared" si="1"/>
        <v>0.41539039238177872</v>
      </c>
      <c r="I40" s="1005">
        <f t="shared" si="2"/>
        <v>2.596189952386117E-2</v>
      </c>
    </row>
    <row r="41" spans="2:9" x14ac:dyDescent="0.25">
      <c r="B41" s="1007">
        <f t="shared" si="3"/>
        <v>33</v>
      </c>
      <c r="C41" s="1014" t="s">
        <v>474</v>
      </c>
      <c r="D41" s="1012"/>
      <c r="E41" s="1012">
        <f t="shared" si="0"/>
        <v>0</v>
      </c>
      <c r="F41" s="1044">
        <f t="shared" si="4"/>
        <v>0</v>
      </c>
      <c r="G41" s="1044">
        <v>0</v>
      </c>
      <c r="H41" s="1005">
        <f t="shared" si="1"/>
        <v>0</v>
      </c>
      <c r="I41" s="1005">
        <f t="shared" si="2"/>
        <v>0</v>
      </c>
    </row>
    <row r="42" spans="2:9" x14ac:dyDescent="0.25">
      <c r="B42" s="1007">
        <f t="shared" si="3"/>
        <v>34</v>
      </c>
      <c r="C42" s="1014" t="s">
        <v>475</v>
      </c>
      <c r="D42" s="1012"/>
      <c r="E42" s="1012">
        <f t="shared" si="0"/>
        <v>0</v>
      </c>
      <c r="F42" s="1044">
        <f t="shared" si="4"/>
        <v>0</v>
      </c>
      <c r="G42" s="1044">
        <v>0</v>
      </c>
      <c r="H42" s="1005">
        <f t="shared" si="1"/>
        <v>0</v>
      </c>
      <c r="I42" s="1005">
        <f t="shared" si="2"/>
        <v>0</v>
      </c>
    </row>
    <row r="43" spans="2:9" x14ac:dyDescent="0.25">
      <c r="B43" s="1007">
        <f t="shared" si="3"/>
        <v>35</v>
      </c>
      <c r="C43" s="1014" t="s">
        <v>476</v>
      </c>
      <c r="D43" s="1012">
        <v>3864122096</v>
      </c>
      <c r="E43" s="1012">
        <f t="shared" si="0"/>
        <v>322010174.66666669</v>
      </c>
      <c r="F43" s="1044">
        <f t="shared" si="4"/>
        <v>2223000000</v>
      </c>
      <c r="G43" s="1044">
        <v>185250000</v>
      </c>
      <c r="H43" s="1005">
        <f t="shared" si="1"/>
        <v>10.399598903890697</v>
      </c>
      <c r="I43" s="1005">
        <f t="shared" si="2"/>
        <v>0.64997493149316843</v>
      </c>
    </row>
    <row r="44" spans="2:9" x14ac:dyDescent="0.25">
      <c r="B44" s="1007">
        <f t="shared" si="3"/>
        <v>36</v>
      </c>
      <c r="C44" s="1014" t="s">
        <v>477</v>
      </c>
      <c r="D44" s="1012">
        <v>810000</v>
      </c>
      <c r="E44" s="1012">
        <f t="shared" si="0"/>
        <v>67500</v>
      </c>
      <c r="F44" s="1044">
        <f t="shared" si="4"/>
        <v>0</v>
      </c>
      <c r="G44" s="1044">
        <v>0</v>
      </c>
      <c r="H44" s="1005">
        <f t="shared" si="1"/>
        <v>0</v>
      </c>
      <c r="I44" s="1005">
        <f t="shared" si="2"/>
        <v>0</v>
      </c>
    </row>
    <row r="45" spans="2:9" x14ac:dyDescent="0.25">
      <c r="B45" s="1007">
        <f t="shared" si="3"/>
        <v>37</v>
      </c>
      <c r="C45" s="1014" t="s">
        <v>478</v>
      </c>
      <c r="D45" s="1012">
        <v>185612516</v>
      </c>
      <c r="E45" s="1012">
        <f t="shared" si="0"/>
        <v>15467709.666666666</v>
      </c>
      <c r="F45" s="1044">
        <f t="shared" si="4"/>
        <v>41405668</v>
      </c>
      <c r="G45" s="1044">
        <v>3450472.3333333335</v>
      </c>
      <c r="H45" s="1005">
        <f t="shared" si="1"/>
        <v>0.19370325665661814</v>
      </c>
      <c r="I45" s="1005">
        <f t="shared" si="2"/>
        <v>1.2106453541038632E-2</v>
      </c>
    </row>
    <row r="46" spans="2:9" x14ac:dyDescent="0.25">
      <c r="B46" s="1007">
        <f t="shared" si="3"/>
        <v>38</v>
      </c>
      <c r="C46" s="1014" t="s">
        <v>479</v>
      </c>
      <c r="D46" s="1012">
        <v>300000</v>
      </c>
      <c r="E46" s="1012">
        <f t="shared" si="0"/>
        <v>25000</v>
      </c>
      <c r="F46" s="1044">
        <f t="shared" si="4"/>
        <v>25000000</v>
      </c>
      <c r="G46" s="1044">
        <v>2083333.3333333333</v>
      </c>
      <c r="H46" s="1005">
        <f t="shared" si="1"/>
        <v>0.11695455357501908</v>
      </c>
      <c r="I46" s="1005">
        <f t="shared" si="2"/>
        <v>7.3096595984386906E-3</v>
      </c>
    </row>
    <row r="47" spans="2:9" x14ac:dyDescent="0.25">
      <c r="B47" s="1007">
        <f t="shared" si="3"/>
        <v>39</v>
      </c>
      <c r="C47" s="1014" t="s">
        <v>480</v>
      </c>
      <c r="D47" s="1012">
        <v>497881607</v>
      </c>
      <c r="E47" s="1012">
        <f t="shared" si="0"/>
        <v>41490133.916666664</v>
      </c>
      <c r="F47" s="1044">
        <f t="shared" si="4"/>
        <v>420000000</v>
      </c>
      <c r="G47" s="1044">
        <v>35000000</v>
      </c>
      <c r="H47" s="1005">
        <f t="shared" si="1"/>
        <v>1.9648365000603205</v>
      </c>
      <c r="I47" s="1005">
        <f t="shared" si="2"/>
        <v>0.12280228125377002</v>
      </c>
    </row>
    <row r="48" spans="2:9" x14ac:dyDescent="0.25">
      <c r="B48" s="1007">
        <f t="shared" si="3"/>
        <v>40</v>
      </c>
      <c r="C48" s="1014" t="s">
        <v>481</v>
      </c>
      <c r="D48" s="1012">
        <v>79298165</v>
      </c>
      <c r="E48" s="1012">
        <f t="shared" si="0"/>
        <v>6608180.416666667</v>
      </c>
      <c r="F48" s="1044">
        <f t="shared" si="4"/>
        <v>12458700</v>
      </c>
      <c r="G48" s="1044">
        <v>1038225</v>
      </c>
      <c r="H48" s="1005">
        <f t="shared" si="1"/>
        <v>5.8284067865003605E-2</v>
      </c>
      <c r="I48" s="1005">
        <f t="shared" si="2"/>
        <v>3.6427542415627249E-3</v>
      </c>
    </row>
    <row r="49" spans="2:9" x14ac:dyDescent="0.25">
      <c r="B49" s="1007">
        <f t="shared" si="3"/>
        <v>41</v>
      </c>
      <c r="C49" s="1014" t="s">
        <v>482</v>
      </c>
      <c r="D49" s="1012"/>
      <c r="E49" s="1012">
        <f t="shared" si="0"/>
        <v>0</v>
      </c>
      <c r="F49" s="1044">
        <f t="shared" si="4"/>
        <v>250000000</v>
      </c>
      <c r="G49" s="1044">
        <v>20833333.333333332</v>
      </c>
      <c r="H49" s="1005">
        <f t="shared" si="1"/>
        <v>1.1695455357501907</v>
      </c>
      <c r="I49" s="1005">
        <f t="shared" si="2"/>
        <v>7.3096595984386906E-2</v>
      </c>
    </row>
    <row r="50" spans="2:9" ht="13.5" thickBot="1" x14ac:dyDescent="0.3">
      <c r="B50" s="1045">
        <f t="shared" si="3"/>
        <v>42</v>
      </c>
      <c r="C50" s="1046" t="s">
        <v>483</v>
      </c>
      <c r="D50" s="1047">
        <v>11059767</v>
      </c>
      <c r="E50" s="1047">
        <f t="shared" si="0"/>
        <v>921647.25</v>
      </c>
      <c r="F50" s="1048">
        <f>G50*12</f>
        <v>0</v>
      </c>
      <c r="G50" s="1048">
        <v>0</v>
      </c>
      <c r="H50" s="1005">
        <f t="shared" si="1"/>
        <v>0</v>
      </c>
      <c r="I50" s="1005">
        <f t="shared" si="2"/>
        <v>0</v>
      </c>
    </row>
    <row r="51" spans="2:9" ht="19.350000000000001" customHeight="1" thickBot="1" x14ac:dyDescent="0.3">
      <c r="D51" s="1049">
        <f t="shared" ref="D51:I51" si="5">SUM(D9:D50)</f>
        <v>23796151105.279999</v>
      </c>
      <c r="E51" s="1049">
        <f t="shared" si="5"/>
        <v>1983012592.1066668</v>
      </c>
      <c r="F51" s="1050">
        <f t="shared" si="5"/>
        <v>17232676709.801701</v>
      </c>
      <c r="G51" s="1050">
        <f t="shared" si="5"/>
        <v>1436056392.483475</v>
      </c>
      <c r="H51" s="1051">
        <f t="shared" si="5"/>
        <v>80.61760045989945</v>
      </c>
      <c r="I51" s="1051">
        <f t="shared" si="5"/>
        <v>5.0386000287437147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69" bestFit="1" customWidth="1"/>
    <col min="2" max="2" width="13.42578125" style="969" customWidth="1"/>
    <col min="3" max="3" width="49.5703125" style="969" bestFit="1" customWidth="1"/>
    <col min="4" max="4" width="39.42578125" style="969" bestFit="1" customWidth="1"/>
    <col min="5" max="5" width="9.42578125" style="969"/>
  </cols>
  <sheetData>
    <row r="1" spans="1:5" ht="24" customHeight="1" x14ac:dyDescent="0.25">
      <c r="A1" s="2418" t="s">
        <v>553</v>
      </c>
      <c r="B1" s="2418" t="s">
        <v>169</v>
      </c>
      <c r="C1" s="2418" t="s">
        <v>554</v>
      </c>
      <c r="D1" s="2418"/>
      <c r="E1" s="1073"/>
    </row>
    <row r="2" spans="1:5" ht="21" customHeight="1" x14ac:dyDescent="0.25">
      <c r="A2" s="2418"/>
      <c r="B2" s="2418"/>
      <c r="C2" s="1073" t="s">
        <v>16</v>
      </c>
      <c r="D2" s="1073" t="s">
        <v>555</v>
      </c>
      <c r="E2" s="1073"/>
    </row>
    <row r="3" spans="1:5" x14ac:dyDescent="0.25">
      <c r="A3" s="1067">
        <v>1</v>
      </c>
      <c r="B3" s="1068">
        <v>45536</v>
      </c>
      <c r="C3" s="1067"/>
      <c r="D3" s="1067"/>
      <c r="E3" s="308"/>
    </row>
    <row r="4" spans="1:5" x14ac:dyDescent="0.25">
      <c r="A4" s="1067">
        <v>2</v>
      </c>
      <c r="B4" s="1068">
        <v>45537</v>
      </c>
      <c r="C4" s="1067"/>
      <c r="D4" s="1067"/>
      <c r="E4" s="308"/>
    </row>
    <row r="5" spans="1:5" x14ac:dyDescent="0.25">
      <c r="A5" s="1067">
        <v>3</v>
      </c>
      <c r="B5" s="1068">
        <v>45538</v>
      </c>
      <c r="C5" s="1067"/>
      <c r="D5" s="1067"/>
      <c r="E5" s="308"/>
    </row>
    <row r="6" spans="1:5" x14ac:dyDescent="0.25">
      <c r="A6" s="1067">
        <v>4</v>
      </c>
      <c r="B6" s="1068">
        <v>45539</v>
      </c>
      <c r="C6" s="1067"/>
      <c r="D6" s="1067"/>
      <c r="E6" s="308"/>
    </row>
    <row r="7" spans="1:5" x14ac:dyDescent="0.25">
      <c r="A7" s="1067">
        <v>5</v>
      </c>
      <c r="B7" s="1068">
        <v>45540</v>
      </c>
      <c r="C7" s="1067"/>
      <c r="D7" s="1067"/>
      <c r="E7" s="308"/>
    </row>
    <row r="8" spans="1:5" x14ac:dyDescent="0.25">
      <c r="A8" s="1067">
        <v>6</v>
      </c>
      <c r="B8" s="1068">
        <v>45541</v>
      </c>
      <c r="C8" s="1067"/>
      <c r="D8" s="1067"/>
      <c r="E8" s="308"/>
    </row>
    <row r="9" spans="1:5" x14ac:dyDescent="0.25">
      <c r="A9" s="1067">
        <v>7</v>
      </c>
      <c r="B9" s="1068">
        <v>45542</v>
      </c>
      <c r="C9" s="1067"/>
      <c r="D9" s="1067"/>
      <c r="E9" s="308"/>
    </row>
    <row r="10" spans="1:5" x14ac:dyDescent="0.25">
      <c r="A10" s="1067">
        <v>8</v>
      </c>
      <c r="B10" s="1068">
        <v>45543</v>
      </c>
      <c r="C10" s="1067"/>
      <c r="D10" s="1067"/>
      <c r="E10" s="308"/>
    </row>
    <row r="11" spans="1:5" x14ac:dyDescent="0.25">
      <c r="A11" s="1067">
        <v>9</v>
      </c>
      <c r="B11" s="1068">
        <v>45544</v>
      </c>
      <c r="C11" s="1067"/>
      <c r="D11" s="1067"/>
      <c r="E11" s="308"/>
    </row>
    <row r="12" spans="1:5" x14ac:dyDescent="0.25">
      <c r="A12" s="1067">
        <v>10</v>
      </c>
      <c r="B12" s="1068">
        <v>45545</v>
      </c>
      <c r="C12" s="1067"/>
      <c r="D12" s="1067"/>
      <c r="E12" s="308"/>
    </row>
    <row r="13" spans="1:5" x14ac:dyDescent="0.25">
      <c r="A13" s="1067">
        <v>11</v>
      </c>
      <c r="B13" s="1068">
        <v>45546</v>
      </c>
      <c r="C13" s="1067"/>
      <c r="D13" s="1067"/>
      <c r="E13" s="308"/>
    </row>
    <row r="14" spans="1:5" x14ac:dyDescent="0.25">
      <c r="A14" s="1067">
        <v>12</v>
      </c>
      <c r="B14" s="1068">
        <v>45547</v>
      </c>
      <c r="C14" s="1067"/>
      <c r="D14" s="1067"/>
      <c r="E14" s="308"/>
    </row>
    <row r="15" spans="1:5" x14ac:dyDescent="0.25">
      <c r="A15" s="1067">
        <v>13</v>
      </c>
      <c r="B15" s="1068">
        <v>45548</v>
      </c>
      <c r="C15" s="1067"/>
      <c r="D15" s="1067"/>
      <c r="E15" s="308"/>
    </row>
    <row r="16" spans="1:5" x14ac:dyDescent="0.25">
      <c r="A16" s="1067">
        <v>14</v>
      </c>
      <c r="B16" s="1068">
        <v>45549</v>
      </c>
      <c r="C16" s="1067"/>
      <c r="D16" s="1067"/>
      <c r="E16" s="308"/>
    </row>
    <row r="17" spans="1:5" x14ac:dyDescent="0.25">
      <c r="A17" s="1067">
        <v>15</v>
      </c>
      <c r="B17" s="1068">
        <v>45550</v>
      </c>
      <c r="C17" s="1067"/>
      <c r="D17" s="1067"/>
      <c r="E17" s="308"/>
    </row>
    <row r="18" spans="1:5" x14ac:dyDescent="0.25">
      <c r="A18" s="1067">
        <v>16</v>
      </c>
      <c r="B18" s="1068">
        <v>45551</v>
      </c>
      <c r="C18" s="1067"/>
      <c r="D18" s="1067"/>
      <c r="E18" s="308"/>
    </row>
    <row r="19" spans="1:5" x14ac:dyDescent="0.25">
      <c r="A19" s="1067">
        <v>17</v>
      </c>
      <c r="B19" s="1068">
        <v>45552</v>
      </c>
      <c r="C19" s="1067"/>
      <c r="D19" s="1067"/>
      <c r="E19" s="308"/>
    </row>
    <row r="20" spans="1:5" x14ac:dyDescent="0.25">
      <c r="A20" s="1067">
        <v>18</v>
      </c>
      <c r="B20" s="1068">
        <v>45553</v>
      </c>
      <c r="C20" s="1067"/>
      <c r="D20" s="1067"/>
      <c r="E20" s="308"/>
    </row>
    <row r="21" spans="1:5" x14ac:dyDescent="0.25">
      <c r="A21" s="1067">
        <v>19</v>
      </c>
      <c r="B21" s="1068">
        <v>45554</v>
      </c>
      <c r="C21" s="1067"/>
      <c r="D21" s="1067"/>
      <c r="E21" s="308"/>
    </row>
    <row r="22" spans="1:5" x14ac:dyDescent="0.25">
      <c r="A22" s="1067">
        <v>20</v>
      </c>
      <c r="B22" s="1068">
        <v>45555</v>
      </c>
      <c r="C22" s="1067"/>
      <c r="D22" s="1067"/>
      <c r="E22" s="308"/>
    </row>
    <row r="23" spans="1:5" x14ac:dyDescent="0.25">
      <c r="A23" s="1067">
        <v>21</v>
      </c>
      <c r="B23" s="1068">
        <v>45556</v>
      </c>
      <c r="C23" s="1067"/>
      <c r="D23" s="1067"/>
      <c r="E23" s="308"/>
    </row>
    <row r="24" spans="1:5" x14ac:dyDescent="0.25">
      <c r="A24" s="1067">
        <v>22</v>
      </c>
      <c r="B24" s="1068">
        <v>45557</v>
      </c>
      <c r="C24" s="1067"/>
      <c r="D24" s="1067"/>
      <c r="E24" s="308"/>
    </row>
    <row r="25" spans="1:5" x14ac:dyDescent="0.25">
      <c r="A25" s="1067">
        <v>23</v>
      </c>
      <c r="B25" s="1068">
        <v>45558</v>
      </c>
      <c r="C25" s="1067"/>
      <c r="D25" s="1067"/>
      <c r="E25" s="308"/>
    </row>
    <row r="26" spans="1:5" ht="120" x14ac:dyDescent="0.25">
      <c r="A26" s="1067">
        <v>24</v>
      </c>
      <c r="B26" s="1068">
        <v>45559</v>
      </c>
      <c r="C26" s="1069" t="s">
        <v>559</v>
      </c>
      <c r="D26" s="1070" t="s">
        <v>556</v>
      </c>
      <c r="E26" s="308"/>
    </row>
    <row r="27" spans="1:5" ht="45" x14ac:dyDescent="0.25">
      <c r="A27" s="1067">
        <v>25</v>
      </c>
      <c r="B27" s="1068">
        <v>45560</v>
      </c>
      <c r="C27" s="1069" t="s">
        <v>557</v>
      </c>
      <c r="D27" s="1071" t="s">
        <v>558</v>
      </c>
      <c r="E27" s="308"/>
    </row>
    <row r="28" spans="1:5" x14ac:dyDescent="0.25">
      <c r="A28" s="1067">
        <v>26</v>
      </c>
      <c r="B28" s="1068">
        <v>45561</v>
      </c>
      <c r="C28" s="1072"/>
      <c r="D28" s="1067"/>
      <c r="E28" s="308"/>
    </row>
    <row r="29" spans="1:5" x14ac:dyDescent="0.25">
      <c r="A29" s="1067">
        <v>27</v>
      </c>
      <c r="B29" s="1068">
        <v>45562</v>
      </c>
      <c r="C29" s="1072"/>
      <c r="D29" s="1067"/>
      <c r="E29" s="308"/>
    </row>
    <row r="30" spans="1:5" x14ac:dyDescent="0.25">
      <c r="A30" s="1067">
        <v>28</v>
      </c>
      <c r="B30" s="1068">
        <v>45563</v>
      </c>
      <c r="C30" s="1072"/>
      <c r="D30" s="1067"/>
      <c r="E30" s="308"/>
    </row>
    <row r="31" spans="1:5" x14ac:dyDescent="0.25">
      <c r="A31" s="1067">
        <v>29</v>
      </c>
      <c r="B31" s="1068">
        <v>45564</v>
      </c>
      <c r="C31" s="1072"/>
      <c r="D31" s="1067"/>
      <c r="E31" s="308"/>
    </row>
    <row r="32" spans="1:5" x14ac:dyDescent="0.25">
      <c r="A32" s="1067">
        <v>30</v>
      </c>
      <c r="B32" s="1068">
        <v>45565</v>
      </c>
      <c r="C32" s="1072"/>
      <c r="D32" s="1067"/>
      <c r="E32" s="308"/>
    </row>
    <row r="33" spans="3:3" x14ac:dyDescent="0.25">
      <c r="C33" s="325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22" t="s">
        <v>172</v>
      </c>
      <c r="B2" s="2422"/>
      <c r="C2" s="2422"/>
      <c r="D2" s="2422"/>
      <c r="E2" s="2422"/>
      <c r="F2" s="2422"/>
      <c r="G2" s="2422"/>
      <c r="H2" s="2422"/>
      <c r="I2" s="2422"/>
      <c r="J2" s="2422"/>
      <c r="K2" s="2422"/>
      <c r="L2" s="2422"/>
      <c r="M2" s="2422"/>
      <c r="N2" s="2422"/>
      <c r="O2" s="2422"/>
      <c r="P2" s="2422"/>
      <c r="Q2" s="2422"/>
      <c r="R2" s="2422"/>
      <c r="S2" s="2422"/>
      <c r="T2" s="2422"/>
    </row>
    <row r="3" spans="1:23" ht="19.5" x14ac:dyDescent="0.3">
      <c r="A3" s="2422" t="s">
        <v>173</v>
      </c>
      <c r="B3" s="2422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</row>
    <row r="4" spans="1:23" x14ac:dyDescent="0.25">
      <c r="A4" s="350"/>
      <c r="B4" s="351"/>
      <c r="C4" s="352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4"/>
      <c r="S4" s="355"/>
      <c r="T4" s="356"/>
      <c r="U4" s="356"/>
    </row>
    <row r="5" spans="1:23" ht="15.75" x14ac:dyDescent="0.25">
      <c r="A5" s="2424" t="s">
        <v>212</v>
      </c>
      <c r="B5" s="2425"/>
      <c r="C5" s="2425"/>
      <c r="D5" s="2425"/>
      <c r="E5" s="2425"/>
      <c r="F5" s="2425"/>
      <c r="G5" s="2425"/>
      <c r="H5" s="2425"/>
      <c r="I5" s="2425"/>
      <c r="J5" s="2425"/>
      <c r="K5" s="2425"/>
      <c r="L5" s="2425"/>
      <c r="M5" s="2425"/>
      <c r="N5" s="2425"/>
      <c r="O5" s="2425"/>
      <c r="P5" s="2425"/>
      <c r="Q5" s="2425"/>
      <c r="R5" s="2425"/>
      <c r="S5" s="2425"/>
      <c r="T5" s="2425"/>
      <c r="U5" s="2425"/>
    </row>
    <row r="6" spans="1:23" s="318" customFormat="1" ht="38.85" customHeight="1" x14ac:dyDescent="0.25">
      <c r="A6" s="316" t="s">
        <v>175</v>
      </c>
      <c r="B6" s="316" t="s">
        <v>176</v>
      </c>
      <c r="C6" s="316" t="s">
        <v>177</v>
      </c>
      <c r="D6" s="316" t="s">
        <v>178</v>
      </c>
      <c r="E6" s="316" t="s">
        <v>179</v>
      </c>
      <c r="F6" s="316" t="s">
        <v>180</v>
      </c>
      <c r="G6" s="316" t="s">
        <v>181</v>
      </c>
      <c r="H6" s="316" t="s">
        <v>182</v>
      </c>
      <c r="I6" s="316" t="s">
        <v>183</v>
      </c>
      <c r="J6" s="316" t="s">
        <v>184</v>
      </c>
      <c r="K6" s="316" t="s">
        <v>185</v>
      </c>
      <c r="L6" s="316" t="s">
        <v>186</v>
      </c>
      <c r="M6" s="316" t="s">
        <v>187</v>
      </c>
      <c r="N6" s="339" t="s">
        <v>197</v>
      </c>
      <c r="O6" s="339" t="s">
        <v>198</v>
      </c>
      <c r="P6" s="339" t="s">
        <v>199</v>
      </c>
      <c r="Q6" s="316" t="s">
        <v>200</v>
      </c>
      <c r="R6" s="317" t="s">
        <v>188</v>
      </c>
      <c r="S6" s="316" t="s">
        <v>189</v>
      </c>
      <c r="T6" s="316" t="s">
        <v>190</v>
      </c>
      <c r="U6" s="316" t="s">
        <v>191</v>
      </c>
    </row>
    <row r="7" spans="1:23" x14ac:dyDescent="0.25">
      <c r="A7" s="319">
        <v>1</v>
      </c>
      <c r="B7" s="319" t="s">
        <v>192</v>
      </c>
      <c r="C7" s="320">
        <f>'[11]01 '!$Q$14</f>
        <v>744924</v>
      </c>
      <c r="D7" s="321">
        <f>'[11]02'!$Q$14</f>
        <v>743972</v>
      </c>
      <c r="E7" s="321">
        <f>'[11]03'!$Q$14</f>
        <v>1048435</v>
      </c>
      <c r="F7" s="321">
        <f>'[11]04'!$Q$14</f>
        <v>1114821</v>
      </c>
      <c r="G7" s="321">
        <v>248126</v>
      </c>
      <c r="H7" s="349">
        <v>389481</v>
      </c>
      <c r="I7" s="349">
        <v>104168</v>
      </c>
      <c r="J7" s="349">
        <v>320907</v>
      </c>
      <c r="K7" s="349">
        <v>100743</v>
      </c>
      <c r="L7" s="321">
        <v>512647</v>
      </c>
      <c r="M7" s="349">
        <v>441064</v>
      </c>
      <c r="N7" s="357">
        <v>524002</v>
      </c>
      <c r="O7" s="321">
        <v>568358</v>
      </c>
      <c r="P7" s="321">
        <v>430750</v>
      </c>
      <c r="Q7" s="321"/>
      <c r="R7" s="322">
        <f>SUM(C7:Q7)</f>
        <v>7292398</v>
      </c>
      <c r="S7" s="348"/>
      <c r="T7" s="2423"/>
      <c r="U7" s="2423"/>
    </row>
    <row r="8" spans="1:23" x14ac:dyDescent="0.25">
      <c r="A8" s="319">
        <v>2</v>
      </c>
      <c r="B8" s="319" t="s">
        <v>193</v>
      </c>
      <c r="C8" s="358">
        <v>713300</v>
      </c>
      <c r="D8" s="349">
        <v>708000</v>
      </c>
      <c r="E8" s="349">
        <v>993100</v>
      </c>
      <c r="F8" s="321">
        <v>1056000</v>
      </c>
      <c r="G8" s="349">
        <v>237021</v>
      </c>
      <c r="H8" s="349">
        <v>365100</v>
      </c>
      <c r="I8" s="349">
        <v>44001</v>
      </c>
      <c r="J8" s="349">
        <v>300010</v>
      </c>
      <c r="K8" s="359">
        <v>94507</v>
      </c>
      <c r="L8" s="360">
        <v>488153</v>
      </c>
      <c r="M8" s="359">
        <v>414337</v>
      </c>
      <c r="N8" s="321">
        <v>492952</v>
      </c>
      <c r="O8" s="321">
        <v>532902</v>
      </c>
      <c r="P8" s="321">
        <v>497845</v>
      </c>
      <c r="Q8" s="321"/>
      <c r="R8" s="322">
        <f>SUM(C8:Q8)</f>
        <v>6937228</v>
      </c>
      <c r="S8" s="349"/>
      <c r="T8" s="323">
        <f>R8/R7</f>
        <v>0.95129585631502833</v>
      </c>
      <c r="U8" s="323" t="e">
        <f>S8/S7</f>
        <v>#DIV/0!</v>
      </c>
      <c r="W8" s="321" t="e">
        <f>4984655+#REF!</f>
        <v>#REF!</v>
      </c>
    </row>
    <row r="9" spans="1:23" x14ac:dyDescent="0.25">
      <c r="A9" s="319">
        <v>3</v>
      </c>
      <c r="B9" s="319" t="s">
        <v>64</v>
      </c>
      <c r="C9" s="320">
        <f>'[11]01 '!$P$25</f>
        <v>25659</v>
      </c>
      <c r="D9" s="349">
        <v>28786</v>
      </c>
      <c r="E9" s="321">
        <f>'[11]03'!$P$25</f>
        <v>46938</v>
      </c>
      <c r="F9" s="321">
        <f>'[11]04'!$P$24</f>
        <v>48667</v>
      </c>
      <c r="G9" s="349">
        <v>8070</v>
      </c>
      <c r="H9" s="349">
        <v>19280</v>
      </c>
      <c r="I9" s="349">
        <v>3234</v>
      </c>
      <c r="J9" s="349">
        <v>18283</v>
      </c>
      <c r="K9" s="349">
        <v>5131</v>
      </c>
      <c r="L9" s="321">
        <v>20426</v>
      </c>
      <c r="M9" s="321">
        <v>23275</v>
      </c>
      <c r="N9" s="321">
        <v>27655</v>
      </c>
      <c r="O9" s="321">
        <v>25803</v>
      </c>
      <c r="P9" s="321">
        <v>20173</v>
      </c>
      <c r="Q9" s="321"/>
      <c r="R9" s="322">
        <f>SUM(C9:Q9)</f>
        <v>321380</v>
      </c>
      <c r="S9" s="349"/>
      <c r="T9" s="323">
        <f>R9/R7</f>
        <v>4.4070551278194085E-2</v>
      </c>
      <c r="U9" s="323" t="e">
        <f>S9/S7</f>
        <v>#DIV/0!</v>
      </c>
    </row>
    <row r="10" spans="1:23" x14ac:dyDescent="0.25">
      <c r="A10" s="350"/>
      <c r="B10" s="351"/>
      <c r="C10" s="347">
        <f>C8/C7</f>
        <v>0.95754734711192013</v>
      </c>
      <c r="D10" s="347">
        <f t="shared" ref="D10:P10" si="0">D8/D7</f>
        <v>0.95164871796250394</v>
      </c>
      <c r="E10" s="347">
        <f t="shared" si="0"/>
        <v>0.94722133465593961</v>
      </c>
      <c r="F10" s="347">
        <f t="shared" si="0"/>
        <v>0.94723726948093012</v>
      </c>
      <c r="G10" s="347">
        <f t="shared" si="0"/>
        <v>0.95524451286846201</v>
      </c>
      <c r="H10" s="347">
        <f t="shared" si="0"/>
        <v>0.93740131097537494</v>
      </c>
      <c r="I10" s="347">
        <f t="shared" si="0"/>
        <v>0.42240419322632672</v>
      </c>
      <c r="J10" s="347">
        <f t="shared" si="0"/>
        <v>0.9348814454031853</v>
      </c>
      <c r="K10" s="347">
        <f t="shared" si="0"/>
        <v>0.93809991761214173</v>
      </c>
      <c r="L10" s="347">
        <f t="shared" si="0"/>
        <v>0.95222053381761718</v>
      </c>
      <c r="M10" s="347">
        <f t="shared" si="0"/>
        <v>0.93940335189450963</v>
      </c>
      <c r="N10" s="347">
        <f t="shared" si="0"/>
        <v>0.94074450097518714</v>
      </c>
      <c r="O10" s="347">
        <f t="shared" si="0"/>
        <v>0.93761678378768309</v>
      </c>
      <c r="P10" s="347">
        <f t="shared" si="0"/>
        <v>1.1557632037144516</v>
      </c>
      <c r="Q10" s="353"/>
      <c r="R10" s="354"/>
      <c r="S10" s="355"/>
      <c r="T10" s="356"/>
      <c r="U10" s="356"/>
    </row>
    <row r="11" spans="1:23" x14ac:dyDescent="0.25">
      <c r="A11" s="350"/>
      <c r="B11" s="351"/>
      <c r="C11" s="347">
        <f>C9/C7*1</f>
        <v>3.4445124603315239E-2</v>
      </c>
      <c r="D11" s="347">
        <f t="shared" ref="D11:P11" si="1">D9/D7*1</f>
        <v>3.8692316377498079E-2</v>
      </c>
      <c r="E11" s="347">
        <f t="shared" si="1"/>
        <v>4.4769585143571135E-2</v>
      </c>
      <c r="F11" s="347">
        <f t="shared" si="1"/>
        <v>4.3654541850216312E-2</v>
      </c>
      <c r="G11" s="347">
        <f t="shared" si="1"/>
        <v>3.2523798392752067E-2</v>
      </c>
      <c r="H11" s="347">
        <f t="shared" si="1"/>
        <v>4.9501772872104159E-2</v>
      </c>
      <c r="I11" s="347">
        <f t="shared" si="1"/>
        <v>3.1046002611166579E-2</v>
      </c>
      <c r="J11" s="347">
        <f t="shared" si="1"/>
        <v>5.6972892457939531E-2</v>
      </c>
      <c r="K11" s="347">
        <f t="shared" si="1"/>
        <v>5.0931578372690904E-2</v>
      </c>
      <c r="L11" s="347">
        <f t="shared" si="1"/>
        <v>3.9844181278735659E-2</v>
      </c>
      <c r="M11" s="347">
        <f t="shared" si="1"/>
        <v>5.2770119529138626E-2</v>
      </c>
      <c r="N11" s="347">
        <f t="shared" si="1"/>
        <v>5.2776516120167483E-2</v>
      </c>
      <c r="O11" s="347">
        <f t="shared" si="1"/>
        <v>4.5399202615253063E-2</v>
      </c>
      <c r="P11" s="347">
        <f t="shared" si="1"/>
        <v>4.6832269297736505E-2</v>
      </c>
      <c r="Q11" s="353"/>
      <c r="R11" s="354"/>
      <c r="S11" s="355"/>
      <c r="T11" s="356"/>
      <c r="U11" s="356"/>
    </row>
    <row r="12" spans="1:23" x14ac:dyDescent="0.25">
      <c r="A12" s="350"/>
      <c r="B12" s="351" t="s">
        <v>213</v>
      </c>
      <c r="C12" s="347">
        <f>(C7-C8-C9)/C7</f>
        <v>8.0075282847646197E-3</v>
      </c>
      <c r="D12" s="347">
        <f t="shared" ref="D12:P12" si="2">(D7-D8-D9)/D7</f>
        <v>9.6589656599979576E-3</v>
      </c>
      <c r="E12" s="347">
        <f t="shared" si="2"/>
        <v>8.0090802004893005E-3</v>
      </c>
      <c r="F12" s="347">
        <f t="shared" si="2"/>
        <v>9.1081886688535642E-3</v>
      </c>
      <c r="G12" s="347">
        <f t="shared" si="2"/>
        <v>1.223168873878594E-2</v>
      </c>
      <c r="H12" s="347">
        <f t="shared" si="2"/>
        <v>1.309691615252092E-2</v>
      </c>
      <c r="I12" s="347">
        <f>(I7-I8-I9)/I7</f>
        <v>0.54654980416250676</v>
      </c>
      <c r="J12" s="347">
        <f t="shared" si="2"/>
        <v>8.1456621388751264E-3</v>
      </c>
      <c r="K12" s="347">
        <f t="shared" si="2"/>
        <v>1.0968504015167307E-2</v>
      </c>
      <c r="L12" s="347">
        <f t="shared" si="2"/>
        <v>7.9352849036471492E-3</v>
      </c>
      <c r="M12" s="347">
        <f t="shared" si="2"/>
        <v>7.8265285763517312E-3</v>
      </c>
      <c r="N12" s="347">
        <f t="shared" si="2"/>
        <v>6.4789829046454023E-3</v>
      </c>
      <c r="O12" s="347">
        <f t="shared" si="2"/>
        <v>1.6984013597063821E-2</v>
      </c>
      <c r="P12" s="347">
        <f t="shared" si="2"/>
        <v>-0.20259547301218805</v>
      </c>
      <c r="Q12" s="353"/>
      <c r="R12" s="354"/>
      <c r="S12" s="355"/>
      <c r="T12" s="356"/>
      <c r="U12" s="356"/>
    </row>
    <row r="13" spans="1:23" x14ac:dyDescent="0.25">
      <c r="A13" s="350"/>
      <c r="B13" s="351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53"/>
      <c r="R13" s="354"/>
      <c r="S13" s="355"/>
      <c r="T13" s="356"/>
      <c r="U13" s="356"/>
    </row>
    <row r="14" spans="1:23" ht="15.75" x14ac:dyDescent="0.25">
      <c r="A14" s="2424" t="s">
        <v>214</v>
      </c>
      <c r="B14" s="2425"/>
      <c r="C14" s="2425"/>
      <c r="D14" s="2425"/>
      <c r="E14" s="2425"/>
      <c r="F14" s="2425"/>
      <c r="G14" s="2425"/>
      <c r="H14" s="2425"/>
      <c r="I14" s="2425"/>
      <c r="J14" s="2425"/>
      <c r="K14" s="2425"/>
      <c r="L14" s="2425"/>
      <c r="M14" s="2425"/>
      <c r="N14" s="2425"/>
      <c r="O14" s="2425"/>
      <c r="P14" s="2425"/>
      <c r="Q14" s="2425"/>
      <c r="R14" s="2425"/>
      <c r="S14" s="2425"/>
      <c r="T14" s="2425"/>
      <c r="U14" s="2425"/>
    </row>
    <row r="15" spans="1:23" s="318" customFormat="1" ht="38.85" customHeight="1" x14ac:dyDescent="0.25">
      <c r="A15" s="316" t="s">
        <v>175</v>
      </c>
      <c r="B15" s="316" t="s">
        <v>176</v>
      </c>
      <c r="C15" s="316" t="s">
        <v>177</v>
      </c>
      <c r="D15" s="316" t="s">
        <v>178</v>
      </c>
      <c r="E15" s="316" t="s">
        <v>179</v>
      </c>
      <c r="F15" s="316" t="s">
        <v>180</v>
      </c>
      <c r="G15" s="316" t="s">
        <v>181</v>
      </c>
      <c r="H15" s="316" t="s">
        <v>182</v>
      </c>
      <c r="I15" s="316" t="s">
        <v>183</v>
      </c>
      <c r="J15" s="316" t="s">
        <v>184</v>
      </c>
      <c r="K15" s="316" t="s">
        <v>185</v>
      </c>
      <c r="L15" s="316" t="s">
        <v>186</v>
      </c>
      <c r="M15" s="316" t="s">
        <v>187</v>
      </c>
      <c r="N15" s="339" t="s">
        <v>197</v>
      </c>
      <c r="O15" s="339" t="s">
        <v>198</v>
      </c>
      <c r="P15" s="339" t="s">
        <v>199</v>
      </c>
      <c r="Q15" s="316" t="s">
        <v>200</v>
      </c>
      <c r="R15" s="317" t="s">
        <v>188</v>
      </c>
      <c r="S15" s="316" t="s">
        <v>189</v>
      </c>
      <c r="T15" s="316" t="s">
        <v>190</v>
      </c>
      <c r="U15" s="316" t="s">
        <v>191</v>
      </c>
    </row>
    <row r="16" spans="1:23" x14ac:dyDescent="0.25">
      <c r="A16" s="319">
        <v>1</v>
      </c>
      <c r="B16" s="319" t="s">
        <v>192</v>
      </c>
      <c r="C16" s="320">
        <v>680800</v>
      </c>
      <c r="D16" s="321">
        <v>806400</v>
      </c>
      <c r="E16" s="321">
        <v>858600</v>
      </c>
      <c r="F16" s="321">
        <v>898100</v>
      </c>
      <c r="G16" s="321">
        <v>26100</v>
      </c>
      <c r="H16" s="321">
        <v>513200</v>
      </c>
      <c r="I16" s="321">
        <v>119200</v>
      </c>
      <c r="J16" s="321">
        <v>208900</v>
      </c>
      <c r="K16" s="321">
        <v>147700</v>
      </c>
      <c r="L16" s="321">
        <v>425800</v>
      </c>
      <c r="M16" s="321">
        <v>347900</v>
      </c>
      <c r="N16" s="321">
        <v>459100</v>
      </c>
      <c r="O16" s="321">
        <v>509200</v>
      </c>
      <c r="P16" s="321">
        <v>396700</v>
      </c>
      <c r="Q16" s="321">
        <v>20200</v>
      </c>
      <c r="R16" s="322">
        <f>SUM(C16:Q16)</f>
        <v>6417900</v>
      </c>
      <c r="S16" s="348">
        <f>5745000+14073+R19</f>
        <v>7292813</v>
      </c>
      <c r="T16" s="2423"/>
      <c r="U16" s="2423"/>
    </row>
    <row r="17" spans="1:23" x14ac:dyDescent="0.25">
      <c r="A17" s="319">
        <v>2</v>
      </c>
      <c r="B17" s="319" t="s">
        <v>193</v>
      </c>
      <c r="C17" s="320">
        <v>722400</v>
      </c>
      <c r="D17" s="321">
        <v>826700</v>
      </c>
      <c r="E17" s="321">
        <v>980700</v>
      </c>
      <c r="F17" s="321">
        <v>980600</v>
      </c>
      <c r="G17" s="321">
        <v>19900</v>
      </c>
      <c r="H17" s="321">
        <v>582000</v>
      </c>
      <c r="I17" s="321">
        <v>150500</v>
      </c>
      <c r="J17" s="321">
        <v>215300</v>
      </c>
      <c r="K17" s="344">
        <v>70837</v>
      </c>
      <c r="L17" s="344">
        <v>488153</v>
      </c>
      <c r="M17" s="344">
        <v>379337</v>
      </c>
      <c r="N17" s="321">
        <v>502200</v>
      </c>
      <c r="O17" s="321">
        <v>535800</v>
      </c>
      <c r="P17" s="321">
        <v>412600</v>
      </c>
      <c r="Q17" s="321">
        <v>92100</v>
      </c>
      <c r="R17" s="322">
        <f>SUM(C17:Q17)</f>
        <v>6959127</v>
      </c>
      <c r="S17" s="349">
        <f>SUM(C17:M17)+R20</f>
        <v>6940126</v>
      </c>
      <c r="T17" s="323">
        <f>R17/R16</f>
        <v>1.0843308558874398</v>
      </c>
      <c r="U17" s="323">
        <f>S17/S16</f>
        <v>0.95163910002902863</v>
      </c>
      <c r="W17" s="321">
        <f>4984655+R20</f>
        <v>6508354</v>
      </c>
    </row>
    <row r="18" spans="1:23" x14ac:dyDescent="0.25">
      <c r="A18" s="319">
        <v>3</v>
      </c>
      <c r="B18" s="319" t="s">
        <v>64</v>
      </c>
      <c r="C18" s="320">
        <v>37300</v>
      </c>
      <c r="D18" s="321">
        <v>38700</v>
      </c>
      <c r="E18" s="321">
        <v>49500</v>
      </c>
      <c r="F18" s="321">
        <v>47100</v>
      </c>
      <c r="G18" s="321">
        <v>3800</v>
      </c>
      <c r="H18" s="321">
        <v>30300</v>
      </c>
      <c r="I18" s="321">
        <v>9300</v>
      </c>
      <c r="J18" s="321">
        <v>14000</v>
      </c>
      <c r="K18" s="321">
        <v>14800</v>
      </c>
      <c r="L18" s="321">
        <v>25100</v>
      </c>
      <c r="M18" s="321">
        <v>23400</v>
      </c>
      <c r="N18" s="321">
        <v>23900</v>
      </c>
      <c r="O18" s="321">
        <v>26800</v>
      </c>
      <c r="P18" s="321">
        <v>22200</v>
      </c>
      <c r="Q18" s="321">
        <v>5900</v>
      </c>
      <c r="R18" s="322">
        <f>SUM(C18:Q18)</f>
        <v>372100</v>
      </c>
      <c r="S18" s="349">
        <f>248746+R21</f>
        <v>322377</v>
      </c>
      <c r="T18" s="323">
        <f>R18/R16</f>
        <v>5.7978466476573336E-2</v>
      </c>
      <c r="U18" s="323">
        <f>S18/S16</f>
        <v>4.4204753364716742E-2</v>
      </c>
    </row>
    <row r="19" spans="1:23" x14ac:dyDescent="0.25">
      <c r="A19" s="324"/>
      <c r="B19" s="324"/>
      <c r="C19" s="347">
        <f>C17/C16</f>
        <v>1.0611045828437133</v>
      </c>
      <c r="D19" s="347">
        <f t="shared" ref="D19:K19" si="3">D17/D16</f>
        <v>1.0251736111111112</v>
      </c>
      <c r="E19" s="347">
        <f t="shared" si="3"/>
        <v>1.1422082459818308</v>
      </c>
      <c r="F19" s="347">
        <f t="shared" si="3"/>
        <v>1.091860594588576</v>
      </c>
      <c r="G19" s="347">
        <f t="shared" si="3"/>
        <v>0.76245210727969348</v>
      </c>
      <c r="H19" s="347">
        <f t="shared" si="3"/>
        <v>1.1340607950116914</v>
      </c>
      <c r="I19" s="347">
        <f t="shared" si="3"/>
        <v>1.2625838926174497</v>
      </c>
      <c r="J19" s="347">
        <f t="shared" si="3"/>
        <v>1.0306366682623265</v>
      </c>
      <c r="K19" s="347">
        <f t="shared" si="3"/>
        <v>0.47960054163845633</v>
      </c>
      <c r="L19" s="335">
        <v>269515</v>
      </c>
      <c r="M19" s="325" t="s">
        <v>201</v>
      </c>
      <c r="N19" s="336">
        <v>534002</v>
      </c>
      <c r="O19" s="337">
        <v>568773</v>
      </c>
      <c r="P19" s="337">
        <v>430750</v>
      </c>
      <c r="Q19" s="337">
        <v>269300</v>
      </c>
      <c r="R19" s="326">
        <f>L19+N19+O19+P19-Q19</f>
        <v>1533740</v>
      </c>
      <c r="S19" s="326"/>
      <c r="U19" s="327">
        <f>100%-U17-U18</f>
        <v>4.1561466062546293E-3</v>
      </c>
      <c r="V19" t="s">
        <v>194</v>
      </c>
    </row>
    <row r="20" spans="1:23" x14ac:dyDescent="0.25">
      <c r="A20" s="324"/>
      <c r="B20" s="324"/>
      <c r="C20" s="325"/>
      <c r="M20" s="325" t="s">
        <v>193</v>
      </c>
      <c r="N20" s="336">
        <v>492952</v>
      </c>
      <c r="O20" s="337">
        <v>532902</v>
      </c>
      <c r="P20" s="337">
        <v>497845</v>
      </c>
      <c r="Q20" s="337"/>
      <c r="R20" s="326">
        <f>SUM(N20:P20)</f>
        <v>1523699</v>
      </c>
    </row>
    <row r="21" spans="1:23" x14ac:dyDescent="0.25">
      <c r="A21" s="324"/>
      <c r="B21" s="324"/>
      <c r="C21" s="325"/>
      <c r="M21" s="325"/>
      <c r="N21" s="363">
        <v>27655</v>
      </c>
      <c r="O21" s="337">
        <v>25803</v>
      </c>
      <c r="P21" s="337">
        <v>20173</v>
      </c>
      <c r="Q21" s="337"/>
      <c r="R21" s="326">
        <f>SUM(N21:P21)</f>
        <v>73631</v>
      </c>
    </row>
    <row r="22" spans="1:23" ht="19.5" x14ac:dyDescent="0.3">
      <c r="A22" s="314"/>
      <c r="B22" s="346" t="s">
        <v>208</v>
      </c>
      <c r="C22" s="2421" t="s">
        <v>209</v>
      </c>
      <c r="D22" s="2421"/>
      <c r="E22" s="2421"/>
      <c r="F22" s="2421"/>
      <c r="G22" s="2421"/>
      <c r="H22" s="2421"/>
      <c r="I22" s="2421"/>
      <c r="J22" s="2421"/>
      <c r="K22" s="2421"/>
      <c r="L22" s="2421"/>
      <c r="M22" s="325"/>
      <c r="N22" s="345"/>
      <c r="O22" s="345"/>
      <c r="P22" s="338"/>
      <c r="Q22" s="338"/>
      <c r="R22" s="326"/>
    </row>
    <row r="23" spans="1:23" ht="19.5" x14ac:dyDescent="0.3">
      <c r="A23" s="314"/>
      <c r="B23" s="314"/>
      <c r="C23" s="2419" t="s">
        <v>210</v>
      </c>
      <c r="D23" s="2419"/>
      <c r="E23" s="2419"/>
      <c r="F23" s="2419"/>
      <c r="G23" s="2419"/>
      <c r="H23" s="2419"/>
      <c r="I23" s="2419"/>
      <c r="J23" s="2419"/>
      <c r="K23" s="2419"/>
      <c r="L23" s="2419"/>
      <c r="M23" s="325"/>
      <c r="N23" s="345"/>
      <c r="O23" s="345"/>
      <c r="P23" s="338"/>
      <c r="Q23" s="338"/>
      <c r="R23" s="326"/>
    </row>
    <row r="24" spans="1:23" ht="19.5" x14ac:dyDescent="0.3">
      <c r="A24" s="314"/>
      <c r="B24" s="314"/>
      <c r="C24" s="2419" t="s">
        <v>211</v>
      </c>
      <c r="D24" s="2419"/>
      <c r="E24" s="2419"/>
      <c r="F24" s="2419"/>
      <c r="G24" s="2419"/>
      <c r="H24" s="2419"/>
      <c r="I24" s="2419"/>
      <c r="J24" s="2419"/>
      <c r="K24" s="324"/>
      <c r="L24" s="324"/>
      <c r="M24" s="325"/>
      <c r="N24" s="345"/>
      <c r="O24" s="345"/>
      <c r="P24" s="338"/>
      <c r="Q24" s="338"/>
      <c r="R24" s="326"/>
    </row>
    <row r="25" spans="1:23" ht="19.5" x14ac:dyDescent="0.3">
      <c r="A25" s="2422" t="s">
        <v>195</v>
      </c>
      <c r="B25" s="2422"/>
      <c r="C25" s="315"/>
      <c r="D25" s="315"/>
      <c r="E25" s="315"/>
      <c r="F25" s="315"/>
      <c r="G25" s="315"/>
      <c r="H25" s="314"/>
      <c r="I25" s="315"/>
      <c r="J25" s="315"/>
      <c r="K25" s="315"/>
      <c r="L25" s="315"/>
      <c r="M25" s="325"/>
      <c r="N25" s="338"/>
      <c r="O25" s="338"/>
      <c r="P25" s="338"/>
      <c r="Q25" s="338"/>
      <c r="R25" s="326"/>
    </row>
    <row r="26" spans="1:23" ht="15.75" x14ac:dyDescent="0.25">
      <c r="A26" s="2240" t="s">
        <v>174</v>
      </c>
      <c r="B26" s="2240"/>
      <c r="C26" s="2240"/>
      <c r="D26" s="2240"/>
      <c r="E26" s="2240"/>
      <c r="F26" s="2240"/>
      <c r="G26" s="2240"/>
      <c r="H26" s="2240"/>
      <c r="I26" s="2240"/>
      <c r="J26" s="2240"/>
      <c r="K26" s="2240"/>
      <c r="L26" s="2240"/>
      <c r="M26" s="2240"/>
      <c r="N26" s="2240"/>
      <c r="O26" s="2240"/>
      <c r="P26" s="2240"/>
      <c r="Q26" s="2240"/>
      <c r="R26" s="2240"/>
      <c r="S26" s="2240"/>
      <c r="T26" s="2240"/>
    </row>
    <row r="27" spans="1:23" s="318" customFormat="1" ht="38.85" customHeight="1" x14ac:dyDescent="0.25">
      <c r="A27" s="316" t="s">
        <v>175</v>
      </c>
      <c r="B27" s="316" t="s">
        <v>176</v>
      </c>
      <c r="C27" s="316" t="s">
        <v>177</v>
      </c>
      <c r="D27" s="316" t="s">
        <v>178</v>
      </c>
      <c r="E27" s="316" t="s">
        <v>179</v>
      </c>
      <c r="F27" s="316" t="s">
        <v>180</v>
      </c>
      <c r="G27" s="316" t="s">
        <v>181</v>
      </c>
      <c r="H27" s="316" t="s">
        <v>182</v>
      </c>
      <c r="I27" s="316" t="s">
        <v>183</v>
      </c>
      <c r="J27" s="316" t="s">
        <v>184</v>
      </c>
      <c r="K27" s="316" t="s">
        <v>185</v>
      </c>
      <c r="L27" s="316" t="s">
        <v>186</v>
      </c>
      <c r="M27" s="316" t="s">
        <v>187</v>
      </c>
      <c r="N27" s="316" t="s">
        <v>197</v>
      </c>
      <c r="O27" s="316" t="s">
        <v>198</v>
      </c>
      <c r="P27" s="316" t="s">
        <v>199</v>
      </c>
      <c r="Q27" s="316" t="s">
        <v>200</v>
      </c>
      <c r="R27" s="317" t="s">
        <v>188</v>
      </c>
      <c r="S27" s="316" t="s">
        <v>189</v>
      </c>
      <c r="T27" s="316" t="s">
        <v>128</v>
      </c>
    </row>
    <row r="28" spans="1:23" s="332" customFormat="1" ht="15" customHeight="1" x14ac:dyDescent="0.25">
      <c r="A28" s="316">
        <v>1</v>
      </c>
      <c r="B28" s="328" t="s">
        <v>193</v>
      </c>
      <c r="C28" s="329">
        <v>667300</v>
      </c>
      <c r="D28" s="329">
        <v>695000</v>
      </c>
      <c r="E28" s="329">
        <v>814100</v>
      </c>
      <c r="F28" s="329">
        <v>760000</v>
      </c>
      <c r="G28" s="329">
        <v>620300</v>
      </c>
      <c r="H28" s="329">
        <v>587100</v>
      </c>
      <c r="I28" s="329">
        <v>118500</v>
      </c>
      <c r="J28" s="329">
        <v>0</v>
      </c>
      <c r="K28" s="329">
        <v>253000</v>
      </c>
      <c r="L28" s="329">
        <v>0</v>
      </c>
      <c r="M28" s="329">
        <v>466900</v>
      </c>
      <c r="N28" s="329">
        <v>258400</v>
      </c>
      <c r="O28" s="329">
        <v>584400</v>
      </c>
      <c r="P28" s="329">
        <v>680200</v>
      </c>
      <c r="Q28" s="329"/>
      <c r="R28" s="330">
        <f>SUM(C28:Q28)</f>
        <v>6505200</v>
      </c>
      <c r="S28" s="330"/>
      <c r="T28" s="331"/>
    </row>
    <row r="29" spans="1:23" x14ac:dyDescent="0.25">
      <c r="A29" s="316">
        <v>2</v>
      </c>
      <c r="B29" s="319" t="s">
        <v>196</v>
      </c>
      <c r="C29" s="320">
        <v>518400</v>
      </c>
      <c r="D29" s="333">
        <v>487200</v>
      </c>
      <c r="E29" s="333">
        <v>539100</v>
      </c>
      <c r="F29" s="333">
        <v>571900</v>
      </c>
      <c r="G29" s="333">
        <v>554300</v>
      </c>
      <c r="H29" s="333">
        <v>449900</v>
      </c>
      <c r="I29" s="333">
        <v>209900</v>
      </c>
      <c r="J29" s="333">
        <v>0</v>
      </c>
      <c r="K29" s="333">
        <v>297100</v>
      </c>
      <c r="L29" s="333">
        <v>0</v>
      </c>
      <c r="M29" s="320">
        <v>472500</v>
      </c>
      <c r="N29" s="320">
        <v>207400</v>
      </c>
      <c r="O29" s="320">
        <v>239100</v>
      </c>
      <c r="P29" s="320">
        <v>414100</v>
      </c>
      <c r="Q29" s="320"/>
      <c r="R29" s="330">
        <f>SUM(C29:Q29)</f>
        <v>4960900</v>
      </c>
      <c r="S29" s="334"/>
      <c r="T29" s="334"/>
    </row>
    <row r="30" spans="1:23" x14ac:dyDescent="0.25">
      <c r="A30" s="316">
        <v>3</v>
      </c>
      <c r="B30" s="319" t="s">
        <v>73</v>
      </c>
      <c r="C30" s="320">
        <v>207500</v>
      </c>
      <c r="D30" s="333">
        <v>202900</v>
      </c>
      <c r="E30" s="333">
        <v>215500</v>
      </c>
      <c r="F30" s="333">
        <f>27400+151100+55600</f>
        <v>234100</v>
      </c>
      <c r="G30" s="333">
        <v>213300</v>
      </c>
      <c r="H30" s="333">
        <v>183700</v>
      </c>
      <c r="I30" s="333">
        <v>104800</v>
      </c>
      <c r="J30" s="333">
        <v>0</v>
      </c>
      <c r="K30" s="333">
        <v>93900</v>
      </c>
      <c r="L30" s="333">
        <v>0</v>
      </c>
      <c r="M30" s="320">
        <v>172400</v>
      </c>
      <c r="N30" s="320">
        <v>111100</v>
      </c>
      <c r="O30" s="320">
        <v>81200</v>
      </c>
      <c r="P30" s="320">
        <v>193200</v>
      </c>
      <c r="Q30" s="320"/>
      <c r="R30" s="330">
        <f>SUM(C30:Q30)</f>
        <v>2013600</v>
      </c>
      <c r="S30" s="334"/>
      <c r="T30" s="334"/>
    </row>
    <row r="31" spans="1:23" x14ac:dyDescent="0.25">
      <c r="A31" s="318"/>
      <c r="B31" s="324"/>
      <c r="C31" s="340"/>
      <c r="D31" s="341"/>
      <c r="E31" s="341"/>
      <c r="F31" s="341"/>
      <c r="G31" s="341"/>
      <c r="H31" s="341"/>
      <c r="I31" s="341"/>
      <c r="J31" s="341"/>
      <c r="K31" s="341"/>
      <c r="L31" s="341"/>
      <c r="M31" s="340"/>
      <c r="N31" s="340"/>
      <c r="O31" s="340"/>
      <c r="P31" s="340"/>
      <c r="Q31" s="340"/>
      <c r="R31" s="342"/>
      <c r="S31" s="343"/>
      <c r="T31" s="343"/>
    </row>
    <row r="32" spans="1:23" x14ac:dyDescent="0.25">
      <c r="O32" s="2420" t="s">
        <v>202</v>
      </c>
      <c r="P32" s="2420"/>
      <c r="Q32" s="2420"/>
      <c r="R32" s="335">
        <f>1311190</f>
        <v>1311190</v>
      </c>
      <c r="S32" s="335"/>
    </row>
    <row r="33" spans="2:19" x14ac:dyDescent="0.25">
      <c r="B33" s="319"/>
      <c r="O33" s="2420" t="s">
        <v>203</v>
      </c>
      <c r="P33" s="2420"/>
      <c r="Q33" s="2420"/>
      <c r="R33" s="335">
        <v>3865830</v>
      </c>
      <c r="S33" s="335"/>
    </row>
    <row r="34" spans="2:19" x14ac:dyDescent="0.25">
      <c r="O34" s="2420" t="s">
        <v>204</v>
      </c>
      <c r="P34" s="2420"/>
      <c r="Q34" s="2420"/>
      <c r="R34" s="335">
        <v>1888995</v>
      </c>
      <c r="S34" s="335"/>
    </row>
    <row r="35" spans="2:19" x14ac:dyDescent="0.25">
      <c r="O35" s="2420" t="s">
        <v>205</v>
      </c>
      <c r="P35" s="2420"/>
      <c r="Q35" s="2420"/>
      <c r="R35" s="335">
        <v>1320540.5602713902</v>
      </c>
      <c r="S35" s="335"/>
    </row>
    <row r="36" spans="2:19" x14ac:dyDescent="0.25">
      <c r="O36" s="361"/>
      <c r="P36" s="361"/>
      <c r="Q36" s="361"/>
      <c r="R36" s="335">
        <f>R32+R33+R34-R35</f>
        <v>5745474.4397286102</v>
      </c>
      <c r="S36" s="335"/>
    </row>
    <row r="37" spans="2:19" x14ac:dyDescent="0.25">
      <c r="O37" s="361"/>
      <c r="P37" s="361"/>
      <c r="Q37" s="361"/>
      <c r="R37" s="335"/>
      <c r="S37" s="335"/>
    </row>
    <row r="38" spans="2:19" x14ac:dyDescent="0.25">
      <c r="O38" s="2419" t="s">
        <v>206</v>
      </c>
      <c r="P38" s="2419"/>
      <c r="Q38" s="2419"/>
      <c r="R38" s="335">
        <v>178489.21760545607</v>
      </c>
      <c r="S38" s="335"/>
    </row>
    <row r="39" spans="2:19" x14ac:dyDescent="0.25">
      <c r="O39" s="2419" t="s">
        <v>207</v>
      </c>
      <c r="P39" s="2419"/>
      <c r="Q39" s="2419"/>
      <c r="R39" s="335">
        <f>SUM(C28:M28)</f>
        <v>4982200</v>
      </c>
      <c r="S39" s="335"/>
    </row>
    <row r="40" spans="2:19" x14ac:dyDescent="0.25">
      <c r="O40" s="2419" t="s">
        <v>205</v>
      </c>
      <c r="P40" s="2419"/>
      <c r="Q40" s="2419"/>
      <c r="R40" s="335"/>
      <c r="S40" s="335"/>
    </row>
    <row r="41" spans="2:19" x14ac:dyDescent="0.25">
      <c r="R41" s="335"/>
      <c r="S41" s="335"/>
    </row>
    <row r="42" spans="2:19" x14ac:dyDescent="0.25">
      <c r="R42" s="335"/>
      <c r="S42" s="335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29</vt:i4>
      </vt:variant>
      <vt:variant>
        <vt:lpstr>Rentang Bernama</vt:lpstr>
      </vt:variant>
      <vt:variant>
        <vt:i4>6</vt:i4>
      </vt:variant>
    </vt:vector>
  </HeadingPairs>
  <TitlesOfParts>
    <vt:vector size="35" baseType="lpstr">
      <vt:lpstr>JUNI 2025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Qty cons analysis</vt:lpstr>
      <vt:lpstr>Utility</vt:lpstr>
      <vt:lpstr>Prod</vt:lpstr>
      <vt:lpstr>OIP Refinery </vt:lpstr>
      <vt:lpstr>Oip Fract .</vt:lpstr>
      <vt:lpstr>2025</vt:lpstr>
      <vt:lpstr>Downtime Juni</vt:lpstr>
      <vt:lpstr>Downtime Ref Juni</vt:lpstr>
      <vt:lpstr>Downtime Fract Juni 25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Juni 25'!Print_Area</vt:lpstr>
      <vt:lpstr>'Downtime Ref Juni'!Print_Area</vt:lpstr>
      <vt:lpstr>'JUNI 2025'!Print_Area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2025-07-01T07:59:18Z</cp:lastPrinted>
  <dcterms:created xsi:type="dcterms:W3CDTF">2022-09-06T08:59:53Z</dcterms:created>
  <dcterms:modified xsi:type="dcterms:W3CDTF">2025-10-22T08:38:57Z</dcterms:modified>
</cp:coreProperties>
</file>