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F60498B3-1F91-49ED-9BAA-9A87E2ED7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I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OIP Refinery " sheetId="36" state="hidden" r:id="rId9"/>
    <sheet name="Oip Fract ." sheetId="37" state="hidden" r:id="rId10"/>
    <sheet name="2025" sheetId="41" state="hidden" r:id="rId11"/>
    <sheet name="Prod" sheetId="31" state="hidden" r:id="rId12"/>
    <sheet name="Utility" sheetId="32" state="hidden" r:id="rId13"/>
    <sheet name="Qty cons analysis" sheetId="33" state="hidden" r:id="rId14"/>
    <sheet name="Downtime Ref Juli" sheetId="34" state="hidden" r:id="rId15"/>
    <sheet name="Downtime Fract Juli" sheetId="35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'JULI 2025'!$A$4:$VUA$4</definedName>
    <definedName name="_xlnm.Print_Area" localSheetId="15">'Downtime Fract Juli'!$C$1:$H$69</definedName>
    <definedName name="_xlnm.Print_Area" localSheetId="14">'Downtime Ref Juli'!$D$1:$I$67</definedName>
    <definedName name="_xlnm.Print_Area" localSheetId="0">'JULI 2025'!$C$1:$AM$283</definedName>
    <definedName name="_xlnm.Print_Area" localSheetId="2">'Peformance Test REFINERY 1'!#REF!</definedName>
    <definedName name="_xlnm.Print_Area" localSheetId="11">Prod!$B$2:$H$87</definedName>
    <definedName name="_xlnm.Print_Area" localSheetId="13">'Qty cons analysis'!$D$2:$I$53</definedName>
    <definedName name="_xlnm.Print_Area" localSheetId="12">Utility!$D$1:$L$57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72" i="6" l="1"/>
  <c r="AM271" i="6"/>
  <c r="AH272" i="6"/>
  <c r="AK272" i="6"/>
  <c r="AJ272" i="6"/>
  <c r="AI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X294" i="6"/>
  <c r="W8" i="6"/>
  <c r="H16" i="33" l="1"/>
  <c r="G21" i="33"/>
  <c r="G22" i="33"/>
  <c r="G20" i="33"/>
  <c r="G18" i="33"/>
  <c r="G17" i="33"/>
  <c r="G16" i="33"/>
  <c r="G14" i="33"/>
  <c r="AD252" i="6" l="1"/>
  <c r="Z15" i="41"/>
  <c r="T10" i="41"/>
  <c r="K29" i="32"/>
  <c r="H36" i="32" l="1"/>
  <c r="H26" i="32"/>
  <c r="H33" i="32" s="1"/>
  <c r="H24" i="32"/>
  <c r="H17" i="32"/>
  <c r="I30" i="32"/>
  <c r="J31" i="32"/>
  <c r="J30" i="32"/>
  <c r="K19" i="32"/>
  <c r="K24" i="32"/>
  <c r="K23" i="32"/>
  <c r="K22" i="32"/>
  <c r="K21" i="32"/>
  <c r="I23" i="32"/>
  <c r="J23" i="32" s="1"/>
  <c r="Q255" i="6"/>
  <c r="AM254" i="6"/>
  <c r="AK254" i="6"/>
  <c r="AJ254" i="6"/>
  <c r="AI254" i="6"/>
  <c r="AH254" i="6"/>
  <c r="AG254" i="6"/>
  <c r="AF254" i="6"/>
  <c r="AD254" i="6"/>
  <c r="AC254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AE254" i="6"/>
  <c r="M255" i="6"/>
  <c r="J21" i="32"/>
  <c r="J19" i="32"/>
  <c r="I19" i="32"/>
  <c r="K13" i="32"/>
  <c r="J42" i="32"/>
  <c r="J41" i="32"/>
  <c r="J40" i="32"/>
  <c r="J39" i="32"/>
  <c r="J38" i="32"/>
  <c r="J32" i="32"/>
  <c r="J17" i="32"/>
  <c r="J16" i="32"/>
  <c r="J15" i="32"/>
  <c r="J13" i="32"/>
  <c r="K42" i="32"/>
  <c r="K41" i="32"/>
  <c r="K40" i="32"/>
  <c r="K39" i="32"/>
  <c r="K38" i="32"/>
  <c r="K37" i="32"/>
  <c r="K32" i="32"/>
  <c r="K31" i="32"/>
  <c r="K30" i="32"/>
  <c r="K27" i="32"/>
  <c r="K16" i="32"/>
  <c r="K15" i="32"/>
  <c r="K17" i="32" s="1"/>
  <c r="K10" i="32"/>
  <c r="AK246" i="6" l="1"/>
  <c r="AJ246" i="6"/>
  <c r="AI246" i="6"/>
  <c r="AH245" i="6"/>
  <c r="AI245" i="6"/>
  <c r="AH247" i="6"/>
  <c r="AI247" i="6"/>
  <c r="AJ247" i="6"/>
  <c r="AM244" i="6"/>
  <c r="I15" i="32" s="1"/>
  <c r="AM243" i="6"/>
  <c r="AM246" i="6"/>
  <c r="I16" i="32" s="1"/>
  <c r="AU4" i="6"/>
  <c r="F11" i="31"/>
  <c r="G64" i="31"/>
  <c r="F61" i="31"/>
  <c r="G61" i="31" s="1"/>
  <c r="F37" i="31"/>
  <c r="F36" i="31"/>
  <c r="F9" i="31"/>
  <c r="G9" i="31" s="1"/>
  <c r="F10" i="31" l="1"/>
  <c r="I17" i="32"/>
  <c r="AU246" i="6"/>
  <c r="AU247" i="6" s="1"/>
  <c r="F38" i="35"/>
  <c r="D38" i="35"/>
  <c r="J37" i="35"/>
  <c r="H37" i="35"/>
  <c r="G37" i="35"/>
  <c r="J36" i="35"/>
  <c r="H36" i="35"/>
  <c r="G36" i="35"/>
  <c r="J35" i="35"/>
  <c r="H35" i="35"/>
  <c r="G35" i="35"/>
  <c r="J34" i="35"/>
  <c r="H34" i="35"/>
  <c r="G34" i="35"/>
  <c r="J33" i="35"/>
  <c r="H33" i="35"/>
  <c r="G33" i="35"/>
  <c r="J32" i="35"/>
  <c r="H32" i="35"/>
  <c r="G32" i="35"/>
  <c r="J31" i="35"/>
  <c r="H31" i="35"/>
  <c r="G31" i="35"/>
  <c r="J30" i="35"/>
  <c r="H30" i="35"/>
  <c r="G30" i="35"/>
  <c r="J29" i="35"/>
  <c r="H29" i="35"/>
  <c r="G29" i="35"/>
  <c r="J28" i="35"/>
  <c r="H28" i="35"/>
  <c r="G28" i="35"/>
  <c r="J27" i="35"/>
  <c r="H27" i="35"/>
  <c r="G27" i="35"/>
  <c r="J26" i="35"/>
  <c r="H26" i="35"/>
  <c r="G26" i="35"/>
  <c r="J25" i="35"/>
  <c r="H25" i="35"/>
  <c r="G25" i="35"/>
  <c r="J24" i="35"/>
  <c r="H24" i="35"/>
  <c r="G24" i="35"/>
  <c r="J23" i="35"/>
  <c r="H23" i="35"/>
  <c r="G23" i="35"/>
  <c r="J22" i="35"/>
  <c r="H22" i="35"/>
  <c r="G22" i="35"/>
  <c r="J21" i="35"/>
  <c r="H21" i="35"/>
  <c r="G21" i="35"/>
  <c r="F48" i="35" s="1"/>
  <c r="J20" i="35"/>
  <c r="H20" i="35"/>
  <c r="G20" i="35"/>
  <c r="J19" i="35"/>
  <c r="H19" i="35"/>
  <c r="G19" i="35"/>
  <c r="J18" i="35"/>
  <c r="H18" i="35"/>
  <c r="G18" i="35"/>
  <c r="J17" i="35"/>
  <c r="H17" i="35"/>
  <c r="G17" i="35"/>
  <c r="J16" i="35"/>
  <c r="H16" i="35"/>
  <c r="G16" i="35"/>
  <c r="J15" i="35"/>
  <c r="H15" i="35"/>
  <c r="G15" i="35"/>
  <c r="J14" i="35"/>
  <c r="H14" i="35"/>
  <c r="G14" i="35"/>
  <c r="F43" i="35" s="1"/>
  <c r="J13" i="35"/>
  <c r="H13" i="35"/>
  <c r="G13" i="35"/>
  <c r="F45" i="35" s="1"/>
  <c r="J12" i="35"/>
  <c r="H12" i="35"/>
  <c r="G12" i="35"/>
  <c r="J11" i="35"/>
  <c r="H11" i="35"/>
  <c r="G11" i="35"/>
  <c r="J10" i="35"/>
  <c r="H10" i="35"/>
  <c r="G10" i="35"/>
  <c r="J9" i="35"/>
  <c r="H9" i="35"/>
  <c r="G9" i="35"/>
  <c r="J8" i="35"/>
  <c r="H8" i="35"/>
  <c r="G8" i="35"/>
  <c r="J7" i="35"/>
  <c r="J38" i="35" s="1"/>
  <c r="H7" i="35"/>
  <c r="G7" i="35"/>
  <c r="F51" i="35" s="1"/>
  <c r="G39" i="34"/>
  <c r="E39" i="34"/>
  <c r="K38" i="34"/>
  <c r="I38" i="34"/>
  <c r="H38" i="34"/>
  <c r="K37" i="34"/>
  <c r="I37" i="34"/>
  <c r="H37" i="34"/>
  <c r="K36" i="34"/>
  <c r="I36" i="34"/>
  <c r="H36" i="34"/>
  <c r="K35" i="34"/>
  <c r="I35" i="34"/>
  <c r="H35" i="34"/>
  <c r="K34" i="34"/>
  <c r="I34" i="34"/>
  <c r="H34" i="34"/>
  <c r="K33" i="34"/>
  <c r="I33" i="34"/>
  <c r="H33" i="34"/>
  <c r="K32" i="34"/>
  <c r="I32" i="34"/>
  <c r="H32" i="34"/>
  <c r="K31" i="34"/>
  <c r="I31" i="34"/>
  <c r="H31" i="34"/>
  <c r="K30" i="34"/>
  <c r="I30" i="34"/>
  <c r="H30" i="34"/>
  <c r="K29" i="34"/>
  <c r="I29" i="34"/>
  <c r="H29" i="34"/>
  <c r="K28" i="34"/>
  <c r="I28" i="34"/>
  <c r="H28" i="34"/>
  <c r="G52" i="34" s="1"/>
  <c r="K27" i="34"/>
  <c r="I27" i="34"/>
  <c r="H27" i="34"/>
  <c r="K26" i="34"/>
  <c r="I26" i="34"/>
  <c r="H26" i="34"/>
  <c r="K25" i="34"/>
  <c r="I25" i="34"/>
  <c r="H25" i="34"/>
  <c r="K24" i="34"/>
  <c r="I24" i="34"/>
  <c r="H24" i="34"/>
  <c r="G43" i="34" s="1"/>
  <c r="K23" i="34"/>
  <c r="I23" i="34"/>
  <c r="H23" i="34"/>
  <c r="K22" i="34"/>
  <c r="I22" i="34"/>
  <c r="H22" i="34"/>
  <c r="K21" i="34"/>
  <c r="I21" i="34"/>
  <c r="H21" i="34"/>
  <c r="K20" i="34"/>
  <c r="I20" i="34"/>
  <c r="H20" i="34"/>
  <c r="G48" i="34" s="1"/>
  <c r="K19" i="34"/>
  <c r="I19" i="34"/>
  <c r="H19" i="34"/>
  <c r="G44" i="34" s="1"/>
  <c r="K18" i="34"/>
  <c r="I18" i="34"/>
  <c r="H18" i="34"/>
  <c r="G45" i="34" s="1"/>
  <c r="K17" i="34"/>
  <c r="I17" i="34"/>
  <c r="H17" i="34"/>
  <c r="K16" i="34"/>
  <c r="I16" i="34"/>
  <c r="H16" i="34"/>
  <c r="K15" i="34"/>
  <c r="I15" i="34"/>
  <c r="H15" i="34"/>
  <c r="G50" i="34" s="1"/>
  <c r="K14" i="34"/>
  <c r="I14" i="34"/>
  <c r="H14" i="34"/>
  <c r="G46" i="34" s="1"/>
  <c r="K13" i="34"/>
  <c r="I13" i="34"/>
  <c r="H13" i="34"/>
  <c r="K12" i="34"/>
  <c r="I12" i="34"/>
  <c r="H12" i="34"/>
  <c r="K11" i="34"/>
  <c r="I11" i="34"/>
  <c r="H11" i="34"/>
  <c r="K10" i="34"/>
  <c r="I10" i="34"/>
  <c r="H10" i="34"/>
  <c r="K9" i="34"/>
  <c r="I9" i="34"/>
  <c r="H9" i="34"/>
  <c r="K8" i="34"/>
  <c r="K39" i="34" s="1"/>
  <c r="I8" i="34"/>
  <c r="H8" i="34"/>
  <c r="G51" i="34" s="1"/>
  <c r="F55" i="35" l="1"/>
  <c r="G38" i="35"/>
  <c r="G53" i="34"/>
  <c r="H39" i="34"/>
  <c r="M266" i="6" l="1"/>
  <c r="M264" i="6"/>
  <c r="M262" i="6"/>
  <c r="X245" i="6" l="1"/>
  <c r="Y245" i="6"/>
  <c r="AU75" i="6"/>
  <c r="AU34" i="6" l="1"/>
  <c r="AY20" i="6"/>
  <c r="AW19" i="6" l="1"/>
  <c r="AW20" i="6"/>
  <c r="AM282" i="6" l="1"/>
  <c r="AM281" i="6"/>
  <c r="AM280" i="6"/>
  <c r="AM279" i="6"/>
  <c r="AM276" i="6"/>
  <c r="AM274" i="6"/>
  <c r="AM268" i="6"/>
  <c r="AM267" i="6"/>
  <c r="AM266" i="6"/>
  <c r="AM265" i="6"/>
  <c r="AM264" i="6"/>
  <c r="AM263" i="6"/>
  <c r="AM261" i="6"/>
  <c r="AM259" i="6"/>
  <c r="AM253" i="6"/>
  <c r="AM251" i="6"/>
  <c r="AM249" i="6"/>
  <c r="AM241" i="6"/>
  <c r="AM240" i="6"/>
  <c r="AM239" i="6"/>
  <c r="AM87" i="6"/>
  <c r="AM83" i="6"/>
  <c r="AM75" i="6"/>
  <c r="AM69" i="6"/>
  <c r="AM68" i="6"/>
  <c r="AM63" i="6"/>
  <c r="AM62" i="6"/>
  <c r="AM47" i="6"/>
  <c r="AM46" i="6"/>
  <c r="AM45" i="6"/>
  <c r="AM34" i="6"/>
  <c r="AM33" i="6"/>
  <c r="AM32" i="6"/>
  <c r="AM25" i="6"/>
  <c r="AM23" i="6"/>
  <c r="AM21" i="6"/>
  <c r="AM20" i="6"/>
  <c r="AM19" i="6"/>
  <c r="AM18" i="6"/>
  <c r="AM15" i="6"/>
  <c r="AM14" i="6"/>
  <c r="AM13" i="6"/>
  <c r="AM12" i="6"/>
  <c r="AM6" i="6"/>
  <c r="AK47" i="6"/>
  <c r="AM260" i="6" l="1"/>
  <c r="AK245" i="6" l="1"/>
  <c r="AC287" i="6"/>
  <c r="AK283" i="6"/>
  <c r="AK247" i="6"/>
  <c r="AM247" i="6" s="1"/>
  <c r="AK14" i="6"/>
  <c r="AK13" i="6"/>
  <c r="AK277" i="6"/>
  <c r="AK275" i="6"/>
  <c r="AK266" i="6"/>
  <c r="AK262" i="6"/>
  <c r="AK255" i="6"/>
  <c r="AK257" i="6" s="1"/>
  <c r="AK252" i="6"/>
  <c r="AK88" i="6"/>
  <c r="AK85" i="6"/>
  <c r="AK86" i="6" s="1"/>
  <c r="AK84" i="6"/>
  <c r="AK72" i="6"/>
  <c r="AK71" i="6"/>
  <c r="AK70" i="6"/>
  <c r="AK69" i="6"/>
  <c r="AK68" i="6"/>
  <c r="AK62" i="6"/>
  <c r="AK61" i="6"/>
  <c r="AK60" i="6"/>
  <c r="AK55" i="6"/>
  <c r="AK73" i="6" s="1"/>
  <c r="AK50" i="6"/>
  <c r="AK45" i="6"/>
  <c r="AK41" i="6"/>
  <c r="AK67" i="6" s="1"/>
  <c r="AK36" i="6"/>
  <c r="AK64" i="6" s="1"/>
  <c r="AK32" i="6"/>
  <c r="AK12" i="6"/>
  <c r="AK82" i="6" s="1"/>
  <c r="AK11" i="6"/>
  <c r="AK8" i="6"/>
  <c r="AI11" i="6"/>
  <c r="AJ277" i="6"/>
  <c r="AI277" i="6"/>
  <c r="AH277" i="6"/>
  <c r="AG277" i="6"/>
  <c r="AJ275" i="6"/>
  <c r="AI275" i="6"/>
  <c r="AH275" i="6"/>
  <c r="AG275" i="6"/>
  <c r="AJ266" i="6"/>
  <c r="AI266" i="6"/>
  <c r="AH266" i="6"/>
  <c r="AG266" i="6"/>
  <c r="AJ262" i="6"/>
  <c r="AI262" i="6"/>
  <c r="AH262" i="6"/>
  <c r="AG262" i="6"/>
  <c r="AJ257" i="6"/>
  <c r="AJ255" i="6"/>
  <c r="AJ252" i="6"/>
  <c r="AJ245" i="6"/>
  <c r="L36" i="36"/>
  <c r="L35" i="36"/>
  <c r="N39" i="3"/>
  <c r="M39" i="3"/>
  <c r="L39" i="3"/>
  <c r="I39" i="3"/>
  <c r="H42" i="3"/>
  <c r="H40" i="3"/>
  <c r="H39" i="3"/>
  <c r="F40" i="3"/>
  <c r="F39" i="3"/>
  <c r="E40" i="3"/>
  <c r="E38" i="3"/>
  <c r="F38" i="3" s="1"/>
  <c r="H38" i="3" s="1"/>
  <c r="J38" i="3" s="1"/>
  <c r="B38" i="3"/>
  <c r="AJ283" i="6"/>
  <c r="AJ14" i="6"/>
  <c r="AJ13" i="6"/>
  <c r="AK76" i="6" l="1"/>
  <c r="AK29" i="6"/>
  <c r="AK280" i="6" s="1"/>
  <c r="AK65" i="6"/>
  <c r="AK63" i="6"/>
  <c r="AK66" i="6"/>
  <c r="M38" i="3"/>
  <c r="K38" i="3"/>
  <c r="N38" i="3" s="1"/>
  <c r="AI287" i="6"/>
  <c r="AI283" i="6"/>
  <c r="AH283" i="6"/>
  <c r="AI88" i="6"/>
  <c r="AJ88" i="6"/>
  <c r="AI47" i="6"/>
  <c r="AI45" i="6" s="1"/>
  <c r="AI29" i="6" s="1"/>
  <c r="L34" i="36"/>
  <c r="O283" i="6"/>
  <c r="P283" i="6"/>
  <c r="Q283" i="6"/>
  <c r="R283" i="6"/>
  <c r="S283" i="6"/>
  <c r="T283" i="6"/>
  <c r="AD283" i="6"/>
  <c r="AE283" i="6"/>
  <c r="AF283" i="6"/>
  <c r="AG283" i="6"/>
  <c r="N283" i="6"/>
  <c r="N289" i="6"/>
  <c r="O289" i="6"/>
  <c r="P289" i="6"/>
  <c r="Q289" i="6"/>
  <c r="R289" i="6"/>
  <c r="S289" i="6"/>
  <c r="T289" i="6"/>
  <c r="AD289" i="6"/>
  <c r="AE289" i="6"/>
  <c r="AF289" i="6"/>
  <c r="AG289" i="6"/>
  <c r="AH289" i="6"/>
  <c r="AI289" i="6"/>
  <c r="AJ289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D287" i="6"/>
  <c r="AE287" i="6"/>
  <c r="AF287" i="6"/>
  <c r="AG287" i="6"/>
  <c r="AH287" i="6"/>
  <c r="M287" i="6"/>
  <c r="AK264" i="6" l="1"/>
  <c r="AK282" i="6"/>
  <c r="AM29" i="6"/>
  <c r="AK30" i="6"/>
  <c r="AK28" i="6"/>
  <c r="AI280" i="6"/>
  <c r="AI282" i="6"/>
  <c r="AI264" i="6"/>
  <c r="AH246" i="6"/>
  <c r="L33" i="36"/>
  <c r="AH88" i="6"/>
  <c r="AH14" i="6"/>
  <c r="AH13" i="6"/>
  <c r="AD247" i="6"/>
  <c r="AE247" i="6"/>
  <c r="AF247" i="6"/>
  <c r="AG247" i="6"/>
  <c r="AE277" i="6"/>
  <c r="AF277" i="6"/>
  <c r="AE275" i="6"/>
  <c r="AF275" i="6"/>
  <c r="AD246" i="6"/>
  <c r="AE246" i="6"/>
  <c r="AF246" i="6"/>
  <c r="AG246" i="6"/>
  <c r="AC246" i="6"/>
  <c r="AC247" i="6" s="1"/>
  <c r="AD245" i="6"/>
  <c r="AE245" i="6"/>
  <c r="AF245" i="6"/>
  <c r="AG245" i="6"/>
  <c r="AC245" i="6"/>
  <c r="AM28" i="6" l="1"/>
  <c r="AM24" i="6"/>
  <c r="L31" i="36"/>
  <c r="L32" i="36"/>
  <c r="AG88" i="6" l="1"/>
  <c r="AD45" i="6"/>
  <c r="L232" i="41" l="1"/>
  <c r="L249" i="41"/>
  <c r="L77" i="41"/>
  <c r="AC266" i="6"/>
  <c r="L239" i="41"/>
  <c r="AC257" i="6"/>
  <c r="L241" i="41" s="1"/>
  <c r="AC255" i="6"/>
  <c r="AD255" i="6"/>
  <c r="AE255" i="6"/>
  <c r="AF255" i="6"/>
  <c r="AG255" i="6"/>
  <c r="AH255" i="6"/>
  <c r="AI255" i="6"/>
  <c r="AI257" i="6" s="1"/>
  <c r="AB246" i="6"/>
  <c r="AB247" i="6" s="1"/>
  <c r="AC88" i="6"/>
  <c r="AC11" i="6"/>
  <c r="AC76" i="6" s="1"/>
  <c r="AB245" i="6"/>
  <c r="AA245" i="6"/>
  <c r="Z245" i="6"/>
  <c r="V245" i="6"/>
  <c r="N245" i="6"/>
  <c r="O245" i="6"/>
  <c r="P245" i="6"/>
  <c r="Q245" i="6"/>
  <c r="R245" i="6"/>
  <c r="S245" i="6"/>
  <c r="T245" i="6"/>
  <c r="U245" i="6"/>
  <c r="W245" i="6"/>
  <c r="M245" i="6"/>
  <c r="M21" i="3"/>
  <c r="AC279" i="6" l="1"/>
  <c r="AB279" i="6"/>
  <c r="AC14" i="6"/>
  <c r="L16" i="41" s="1"/>
  <c r="AC13" i="6"/>
  <c r="AB14" i="6"/>
  <c r="AB13" i="6"/>
  <c r="AB12" i="6"/>
  <c r="AB11" i="6" s="1"/>
  <c r="AC283" i="6" l="1"/>
  <c r="AC289" i="6"/>
  <c r="AB289" i="6"/>
  <c r="AB283" i="6"/>
  <c r="U262" i="41"/>
  <c r="T262" i="41"/>
  <c r="U261" i="41"/>
  <c r="T261" i="41"/>
  <c r="AX252" i="41"/>
  <c r="V249" i="41"/>
  <c r="T249" i="41"/>
  <c r="D249" i="41"/>
  <c r="U248" i="41"/>
  <c r="D248" i="41"/>
  <c r="D247" i="41"/>
  <c r="AX243" i="41"/>
  <c r="U241" i="41"/>
  <c r="T239" i="41"/>
  <c r="V239" i="41" s="1"/>
  <c r="D236" i="41"/>
  <c r="D240" i="41" s="1"/>
  <c r="D241" i="41" s="1"/>
  <c r="U234" i="41"/>
  <c r="D234" i="41"/>
  <c r="T232" i="41"/>
  <c r="V232" i="41" s="1"/>
  <c r="AX230" i="41"/>
  <c r="D230" i="41"/>
  <c r="U227" i="41"/>
  <c r="F227" i="41"/>
  <c r="T227" i="41" s="1"/>
  <c r="V227" i="41" s="1"/>
  <c r="U226" i="41"/>
  <c r="F226" i="41"/>
  <c r="T226" i="41" s="1"/>
  <c r="F225" i="41"/>
  <c r="T225" i="41" s="1"/>
  <c r="V225" i="41" s="1"/>
  <c r="F224" i="41"/>
  <c r="T224" i="41" s="1"/>
  <c r="V224" i="41" s="1"/>
  <c r="F223" i="41"/>
  <c r="T223" i="41" s="1"/>
  <c r="V223" i="41" s="1"/>
  <c r="F215" i="41"/>
  <c r="T215" i="41" s="1"/>
  <c r="T213" i="41"/>
  <c r="T212" i="41"/>
  <c r="F211" i="41"/>
  <c r="T206" i="41"/>
  <c r="F203" i="41"/>
  <c r="T203" i="41" s="1"/>
  <c r="F202" i="41"/>
  <c r="F208" i="41" s="1"/>
  <c r="T208" i="41" s="1"/>
  <c r="U199" i="41"/>
  <c r="U198" i="41"/>
  <c r="U197" i="41"/>
  <c r="F197" i="41"/>
  <c r="U196" i="41"/>
  <c r="F196" i="41"/>
  <c r="T196" i="41" s="1"/>
  <c r="V196" i="41" s="1"/>
  <c r="V185" i="41"/>
  <c r="U185" i="41"/>
  <c r="T185" i="41"/>
  <c r="V184" i="41"/>
  <c r="U184" i="41"/>
  <c r="T184" i="41"/>
  <c r="U183" i="41"/>
  <c r="T183" i="41"/>
  <c r="V180" i="41"/>
  <c r="U180" i="41"/>
  <c r="U189" i="41" s="1"/>
  <c r="T180" i="41"/>
  <c r="U179" i="41"/>
  <c r="U188" i="41" s="1"/>
  <c r="T179" i="41"/>
  <c r="V179" i="41" s="1"/>
  <c r="U175" i="41"/>
  <c r="U174" i="41"/>
  <c r="U172" i="41"/>
  <c r="U171" i="41"/>
  <c r="U169" i="41"/>
  <c r="U173" i="41" s="1"/>
  <c r="U193" i="41" s="1"/>
  <c r="F169" i="41"/>
  <c r="F173" i="41" s="1"/>
  <c r="F194" i="41" s="1"/>
  <c r="F168" i="41"/>
  <c r="F189" i="41" s="1"/>
  <c r="F167" i="41"/>
  <c r="F188" i="41" s="1"/>
  <c r="F166" i="41"/>
  <c r="U164" i="41"/>
  <c r="U163" i="41"/>
  <c r="U162" i="41" s="1"/>
  <c r="F162" i="41"/>
  <c r="U153" i="41"/>
  <c r="C153" i="41"/>
  <c r="U152" i="41"/>
  <c r="C152" i="41"/>
  <c r="U150" i="41"/>
  <c r="F150" i="41"/>
  <c r="F153" i="41" s="1"/>
  <c r="U149" i="41"/>
  <c r="F149" i="41"/>
  <c r="F152" i="41" s="1"/>
  <c r="U146" i="41"/>
  <c r="U145" i="41"/>
  <c r="U144" i="41"/>
  <c r="U143" i="41"/>
  <c r="F141" i="41"/>
  <c r="T141" i="41" s="1"/>
  <c r="F140" i="41"/>
  <c r="GA138" i="41"/>
  <c r="U138" i="41"/>
  <c r="U137" i="41"/>
  <c r="U136" i="41" s="1"/>
  <c r="F136" i="41"/>
  <c r="F145" i="41" s="1"/>
  <c r="T145" i="41" s="1"/>
  <c r="V145" i="41" s="1"/>
  <c r="F135" i="41"/>
  <c r="U126" i="41"/>
  <c r="U125" i="41"/>
  <c r="U132" i="41" s="1"/>
  <c r="U123" i="41"/>
  <c r="U130" i="41" s="1"/>
  <c r="F123" i="41"/>
  <c r="T123" i="41" s="1"/>
  <c r="U122" i="41"/>
  <c r="U129" i="41" s="1"/>
  <c r="F122" i="41"/>
  <c r="T122" i="41" s="1"/>
  <c r="U119" i="41"/>
  <c r="U118" i="41"/>
  <c r="U117" i="41"/>
  <c r="U116" i="41"/>
  <c r="F114" i="41"/>
  <c r="F117" i="41" s="1"/>
  <c r="F113" i="41"/>
  <c r="F116" i="41" s="1"/>
  <c r="U110" i="41"/>
  <c r="U109" i="41"/>
  <c r="U108" i="41" s="1"/>
  <c r="F108" i="41"/>
  <c r="F118" i="41" s="1"/>
  <c r="T118" i="41" s="1"/>
  <c r="V118" i="41" s="1"/>
  <c r="U99" i="41"/>
  <c r="U98" i="41"/>
  <c r="U105" i="41" s="1"/>
  <c r="U96" i="41"/>
  <c r="U103" i="41" s="1"/>
  <c r="F96" i="41"/>
  <c r="U95" i="41"/>
  <c r="U102" i="41" s="1"/>
  <c r="F95" i="41"/>
  <c r="T95" i="41" s="1"/>
  <c r="U92" i="41"/>
  <c r="U90" i="41"/>
  <c r="U89" i="41"/>
  <c r="F87" i="41"/>
  <c r="T87" i="41" s="1"/>
  <c r="F86" i="41"/>
  <c r="T86" i="41" s="1"/>
  <c r="T89" i="41" s="1"/>
  <c r="V89" i="41" s="1"/>
  <c r="U84" i="41"/>
  <c r="F84" i="41"/>
  <c r="T84" i="41" s="1"/>
  <c r="FX83" i="41"/>
  <c r="OZ83" i="41" s="1"/>
  <c r="U83" i="41"/>
  <c r="OZ82" i="41"/>
  <c r="FX82" i="41"/>
  <c r="U82" i="41"/>
  <c r="U81" i="41" s="1"/>
  <c r="U91" i="41" s="1"/>
  <c r="F81" i="41"/>
  <c r="U80" i="41"/>
  <c r="F80" i="41"/>
  <c r="T80" i="41" s="1"/>
  <c r="OY79" i="41"/>
  <c r="GA78" i="41"/>
  <c r="V77" i="41"/>
  <c r="T77" i="41"/>
  <c r="U76" i="41"/>
  <c r="FN75" i="41"/>
  <c r="T72" i="41"/>
  <c r="V72" i="41" s="1"/>
  <c r="FN71" i="41"/>
  <c r="OR68" i="41"/>
  <c r="OR67" i="41" s="1"/>
  <c r="FN68" i="41"/>
  <c r="U68" i="41"/>
  <c r="OP58" i="41"/>
  <c r="OR58" i="41" s="1"/>
  <c r="U58" i="41"/>
  <c r="OR57" i="41"/>
  <c r="U57" i="41"/>
  <c r="T55" i="41"/>
  <c r="F54" i="41"/>
  <c r="T54" i="41" s="1"/>
  <c r="T53" i="41"/>
  <c r="DG52" i="41"/>
  <c r="V52" i="41"/>
  <c r="T52" i="41"/>
  <c r="T51" i="41"/>
  <c r="V51" i="41" s="1"/>
  <c r="V50" i="41"/>
  <c r="U50" i="41"/>
  <c r="T50" i="41"/>
  <c r="U49" i="41"/>
  <c r="U67" i="41" s="1"/>
  <c r="U48" i="41"/>
  <c r="T48" i="41"/>
  <c r="V48" i="41" s="1"/>
  <c r="R41" i="41"/>
  <c r="R40" i="41"/>
  <c r="U39" i="41"/>
  <c r="T37" i="41"/>
  <c r="V37" i="41" s="1"/>
  <c r="R37" i="41"/>
  <c r="T36" i="41"/>
  <c r="V36" i="41" s="1"/>
  <c r="R36" i="41"/>
  <c r="PF35" i="41"/>
  <c r="OS25" i="41" s="1"/>
  <c r="PF25" i="41" s="1"/>
  <c r="U35" i="41"/>
  <c r="D35" i="41"/>
  <c r="DI34" i="41"/>
  <c r="DH34" i="41"/>
  <c r="DG34" i="41"/>
  <c r="V34" i="41"/>
  <c r="U34" i="41"/>
  <c r="T34" i="41"/>
  <c r="R34" i="41"/>
  <c r="PF33" i="41"/>
  <c r="DI33" i="41"/>
  <c r="DH33" i="41"/>
  <c r="DG33" i="41"/>
  <c r="AX32" i="41"/>
  <c r="V32" i="41"/>
  <c r="T32" i="41"/>
  <c r="R32" i="41"/>
  <c r="T31" i="41"/>
  <c r="R31" i="41"/>
  <c r="U30" i="41"/>
  <c r="PF28" i="41"/>
  <c r="R28" i="41"/>
  <c r="AEG27" i="41"/>
  <c r="PF27" i="41"/>
  <c r="OO27" i="41"/>
  <c r="OO33" i="41" s="1"/>
  <c r="R27" i="41"/>
  <c r="AEG26" i="41"/>
  <c r="U26" i="41"/>
  <c r="U59" i="41" s="1"/>
  <c r="J26" i="41"/>
  <c r="I26" i="41"/>
  <c r="F23" i="41"/>
  <c r="AER20" i="41"/>
  <c r="AEG20" i="41"/>
  <c r="PF20" i="41"/>
  <c r="R20" i="41"/>
  <c r="AER19" i="41"/>
  <c r="AEG19" i="41"/>
  <c r="R19" i="41"/>
  <c r="AGV17" i="41"/>
  <c r="OR17" i="41"/>
  <c r="OS17" i="41" s="1"/>
  <c r="T17" i="41"/>
  <c r="R17" i="41"/>
  <c r="V17" i="41" s="1"/>
  <c r="AGV16" i="41"/>
  <c r="AGV19" i="41" s="1"/>
  <c r="OS16" i="41"/>
  <c r="OR16" i="41"/>
  <c r="DI16" i="41"/>
  <c r="DH16" i="41"/>
  <c r="DG16" i="41"/>
  <c r="T16" i="41"/>
  <c r="R16" i="41"/>
  <c r="U16" i="41" s="1"/>
  <c r="OR15" i="41"/>
  <c r="R15" i="41"/>
  <c r="T14" i="41"/>
  <c r="AX13" i="41"/>
  <c r="T13" i="41"/>
  <c r="R13" i="41"/>
  <c r="R12" i="41"/>
  <c r="J12" i="41"/>
  <c r="I12" i="41"/>
  <c r="AEE11" i="41"/>
  <c r="AEE26" i="41" s="1"/>
  <c r="R11" i="41"/>
  <c r="R10" i="41" s="1"/>
  <c r="R9" i="41"/>
  <c r="R8" i="41"/>
  <c r="F103" i="41" l="1"/>
  <c r="T167" i="41"/>
  <c r="V167" i="41" s="1"/>
  <c r="V171" i="41" s="1"/>
  <c r="F89" i="41"/>
  <c r="F144" i="41"/>
  <c r="F160" i="41" s="1"/>
  <c r="R30" i="41"/>
  <c r="F218" i="41"/>
  <c r="V16" i="41"/>
  <c r="F214" i="41"/>
  <c r="T214" i="41" s="1"/>
  <c r="F190" i="41"/>
  <c r="F205" i="41"/>
  <c r="T205" i="41" s="1"/>
  <c r="F219" i="41"/>
  <c r="F207" i="41"/>
  <c r="T207" i="41" s="1"/>
  <c r="R26" i="41"/>
  <c r="F90" i="41"/>
  <c r="T114" i="41"/>
  <c r="V114" i="41" s="1"/>
  <c r="V117" i="41" s="1"/>
  <c r="F198" i="41"/>
  <c r="T198" i="41" s="1"/>
  <c r="V198" i="41" s="1"/>
  <c r="V197" i="41" s="1"/>
  <c r="F137" i="41"/>
  <c r="T137" i="41" s="1"/>
  <c r="T136" i="41" s="1"/>
  <c r="T211" i="41"/>
  <c r="F82" i="41"/>
  <c r="F83" i="41" s="1"/>
  <c r="T83" i="41" s="1"/>
  <c r="V83" i="41" s="1"/>
  <c r="F92" i="41"/>
  <c r="T92" i="41" s="1"/>
  <c r="V92" i="41" s="1"/>
  <c r="R39" i="41"/>
  <c r="F109" i="41"/>
  <c r="T109" i="41" s="1"/>
  <c r="V109" i="41" s="1"/>
  <c r="V108" i="41" s="1"/>
  <c r="R35" i="41"/>
  <c r="F175" i="41"/>
  <c r="T175" i="41" s="1"/>
  <c r="V175" i="41" s="1"/>
  <c r="F129" i="41"/>
  <c r="U106" i="41"/>
  <c r="U133" i="41"/>
  <c r="U192" i="41"/>
  <c r="V80" i="41"/>
  <c r="V226" i="41"/>
  <c r="T171" i="41"/>
  <c r="T192" i="41" s="1"/>
  <c r="T222" i="41"/>
  <c r="T62" i="41"/>
  <c r="OR69" i="41"/>
  <c r="OR72" i="41" s="1"/>
  <c r="OR71" i="41"/>
  <c r="V141" i="41"/>
  <c r="V144" i="41" s="1"/>
  <c r="T144" i="41"/>
  <c r="T153" i="41"/>
  <c r="V123" i="41"/>
  <c r="V87" i="41"/>
  <c r="T90" i="41"/>
  <c r="V90" i="41" s="1"/>
  <c r="T152" i="41"/>
  <c r="T102" i="41"/>
  <c r="V95" i="41"/>
  <c r="T68" i="41"/>
  <c r="T219" i="41"/>
  <c r="AGV25" i="41"/>
  <c r="AGV20" i="41"/>
  <c r="V86" i="41"/>
  <c r="F99" i="41"/>
  <c r="T168" i="41"/>
  <c r="T96" i="41"/>
  <c r="T113" i="41"/>
  <c r="V122" i="41"/>
  <c r="F146" i="41"/>
  <c r="T146" i="41" s="1"/>
  <c r="V146" i="41" s="1"/>
  <c r="F157" i="41"/>
  <c r="F119" i="41"/>
  <c r="T119" i="41" s="1"/>
  <c r="V119" i="41" s="1"/>
  <c r="F126" i="41"/>
  <c r="F130" i="41"/>
  <c r="T150" i="41"/>
  <c r="F172" i="41"/>
  <c r="F193" i="41" s="1"/>
  <c r="F174" i="41"/>
  <c r="T174" i="41" s="1"/>
  <c r="V174" i="41" s="1"/>
  <c r="V183" i="41"/>
  <c r="V192" i="41" s="1"/>
  <c r="T188" i="41"/>
  <c r="T82" i="41"/>
  <c r="U135" i="41"/>
  <c r="AX31" i="41"/>
  <c r="AEE27" i="41"/>
  <c r="T49" i="41"/>
  <c r="V49" i="41" s="1"/>
  <c r="T67" i="41"/>
  <c r="F163" i="41"/>
  <c r="T163" i="41" s="1"/>
  <c r="T169" i="41"/>
  <c r="T189" i="41" s="1"/>
  <c r="F156" i="41"/>
  <c r="V31" i="41"/>
  <c r="T140" i="41"/>
  <c r="T30" i="41"/>
  <c r="T61" i="41" s="1"/>
  <c r="U17" i="41"/>
  <c r="T35" i="41"/>
  <c r="U60" i="41"/>
  <c r="T73" i="41"/>
  <c r="AX73" i="41" s="1"/>
  <c r="F91" i="41"/>
  <c r="T91" i="41" s="1"/>
  <c r="V91" i="41" s="1"/>
  <c r="F98" i="41"/>
  <c r="F102" i="41"/>
  <c r="T202" i="41"/>
  <c r="F222" i="41"/>
  <c r="F143" i="41"/>
  <c r="F159" i="41" s="1"/>
  <c r="F125" i="41"/>
  <c r="T149" i="41"/>
  <c r="F171" i="41"/>
  <c r="F192" i="41" s="1"/>
  <c r="V188" i="41" l="1"/>
  <c r="T117" i="41"/>
  <c r="V130" i="41"/>
  <c r="T108" i="41"/>
  <c r="F110" i="41"/>
  <c r="T110" i="41" s="1"/>
  <c r="V110" i="41" s="1"/>
  <c r="F221" i="41"/>
  <c r="T135" i="41"/>
  <c r="F199" i="41"/>
  <c r="T199" i="41" s="1"/>
  <c r="V199" i="41" s="1"/>
  <c r="T197" i="41"/>
  <c r="F138" i="41"/>
  <c r="T138" i="41" s="1"/>
  <c r="V138" i="41" s="1"/>
  <c r="T218" i="41"/>
  <c r="V137" i="41"/>
  <c r="V136" i="41" s="1"/>
  <c r="T130" i="41"/>
  <c r="T81" i="41"/>
  <c r="V81" i="41" s="1"/>
  <c r="V82" i="41"/>
  <c r="T116" i="41"/>
  <c r="V113" i="41"/>
  <c r="V116" i="41" s="1"/>
  <c r="V152" i="41"/>
  <c r="V96" i="41"/>
  <c r="V103" i="41" s="1"/>
  <c r="T103" i="41"/>
  <c r="OR73" i="41"/>
  <c r="OR75" i="41" s="1"/>
  <c r="V169" i="41"/>
  <c r="T173" i="41"/>
  <c r="T193" i="41" s="1"/>
  <c r="T160" i="41"/>
  <c r="V153" i="41"/>
  <c r="F132" i="41"/>
  <c r="T125" i="41"/>
  <c r="AX30" i="41"/>
  <c r="V30" i="41"/>
  <c r="V150" i="41"/>
  <c r="T157" i="41"/>
  <c r="T126" i="41"/>
  <c r="F133" i="41"/>
  <c r="V149" i="41"/>
  <c r="T156" i="41"/>
  <c r="V163" i="41"/>
  <c r="T221" i="41"/>
  <c r="T143" i="41"/>
  <c r="T159" i="41" s="1"/>
  <c r="V140" i="41"/>
  <c r="V143" i="41" s="1"/>
  <c r="F106" i="41"/>
  <c r="T99" i="41"/>
  <c r="V35" i="41"/>
  <c r="T64" i="41"/>
  <c r="T63" i="41"/>
  <c r="V102" i="41"/>
  <c r="T98" i="41"/>
  <c r="F105" i="41"/>
  <c r="T172" i="41"/>
  <c r="V168" i="41"/>
  <c r="V172" i="41" s="1"/>
  <c r="T129" i="41"/>
  <c r="F164" i="41"/>
  <c r="T164" i="41" s="1"/>
  <c r="V164" i="41" s="1"/>
  <c r="V135" i="41" l="1"/>
  <c r="T162" i="41"/>
  <c r="V162" i="41"/>
  <c r="V126" i="41"/>
  <c r="V133" i="41" s="1"/>
  <c r="T133" i="41"/>
  <c r="V173" i="41"/>
  <c r="V193" i="41" s="1"/>
  <c r="V189" i="41"/>
  <c r="V99" i="41"/>
  <c r="V106" i="41" s="1"/>
  <c r="T106" i="41"/>
  <c r="T132" i="41"/>
  <c r="V125" i="41"/>
  <c r="V132" i="41" s="1"/>
  <c r="T105" i="41"/>
  <c r="V98" i="41"/>
  <c r="V105" i="41" s="1"/>
  <c r="V129" i="41"/>
  <c r="AA246" i="6" l="1"/>
  <c r="AA247" i="6" s="1"/>
  <c r="AA279" i="6"/>
  <c r="L74" i="41"/>
  <c r="T74" i="41" s="1"/>
  <c r="V74" i="41" s="1"/>
  <c r="L70" i="41"/>
  <c r="T70" i="41" s="1"/>
  <c r="L20" i="41"/>
  <c r="T20" i="41" s="1"/>
  <c r="L19" i="41"/>
  <c r="T19" i="41" s="1"/>
  <c r="V19" i="41" s="1"/>
  <c r="L27" i="41"/>
  <c r="T27" i="41" s="1"/>
  <c r="X246" i="6"/>
  <c r="X247" i="6" s="1"/>
  <c r="Y246" i="6"/>
  <c r="Y247" i="6" s="1"/>
  <c r="Z246" i="6"/>
  <c r="Z247" i="6" s="1"/>
  <c r="AA289" i="6" l="1"/>
  <c r="AA283" i="6"/>
  <c r="AIV16" i="41"/>
  <c r="AIW16" i="41" s="1"/>
  <c r="V27" i="41"/>
  <c r="V70" i="41"/>
  <c r="V78" i="41" s="1"/>
  <c r="T78" i="41"/>
  <c r="V20" i="41"/>
  <c r="AIV11" i="41"/>
  <c r="AIW11" i="41" s="1"/>
  <c r="X277" i="6"/>
  <c r="X275" i="6"/>
  <c r="X252" i="6"/>
  <c r="Y47" i="6"/>
  <c r="X61" i="6"/>
  <c r="X60" i="6"/>
  <c r="V279" i="6"/>
  <c r="W279" i="6"/>
  <c r="X279" i="6"/>
  <c r="Y279" i="6"/>
  <c r="Z279" i="6"/>
  <c r="U279" i="6"/>
  <c r="X45" i="6"/>
  <c r="X11" i="6"/>
  <c r="N255" i="6"/>
  <c r="O255" i="6"/>
  <c r="N257" i="6" l="1"/>
  <c r="Z289" i="6"/>
  <c r="Z283" i="6"/>
  <c r="V289" i="6"/>
  <c r="V283" i="6"/>
  <c r="U289" i="6"/>
  <c r="U283" i="6"/>
  <c r="Y283" i="6"/>
  <c r="Y289" i="6"/>
  <c r="X283" i="6"/>
  <c r="X289" i="6"/>
  <c r="W283" i="6"/>
  <c r="W289" i="6"/>
  <c r="P262" i="6"/>
  <c r="P27" i="6"/>
  <c r="P26" i="6"/>
  <c r="P255" i="6"/>
  <c r="P257" i="6" s="1"/>
  <c r="O262" i="6"/>
  <c r="O27" i="6"/>
  <c r="O26" i="6"/>
  <c r="N60" i="6"/>
  <c r="L243" i="41"/>
  <c r="T243" i="41" s="1"/>
  <c r="V243" i="41" s="1"/>
  <c r="N262" i="6"/>
  <c r="M85" i="6"/>
  <c r="N277" i="6"/>
  <c r="N275" i="6"/>
  <c r="N25" i="6"/>
  <c r="N27" i="6"/>
  <c r="N26" i="6"/>
  <c r="L13" i="36"/>
  <c r="AS14" i="6"/>
  <c r="AS13" i="6"/>
  <c r="AS16" i="6" s="1"/>
  <c r="AS4" i="6"/>
  <c r="M275" i="6" l="1"/>
  <c r="M279" i="6"/>
  <c r="M289" i="6" s="1"/>
  <c r="M257" i="6"/>
  <c r="M246" i="6" l="1"/>
  <c r="M247" i="6" s="1"/>
  <c r="AP21" i="6" l="1"/>
  <c r="AP24" i="6"/>
  <c r="L258" i="41"/>
  <c r="L236" i="41"/>
  <c r="T236" i="41" s="1"/>
  <c r="V236" i="41" s="1"/>
  <c r="L229" i="41"/>
  <c r="T229" i="41" s="1"/>
  <c r="V229" i="41" s="1"/>
  <c r="AT20" i="6"/>
  <c r="AT21" i="6"/>
  <c r="L259" i="41"/>
  <c r="L256" i="41"/>
  <c r="L255" i="41"/>
  <c r="L252" i="41"/>
  <c r="T252" i="41" s="1"/>
  <c r="V252" i="41" s="1"/>
  <c r="AP29" i="6"/>
  <c r="AS8" i="6"/>
  <c r="AS10" i="6" s="1"/>
  <c r="AS24" i="6"/>
  <c r="AS25" i="6" s="1"/>
  <c r="AS22" i="6"/>
  <c r="AP34" i="6"/>
  <c r="AP33" i="6"/>
  <c r="AP26" i="6"/>
  <c r="AP25" i="6"/>
  <c r="U259" i="41" l="1"/>
  <c r="T259" i="41"/>
  <c r="U258" i="41"/>
  <c r="T258" i="41"/>
  <c r="U256" i="41"/>
  <c r="T256" i="41"/>
  <c r="U255" i="41"/>
  <c r="T255" i="41"/>
  <c r="AP14" i="6"/>
  <c r="AO276" i="6"/>
  <c r="AP6" i="6" l="1"/>
  <c r="AP7" i="6" l="1"/>
  <c r="L28" i="41"/>
  <c r="T28" i="41" s="1"/>
  <c r="V28" i="41" l="1"/>
  <c r="AIV17" i="41"/>
  <c r="AIW17" i="41" s="1"/>
  <c r="T26" i="41"/>
  <c r="T60" i="41" s="1"/>
  <c r="AP15" i="6"/>
  <c r="AP16" i="6" s="1"/>
  <c r="L59" i="41"/>
  <c r="T246" i="6"/>
  <c r="T247" i="6" s="1"/>
  <c r="U246" i="6"/>
  <c r="U247" i="6" s="1"/>
  <c r="V246" i="6"/>
  <c r="V247" i="6" s="1"/>
  <c r="W246" i="6"/>
  <c r="W247" i="6" s="1"/>
  <c r="S246" i="6"/>
  <c r="S247" i="6" s="1"/>
  <c r="Q246" i="6"/>
  <c r="Q247" i="6" s="1"/>
  <c r="R246" i="6"/>
  <c r="R247" i="6" s="1"/>
  <c r="P246" i="6"/>
  <c r="P247" i="6" s="1"/>
  <c r="O246" i="6"/>
  <c r="O247" i="6" s="1"/>
  <c r="N246" i="6"/>
  <c r="T59" i="41" l="1"/>
  <c r="V26" i="41"/>
  <c r="OP15" i="41"/>
  <c r="OP17" i="41" s="1"/>
  <c r="AP13" i="6"/>
  <c r="AS17" i="6" s="1"/>
  <c r="AP17" i="6"/>
  <c r="N247" i="6"/>
  <c r="OP18" i="41" l="1"/>
  <c r="OP20" i="41"/>
  <c r="W277" i="6"/>
  <c r="AW74" i="6" l="1"/>
  <c r="X84" i="6" l="1"/>
  <c r="W85" i="6"/>
  <c r="V85" i="6"/>
  <c r="O23" i="37"/>
  <c r="C4" i="27"/>
  <c r="H11" i="27"/>
  <c r="H10" i="27"/>
  <c r="H9" i="27"/>
  <c r="H8" i="27"/>
  <c r="F12" i="26"/>
  <c r="U275" i="6"/>
  <c r="V275" i="6"/>
  <c r="T275" i="6"/>
  <c r="L230" i="41"/>
  <c r="T230" i="41" s="1"/>
  <c r="V230" i="41" s="1"/>
  <c r="V60" i="6"/>
  <c r="O22" i="37"/>
  <c r="L22" i="37"/>
  <c r="L20" i="36" l="1"/>
  <c r="U85" i="6"/>
  <c r="T85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S252" i="6"/>
  <c r="S60" i="6"/>
  <c r="T60" i="6"/>
  <c r="U60" i="6"/>
  <c r="W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S11" i="6"/>
  <c r="S76" i="6" s="1"/>
  <c r="S88" i="6"/>
  <c r="T88" i="6"/>
  <c r="U88" i="6"/>
  <c r="O21" i="37"/>
  <c r="O20" i="37"/>
  <c r="L21" i="37"/>
  <c r="L20" i="37"/>
  <c r="S255" i="6"/>
  <c r="S257" i="6" s="1"/>
  <c r="S32" i="6" l="1"/>
  <c r="R262" i="6"/>
  <c r="G13" i="36"/>
  <c r="G12" i="36"/>
  <c r="R85" i="6"/>
  <c r="S85" i="6"/>
  <c r="R60" i="6"/>
  <c r="R255" i="6"/>
  <c r="R257" i="6" s="1"/>
  <c r="Q262" i="6"/>
  <c r="L60" i="41" l="1"/>
  <c r="P60" i="6"/>
  <c r="Q60" i="6"/>
  <c r="O60" i="6"/>
  <c r="Q85" i="6" l="1"/>
  <c r="Q11" i="6" l="1"/>
  <c r="Q76" i="6" s="1"/>
  <c r="L16" i="36"/>
  <c r="P85" i="6" l="1"/>
  <c r="O85" i="6"/>
  <c r="O88" i="6"/>
  <c r="P88" i="6"/>
  <c r="N88" i="6"/>
  <c r="L15" i="36"/>
  <c r="L14" i="36"/>
  <c r="P84" i="6" l="1"/>
  <c r="O47" i="6" l="1"/>
  <c r="N47" i="6" s="1"/>
  <c r="M47" i="6" s="1"/>
  <c r="L47" i="6" s="1"/>
  <c r="K47" i="6" s="1"/>
  <c r="J47" i="6" s="1"/>
  <c r="L41" i="41" s="1"/>
  <c r="T41" i="41" s="1"/>
  <c r="O46" i="6"/>
  <c r="V41" i="41" l="1"/>
  <c r="N61" i="6"/>
  <c r="K282" i="6" l="1"/>
  <c r="AC85" i="6"/>
  <c r="AC86" i="6" s="1"/>
  <c r="T84" i="6"/>
  <c r="S86" i="6"/>
  <c r="AI252" i="6"/>
  <c r="AI85" i="6"/>
  <c r="AI86" i="6" s="1"/>
  <c r="AF84" i="6"/>
  <c r="AI84" i="6"/>
  <c r="AI82" i="6"/>
  <c r="AI76" i="6"/>
  <c r="AI28" i="6"/>
  <c r="X88" i="6"/>
  <c r="L21" i="36" l="1"/>
  <c r="L22" i="36"/>
  <c r="L23" i="36"/>
  <c r="L24" i="36"/>
  <c r="L25" i="36"/>
  <c r="L26" i="36"/>
  <c r="K28" i="6"/>
  <c r="M27" i="6"/>
  <c r="M26" i="6"/>
  <c r="X32" i="6"/>
  <c r="X29" i="6" s="1"/>
  <c r="X76" i="6"/>
  <c r="X85" i="6"/>
  <c r="X86" i="6" s="1"/>
  <c r="V252" i="6"/>
  <c r="U252" i="6"/>
  <c r="T252" i="6"/>
  <c r="X255" i="6"/>
  <c r="X257" i="6" s="1"/>
  <c r="AA266" i="6"/>
  <c r="X266" i="6"/>
  <c r="T266" i="6"/>
  <c r="J246" i="6"/>
  <c r="H272" i="6"/>
  <c r="T72" i="6"/>
  <c r="T71" i="6"/>
  <c r="T70" i="6"/>
  <c r="T69" i="6"/>
  <c r="T68" i="6"/>
  <c r="T62" i="6"/>
  <c r="T61" i="6"/>
  <c r="AI73" i="6"/>
  <c r="X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AI67" i="6"/>
  <c r="AC67" i="6"/>
  <c r="Z67" i="6"/>
  <c r="Y67" i="6"/>
  <c r="X67" i="6"/>
  <c r="AI66" i="6"/>
  <c r="AC66" i="6"/>
  <c r="Z66" i="6"/>
  <c r="Y66" i="6"/>
  <c r="X66" i="6"/>
  <c r="AI65" i="6"/>
  <c r="AC65" i="6"/>
  <c r="Z65" i="6"/>
  <c r="Y65" i="6"/>
  <c r="X65" i="6"/>
  <c r="AI64" i="6"/>
  <c r="AC64" i="6"/>
  <c r="Z64" i="6"/>
  <c r="Y64" i="6"/>
  <c r="X64" i="6"/>
  <c r="AI63" i="6"/>
  <c r="AC63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W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J8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Q8" i="6"/>
  <c r="P8" i="6"/>
  <c r="O8" i="6"/>
  <c r="N8" i="6"/>
  <c r="L9" i="6"/>
  <c r="L8" i="6" s="1"/>
  <c r="K9" i="6"/>
  <c r="K8" i="6" s="1"/>
  <c r="J9" i="6"/>
  <c r="J8" i="6" s="1"/>
  <c r="H9" i="6"/>
  <c r="H8" i="6" s="1"/>
  <c r="G9" i="6"/>
  <c r="AM9" i="6" l="1"/>
  <c r="X63" i="6"/>
  <c r="X280" i="6"/>
  <c r="G8" i="6"/>
  <c r="I60" i="6"/>
  <c r="I61" i="6"/>
  <c r="I84" i="6"/>
  <c r="I8" i="6"/>
  <c r="AM7" i="6"/>
  <c r="AM8" i="6" l="1"/>
  <c r="AZ9" i="6"/>
  <c r="AZ10" i="6"/>
  <c r="AM85" i="6"/>
  <c r="AM86" i="6" s="1"/>
  <c r="AM245" i="6"/>
  <c r="AM60" i="6"/>
  <c r="L57" i="41" s="1"/>
  <c r="AM277" i="6"/>
  <c r="AM61" i="6"/>
  <c r="L58" i="41" s="1"/>
  <c r="AM262" i="6"/>
  <c r="AM275" i="6"/>
  <c r="AM84" i="6"/>
  <c r="L75" i="41" s="1"/>
  <c r="AM252" i="6"/>
  <c r="AM10" i="6"/>
  <c r="L11" i="41"/>
  <c r="AO271" i="6"/>
  <c r="AP5" i="6"/>
  <c r="X282" i="6"/>
  <c r="X264" i="6"/>
  <c r="Y32" i="6"/>
  <c r="Y63" i="6" s="1"/>
  <c r="R25" i="37"/>
  <c r="Z277" i="6"/>
  <c r="Z275" i="6"/>
  <c r="Z266" i="6"/>
  <c r="Z255" i="6"/>
  <c r="Z257" i="6" s="1"/>
  <c r="Z252" i="6"/>
  <c r="Z88" i="6"/>
  <c r="Z85" i="6"/>
  <c r="Z86" i="6" s="1"/>
  <c r="Z84" i="6"/>
  <c r="Z55" i="6"/>
  <c r="Z73" i="6" s="1"/>
  <c r="Z50" i="6"/>
  <c r="Z45" i="6"/>
  <c r="Z32" i="6"/>
  <c r="Z63" i="6" s="1"/>
  <c r="Z12" i="6"/>
  <c r="Z82" i="6" s="1"/>
  <c r="Y277" i="6"/>
  <c r="Y275" i="6"/>
  <c r="Y266" i="6"/>
  <c r="Y255" i="6"/>
  <c r="Y257" i="6" s="1"/>
  <c r="Y252" i="6"/>
  <c r="Y88" i="6"/>
  <c r="Y85" i="6"/>
  <c r="Y86" i="6" s="1"/>
  <c r="Y84" i="6"/>
  <c r="Y55" i="6"/>
  <c r="Y73" i="6" s="1"/>
  <c r="Y50" i="6"/>
  <c r="Y45" i="6"/>
  <c r="Y12" i="6"/>
  <c r="Y82" i="6" s="1"/>
  <c r="R24" i="37"/>
  <c r="F7" i="33"/>
  <c r="F6" i="33"/>
  <c r="W88" i="6"/>
  <c r="V88" i="6"/>
  <c r="E62" i="31"/>
  <c r="E46" i="31"/>
  <c r="E45" i="31"/>
  <c r="E55" i="6"/>
  <c r="E37" i="31"/>
  <c r="G37" i="31" s="1"/>
  <c r="E36" i="31"/>
  <c r="G36" i="31" s="1"/>
  <c r="E27" i="31"/>
  <c r="E26" i="31" s="1"/>
  <c r="E28" i="31"/>
  <c r="E23" i="31"/>
  <c r="D12" i="17" l="1"/>
  <c r="E44" i="31"/>
  <c r="D9" i="17"/>
  <c r="L12" i="41"/>
  <c r="T12" i="41" s="1"/>
  <c r="T11" i="41"/>
  <c r="Y11" i="6"/>
  <c r="Y76" i="6" s="1"/>
  <c r="AP9" i="6"/>
  <c r="AP10" i="6"/>
  <c r="AP8" i="6"/>
  <c r="Y29" i="6"/>
  <c r="Z11" i="6"/>
  <c r="Z76" i="6" s="1"/>
  <c r="E35" i="31"/>
  <c r="Z29" i="6"/>
  <c r="V277" i="6"/>
  <c r="U277" i="6"/>
  <c r="T277" i="6"/>
  <c r="W275" i="6"/>
  <c r="T233" i="41" l="1"/>
  <c r="T76" i="41"/>
  <c r="V76" i="41" s="1"/>
  <c r="T71" i="41"/>
  <c r="AX71" i="41" s="1"/>
  <c r="AX11" i="41"/>
  <c r="OO15" i="41"/>
  <c r="OO17" i="41" s="1"/>
  <c r="T75" i="41"/>
  <c r="AX75" i="41" s="1"/>
  <c r="T58" i="41"/>
  <c r="V11" i="41"/>
  <c r="V75" i="41" s="1"/>
  <c r="T57" i="41"/>
  <c r="AIV8" i="41"/>
  <c r="AIW8" i="41" s="1"/>
  <c r="Z282" i="6"/>
  <c r="Z264" i="6"/>
  <c r="Y264" i="6"/>
  <c r="Z30" i="6"/>
  <c r="Y280" i="6"/>
  <c r="Y282" i="6"/>
  <c r="Y28" i="6"/>
  <c r="Y30" i="6"/>
  <c r="Z28" i="6"/>
  <c r="Z280" i="6"/>
  <c r="OO18" i="41" l="1"/>
  <c r="OO20" i="41"/>
  <c r="V233" i="41"/>
  <c r="T234" i="41"/>
  <c r="V234" i="41" s="1"/>
  <c r="U84" i="6"/>
  <c r="V84" i="6"/>
  <c r="AE252" i="6" l="1"/>
  <c r="AC252" i="6"/>
  <c r="I111" i="29" l="1"/>
  <c r="H63" i="29"/>
  <c r="H61" i="29"/>
  <c r="H54" i="29"/>
  <c r="H33" i="29"/>
  <c r="H6" i="29"/>
  <c r="C8" i="27"/>
  <c r="AM56" i="6" l="1"/>
  <c r="AC29" i="6"/>
  <c r="AC264" i="6" l="1"/>
  <c r="L19" i="17" l="1"/>
  <c r="AC282" i="6"/>
  <c r="R282" i="6"/>
  <c r="R280" i="6"/>
  <c r="AC280" i="6"/>
  <c r="AA277" i="6"/>
  <c r="AB277" i="6"/>
  <c r="AC277" i="6"/>
  <c r="AC275" i="6"/>
  <c r="AB275" i="6"/>
  <c r="AA275" i="6"/>
  <c r="S277" i="6"/>
  <c r="Q277" i="6"/>
  <c r="S275" i="6"/>
  <c r="Q275" i="6"/>
  <c r="AF266" i="6"/>
  <c r="AE266" i="6"/>
  <c r="AD266" i="6"/>
  <c r="AB266" i="6"/>
  <c r="W266" i="6"/>
  <c r="V266" i="6"/>
  <c r="U266" i="6"/>
  <c r="S266" i="6"/>
  <c r="R266" i="6"/>
  <c r="Q266" i="6"/>
  <c r="E4" i="28" l="1"/>
  <c r="Q84" i="6"/>
  <c r="AM57" i="6"/>
  <c r="S55" i="6" l="1"/>
  <c r="AE32" i="6"/>
  <c r="AE63" i="6" s="1"/>
  <c r="S29" i="6" l="1"/>
  <c r="S73" i="6"/>
  <c r="W303" i="6"/>
  <c r="X303" i="6" s="1"/>
  <c r="AC55" i="6"/>
  <c r="AC73" i="6" s="1"/>
  <c r="AA84" i="6"/>
  <c r="AB84" i="6"/>
  <c r="AC84" i="6"/>
  <c r="S84" i="6"/>
  <c r="W84" i="6"/>
  <c r="AC45" i="6"/>
  <c r="AB45" i="6"/>
  <c r="AF88" i="6"/>
  <c r="AE88" i="6"/>
  <c r="L23" i="41"/>
  <c r="T23" i="41" s="1"/>
  <c r="S28" i="6" l="1"/>
  <c r="S264" i="6"/>
  <c r="S282" i="6"/>
  <c r="S280" i="6"/>
  <c r="AF85" i="6"/>
  <c r="AE84" i="6" l="1"/>
  <c r="AE85" i="6"/>
  <c r="R88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82" i="6" s="1"/>
  <c r="R11" i="6" l="1"/>
  <c r="R76" i="6" s="1"/>
  <c r="R86" i="6"/>
  <c r="R29" i="6"/>
  <c r="R277" i="6"/>
  <c r="R275" i="6"/>
  <c r="R252" i="6"/>
  <c r="R84" i="6"/>
  <c r="R61" i="6"/>
  <c r="R64" i="6"/>
  <c r="R66" i="6"/>
  <c r="R63" i="6"/>
  <c r="R264" i="6" l="1"/>
  <c r="R30" i="6"/>
  <c r="R28" i="6"/>
  <c r="AD88" i="6"/>
  <c r="AD277" i="6" l="1"/>
  <c r="AD275" i="6"/>
  <c r="AD84" i="6"/>
  <c r="AA88" i="6"/>
  <c r="AB88" i="6"/>
  <c r="AG84" i="6"/>
  <c r="AH84" i="6"/>
  <c r="AJ84" i="6"/>
  <c r="AA252" i="6" l="1"/>
  <c r="AB252" i="6"/>
  <c r="AF252" i="6"/>
  <c r="AG252" i="6"/>
  <c r="AH252" i="6"/>
  <c r="R23" i="37"/>
  <c r="W252" i="6"/>
  <c r="L19" i="36"/>
  <c r="R22" i="37"/>
  <c r="R21" i="37"/>
  <c r="T255" i="6"/>
  <c r="T257" i="6" s="1"/>
  <c r="T55" i="6"/>
  <c r="T73" i="6" s="1"/>
  <c r="T50" i="6"/>
  <c r="T41" i="6"/>
  <c r="T36" i="6"/>
  <c r="T32" i="6"/>
  <c r="T63" i="6" s="1"/>
  <c r="T12" i="6"/>
  <c r="L8" i="41" l="1"/>
  <c r="T8" i="41" s="1"/>
  <c r="V8" i="41" s="1"/>
  <c r="L15" i="41"/>
  <c r="N3" i="17"/>
  <c r="F21" i="17" s="1"/>
  <c r="T82" i="6"/>
  <c r="T11" i="6"/>
  <c r="T76" i="6" s="1"/>
  <c r="N4" i="17"/>
  <c r="T86" i="6"/>
  <c r="T66" i="6"/>
  <c r="T67" i="6"/>
  <c r="T65" i="6"/>
  <c r="T64" i="6"/>
  <c r="T45" i="6"/>
  <c r="T29" i="6" s="1"/>
  <c r="T15" i="41" l="1"/>
  <c r="U15" i="41"/>
  <c r="V15" i="41"/>
  <c r="T282" i="6"/>
  <c r="T280" i="6"/>
  <c r="T264" i="6"/>
  <c r="F20" i="31"/>
  <c r="G20" i="31" s="1"/>
  <c r="F15" i="31"/>
  <c r="N5" i="17"/>
  <c r="T30" i="6"/>
  <c r="T28" i="6"/>
  <c r="R20" i="37" l="1"/>
  <c r="V255" i="6"/>
  <c r="V257" i="6" s="1"/>
  <c r="U255" i="6"/>
  <c r="U257" i="6" s="1"/>
  <c r="V86" i="6"/>
  <c r="U86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V82" i="6" s="1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V29" i="6"/>
  <c r="U82" i="6"/>
  <c r="V11" i="6"/>
  <c r="V76" i="6" s="1"/>
  <c r="V282" i="6" l="1"/>
  <c r="V280" i="6"/>
  <c r="U282" i="6"/>
  <c r="U280" i="6"/>
  <c r="V264" i="6"/>
  <c r="U264" i="6"/>
  <c r="U28" i="6"/>
  <c r="V28" i="6"/>
  <c r="V30" i="6"/>
  <c r="U30" i="6"/>
  <c r="L264" i="6"/>
  <c r="K264" i="6"/>
  <c r="J264" i="6"/>
  <c r="I264" i="6"/>
  <c r="L262" i="6"/>
  <c r="K262" i="6"/>
  <c r="G245" i="6"/>
  <c r="H245" i="6"/>
  <c r="Q88" i="6"/>
  <c r="K84" i="6"/>
  <c r="K76" i="6"/>
  <c r="K61" i="6"/>
  <c r="E19" i="3" l="1"/>
  <c r="E6" i="36" l="1"/>
  <c r="G6" i="36" s="1"/>
  <c r="L12" i="36"/>
  <c r="L11" i="36"/>
  <c r="Q72" i="6" l="1"/>
  <c r="P72" i="6"/>
  <c r="O72" i="6"/>
  <c r="N72" i="6"/>
  <c r="M72" i="6"/>
  <c r="L72" i="6"/>
  <c r="K72" i="6"/>
  <c r="J72" i="6"/>
  <c r="I72" i="6"/>
  <c r="H72" i="6"/>
  <c r="G72" i="6"/>
  <c r="AM79" i="6" l="1"/>
  <c r="N46" i="6"/>
  <c r="L30" i="36"/>
  <c r="M46" i="6" l="1"/>
  <c r="L46" i="6" s="1"/>
  <c r="K46" i="6" s="1"/>
  <c r="N45" i="6"/>
  <c r="L29" i="36"/>
  <c r="AM77" i="6"/>
  <c r="J46" i="6" l="1"/>
  <c r="K69" i="6"/>
  <c r="K68" i="6"/>
  <c r="L28" i="36"/>
  <c r="L246" i="6"/>
  <c r="I246" i="6"/>
  <c r="L27" i="36"/>
  <c r="L40" i="41" l="1"/>
  <c r="T40" i="41" s="1"/>
  <c r="L65" i="41"/>
  <c r="V40" i="41" l="1"/>
  <c r="T39" i="41"/>
  <c r="K13" i="17"/>
  <c r="K12" i="17"/>
  <c r="O257" i="6"/>
  <c r="L257" i="6"/>
  <c r="K257" i="6"/>
  <c r="V39" i="41" l="1"/>
  <c r="AX20" i="41"/>
  <c r="AX19" i="41" s="1"/>
  <c r="T66" i="41"/>
  <c r="T65" i="41"/>
  <c r="E252" i="6"/>
  <c r="K267" i="38"/>
  <c r="C92" i="40"/>
  <c r="E243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80" i="6"/>
  <c r="E282" i="6"/>
  <c r="E275" i="6"/>
  <c r="H9" i="39" l="1"/>
  <c r="H19" i="39"/>
  <c r="E254" i="6" l="1"/>
  <c r="C281" i="39"/>
  <c r="C272" i="39"/>
  <c r="C261" i="39"/>
  <c r="C253" i="39"/>
  <c r="C252" i="39"/>
  <c r="C244" i="39"/>
  <c r="C53" i="39"/>
  <c r="C48" i="39"/>
  <c r="C26" i="39"/>
  <c r="C19" i="39"/>
  <c r="E264" i="6"/>
  <c r="E262" i="6"/>
  <c r="H85" i="39"/>
  <c r="G85" i="39"/>
  <c r="R257" i="39"/>
  <c r="R256" i="39"/>
  <c r="E277" i="6"/>
  <c r="W255" i="6"/>
  <c r="E14" i="3"/>
  <c r="L246" i="41"/>
  <c r="T246" i="41" s="1"/>
  <c r="M277" i="6"/>
  <c r="O277" i="6"/>
  <c r="O275" i="6"/>
  <c r="W257" i="6" l="1"/>
  <c r="AFR246" i="41"/>
  <c r="V246" i="41"/>
  <c r="G99" i="40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L18" i="36"/>
  <c r="E4" i="26" l="1"/>
  <c r="I245" i="6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L19" i="37" l="1"/>
  <c r="O19" i="37"/>
  <c r="R19" i="37"/>
  <c r="R18" i="37" l="1"/>
  <c r="O18" i="37"/>
  <c r="L18" i="37"/>
  <c r="Q252" i="6" l="1"/>
  <c r="R17" i="37"/>
  <c r="O17" i="37"/>
  <c r="L17" i="37"/>
  <c r="L16" i="37"/>
  <c r="O16" i="37"/>
  <c r="R16" i="37"/>
  <c r="P275" i="6" l="1"/>
  <c r="P277" i="6"/>
  <c r="P252" i="6"/>
  <c r="O15" i="36"/>
  <c r="R15" i="36"/>
  <c r="R14" i="36"/>
  <c r="S14" i="36"/>
  <c r="I272" i="6"/>
  <c r="N85" i="6" l="1"/>
  <c r="S15" i="36"/>
  <c r="O252" i="6" l="1"/>
  <c r="L76" i="41" l="1"/>
  <c r="L15" i="37"/>
  <c r="L14" i="37"/>
  <c r="K277" i="6" l="1"/>
  <c r="K275" i="6"/>
  <c r="L245" i="6"/>
  <c r="J272" i="6"/>
  <c r="K272" i="6"/>
  <c r="L272" i="6"/>
  <c r="M252" i="6"/>
  <c r="K245" i="6" l="1"/>
  <c r="K246" i="6"/>
  <c r="K247" i="6" s="1"/>
  <c r="N84" i="6" l="1"/>
  <c r="N252" i="6"/>
  <c r="K85" i="6"/>
  <c r="K86" i="6" s="1"/>
  <c r="K252" i="6"/>
  <c r="D28" i="37"/>
  <c r="D27" i="37"/>
  <c r="E27" i="37" s="1"/>
  <c r="C24" i="36"/>
  <c r="E28" i="37" l="1"/>
  <c r="G28" i="37" s="1"/>
  <c r="J245" i="6"/>
  <c r="J277" i="6"/>
  <c r="J84" i="6"/>
  <c r="J252" i="6"/>
  <c r="J257" i="6"/>
  <c r="M86" i="6" l="1"/>
  <c r="J275" i="6" l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L17" i="36" s="1"/>
  <c r="E24" i="36"/>
  <c r="G25" i="36" l="1"/>
  <c r="U26" i="36"/>
  <c r="F19" i="31"/>
  <c r="G19" i="31" s="1"/>
  <c r="P62" i="6"/>
  <c r="J30" i="6"/>
  <c r="G272" i="6" l="1"/>
  <c r="G266" i="6"/>
  <c r="G255" i="6"/>
  <c r="G246" i="6"/>
  <c r="G71" i="6"/>
  <c r="G70" i="6"/>
  <c r="G62" i="6"/>
  <c r="G61" i="6"/>
  <c r="G55" i="6"/>
  <c r="G73" i="6" s="1"/>
  <c r="G50" i="6"/>
  <c r="G45" i="6"/>
  <c r="G68" i="6"/>
  <c r="G41" i="6"/>
  <c r="G67" i="6" s="1"/>
  <c r="G36" i="6"/>
  <c r="G64" i="6" s="1"/>
  <c r="G32" i="6"/>
  <c r="G264" i="6"/>
  <c r="G12" i="6"/>
  <c r="G82" i="6" s="1"/>
  <c r="G277" i="6"/>
  <c r="G257" i="6" l="1"/>
  <c r="L253" i="41"/>
  <c r="T253" i="41" s="1"/>
  <c r="V253" i="41" s="1"/>
  <c r="G247" i="6"/>
  <c r="G63" i="6"/>
  <c r="G60" i="6"/>
  <c r="G85" i="6"/>
  <c r="G86" i="6" s="1"/>
  <c r="G65" i="6"/>
  <c r="G69" i="6"/>
  <c r="G29" i="6"/>
  <c r="G66" i="6"/>
  <c r="G252" i="6"/>
  <c r="G262" i="6"/>
  <c r="G275" i="6"/>
  <c r="G11" i="6"/>
  <c r="G84" i="6"/>
  <c r="G282" i="6" l="1"/>
  <c r="G28" i="6"/>
  <c r="G30" i="6"/>
  <c r="G76" i="6"/>
  <c r="O4" i="18"/>
  <c r="J85" i="6" l="1"/>
  <c r="K60" i="6" l="1"/>
  <c r="J60" i="6"/>
  <c r="K14" i="17" l="1"/>
  <c r="AM37" i="6" l="1"/>
  <c r="AM38" i="6"/>
  <c r="O84" i="6" l="1"/>
  <c r="M84" i="6"/>
  <c r="L84" i="6"/>
  <c r="AJ50" i="6"/>
  <c r="AH50" i="6"/>
  <c r="AG50" i="6"/>
  <c r="AF50" i="6"/>
  <c r="AE50" i="6"/>
  <c r="AD50" i="6"/>
  <c r="AB50" i="6"/>
  <c r="AA50" i="6"/>
  <c r="W50" i="6"/>
  <c r="Q50" i="6"/>
  <c r="P50" i="6"/>
  <c r="O50" i="6"/>
  <c r="N50" i="6"/>
  <c r="M50" i="6"/>
  <c r="L50" i="6"/>
  <c r="J50" i="6"/>
  <c r="AJ45" i="6"/>
  <c r="AH45" i="6"/>
  <c r="AG45" i="6"/>
  <c r="AF45" i="6"/>
  <c r="AE45" i="6"/>
  <c r="AA45" i="6"/>
  <c r="W45" i="6"/>
  <c r="Q45" i="6"/>
  <c r="O45" i="6"/>
  <c r="M45" i="6"/>
  <c r="L45" i="6"/>
  <c r="J45" i="6"/>
  <c r="AJ41" i="6"/>
  <c r="AH41" i="6"/>
  <c r="AG41" i="6"/>
  <c r="AF41" i="6"/>
  <c r="AE41" i="6"/>
  <c r="AD41" i="6"/>
  <c r="AB41" i="6"/>
  <c r="AA41" i="6"/>
  <c r="W41" i="6"/>
  <c r="Q41" i="6"/>
  <c r="Q67" i="6" s="1"/>
  <c r="P41" i="6"/>
  <c r="P67" i="6" s="1"/>
  <c r="O41" i="6"/>
  <c r="O66" i="6" s="1"/>
  <c r="N41" i="6"/>
  <c r="N67" i="6" s="1"/>
  <c r="M41" i="6"/>
  <c r="M66" i="6" s="1"/>
  <c r="L41" i="6"/>
  <c r="L66" i="6" s="1"/>
  <c r="J41" i="6"/>
  <c r="J66" i="6" s="1"/>
  <c r="AJ36" i="6"/>
  <c r="AH36" i="6"/>
  <c r="AG36" i="6"/>
  <c r="AF36" i="6"/>
  <c r="AE36" i="6"/>
  <c r="AD36" i="6"/>
  <c r="AB36" i="6"/>
  <c r="AA36" i="6"/>
  <c r="W36" i="6"/>
  <c r="Q36" i="6"/>
  <c r="Q65" i="6" s="1"/>
  <c r="P36" i="6"/>
  <c r="P65" i="6" s="1"/>
  <c r="O36" i="6"/>
  <c r="O64" i="6" s="1"/>
  <c r="N36" i="6"/>
  <c r="N65" i="6" s="1"/>
  <c r="M36" i="6"/>
  <c r="M65" i="6" s="1"/>
  <c r="L36" i="6"/>
  <c r="L64" i="6" s="1"/>
  <c r="J36" i="6"/>
  <c r="J65" i="6" s="1"/>
  <c r="AJ32" i="6"/>
  <c r="AJ63" i="6" s="1"/>
  <c r="AH32" i="6"/>
  <c r="AG32" i="6"/>
  <c r="AG63" i="6" s="1"/>
  <c r="AF32" i="6"/>
  <c r="AD32" i="6"/>
  <c r="AD63" i="6" s="1"/>
  <c r="AB32" i="6"/>
  <c r="AB63" i="6" s="1"/>
  <c r="AA32" i="6"/>
  <c r="AA63" i="6" s="1"/>
  <c r="W32" i="6"/>
  <c r="Q32" i="6"/>
  <c r="Q29" i="6" s="1"/>
  <c r="P32" i="6"/>
  <c r="P63" i="6" s="1"/>
  <c r="O32" i="6"/>
  <c r="N32" i="6"/>
  <c r="M32" i="6"/>
  <c r="M63" i="6" s="1"/>
  <c r="L32" i="6"/>
  <c r="L63" i="6" s="1"/>
  <c r="J32" i="6"/>
  <c r="J63" i="6" s="1"/>
  <c r="H12" i="6"/>
  <c r="H82" i="6" s="1"/>
  <c r="H32" i="6"/>
  <c r="H36" i="6"/>
  <c r="H65" i="6" s="1"/>
  <c r="H41" i="6"/>
  <c r="H66" i="6" s="1"/>
  <c r="I50" i="6"/>
  <c r="H50" i="6"/>
  <c r="I45" i="6"/>
  <c r="H45" i="6"/>
  <c r="H55" i="6"/>
  <c r="H277" i="6"/>
  <c r="H61" i="6"/>
  <c r="H60" i="6"/>
  <c r="H71" i="6"/>
  <c r="H70" i="6"/>
  <c r="H69" i="6"/>
  <c r="H68" i="6"/>
  <c r="H62" i="6"/>
  <c r="J12" i="6"/>
  <c r="J11" i="6" s="1"/>
  <c r="J76" i="6" s="1"/>
  <c r="L12" i="6"/>
  <c r="L11" i="6" s="1"/>
  <c r="L76" i="6" s="1"/>
  <c r="M12" i="6"/>
  <c r="M11" i="6" s="1"/>
  <c r="M76" i="6" s="1"/>
  <c r="N12" i="6"/>
  <c r="N82" i="6" s="1"/>
  <c r="O12" i="6"/>
  <c r="O11" i="6" s="1"/>
  <c r="O76" i="6" s="1"/>
  <c r="P12" i="6"/>
  <c r="P11" i="6" s="1"/>
  <c r="P76" i="6" s="1"/>
  <c r="W12" i="6"/>
  <c r="AA12" i="6"/>
  <c r="AA11" i="6" s="1"/>
  <c r="AB82" i="6"/>
  <c r="AD82" i="6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AJ12" i="6"/>
  <c r="AJ82" i="6" s="1"/>
  <c r="J55" i="6"/>
  <c r="L73" i="6"/>
  <c r="M55" i="6"/>
  <c r="M73" i="6" s="1"/>
  <c r="N55" i="6"/>
  <c r="O55" i="6"/>
  <c r="O73" i="6" s="1"/>
  <c r="P55" i="6"/>
  <c r="Q55" i="6"/>
  <c r="W55" i="6"/>
  <c r="W73" i="6" s="1"/>
  <c r="AA55" i="6"/>
  <c r="AA73" i="6" s="1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AJ55" i="6"/>
  <c r="AJ73" i="6" s="1"/>
  <c r="J61" i="6"/>
  <c r="L61" i="6"/>
  <c r="M61" i="6"/>
  <c r="O61" i="6"/>
  <c r="P61" i="6"/>
  <c r="Q61" i="6"/>
  <c r="J62" i="6"/>
  <c r="L62" i="6"/>
  <c r="M62" i="6"/>
  <c r="N62" i="6"/>
  <c r="O62" i="6"/>
  <c r="Q62" i="6"/>
  <c r="Q66" i="6"/>
  <c r="J68" i="6"/>
  <c r="L68" i="6"/>
  <c r="M68" i="6"/>
  <c r="N68" i="6"/>
  <c r="O68" i="6"/>
  <c r="P68" i="6"/>
  <c r="Q68" i="6"/>
  <c r="J69" i="6"/>
  <c r="L69" i="6"/>
  <c r="M69" i="6"/>
  <c r="N69" i="6"/>
  <c r="O69" i="6"/>
  <c r="P69" i="6"/>
  <c r="Q69" i="6"/>
  <c r="J70" i="6"/>
  <c r="L70" i="6"/>
  <c r="M70" i="6"/>
  <c r="N70" i="6"/>
  <c r="O70" i="6"/>
  <c r="P70" i="6"/>
  <c r="Q70" i="6"/>
  <c r="J71" i="6"/>
  <c r="L71" i="6"/>
  <c r="M71" i="6"/>
  <c r="N71" i="6"/>
  <c r="O71" i="6"/>
  <c r="P71" i="6"/>
  <c r="Q71" i="6"/>
  <c r="AA85" i="6"/>
  <c r="AA86" i="6" s="1"/>
  <c r="AB85" i="6"/>
  <c r="AB86" i="6" s="1"/>
  <c r="AD85" i="6"/>
  <c r="AD86" i="6" s="1"/>
  <c r="AE86" i="6"/>
  <c r="AF86" i="6"/>
  <c r="AG85" i="6"/>
  <c r="AG86" i="6" s="1"/>
  <c r="AH85" i="6"/>
  <c r="AH86" i="6" s="1"/>
  <c r="AJ85" i="6"/>
  <c r="AJ86" i="6" s="1"/>
  <c r="L252" i="6"/>
  <c r="Q257" i="6"/>
  <c r="AA255" i="6"/>
  <c r="AM255" i="6" s="1"/>
  <c r="AM256" i="6" s="1"/>
  <c r="AB255" i="6"/>
  <c r="AB257" i="6" s="1"/>
  <c r="AD257" i="6"/>
  <c r="AE257" i="6"/>
  <c r="AF257" i="6"/>
  <c r="AG257" i="6"/>
  <c r="AH257" i="6"/>
  <c r="J262" i="6"/>
  <c r="J266" i="6"/>
  <c r="L266" i="6"/>
  <c r="N266" i="6"/>
  <c r="O266" i="6"/>
  <c r="P266" i="6"/>
  <c r="L275" i="6"/>
  <c r="L277" i="6"/>
  <c r="I55" i="6"/>
  <c r="I73" i="6" s="1"/>
  <c r="I71" i="6"/>
  <c r="I70" i="6"/>
  <c r="I62" i="6"/>
  <c r="I69" i="6"/>
  <c r="I41" i="6"/>
  <c r="I67" i="6" s="1"/>
  <c r="I36" i="6"/>
  <c r="I65" i="6" s="1"/>
  <c r="I32" i="6"/>
  <c r="I63" i="6" s="1"/>
  <c r="I12" i="6"/>
  <c r="H255" i="6"/>
  <c r="H262" i="6"/>
  <c r="H252" i="6"/>
  <c r="I266" i="6"/>
  <c r="I257" i="6"/>
  <c r="H85" i="6"/>
  <c r="H86" i="6" s="1"/>
  <c r="H275" i="6"/>
  <c r="H266" i="6"/>
  <c r="H264" i="6"/>
  <c r="H84" i="6"/>
  <c r="H257" i="6" l="1"/>
  <c r="L240" i="41"/>
  <c r="T240" i="41" s="1"/>
  <c r="V240" i="41" s="1"/>
  <c r="L39" i="41"/>
  <c r="AJ29" i="6"/>
  <c r="AH63" i="6"/>
  <c r="AH29" i="6"/>
  <c r="AF63" i="6"/>
  <c r="AF29" i="6"/>
  <c r="AA76" i="6"/>
  <c r="AA257" i="6"/>
  <c r="AM257" i="6" s="1"/>
  <c r="O63" i="6"/>
  <c r="L26" i="41"/>
  <c r="N29" i="6"/>
  <c r="Q264" i="6"/>
  <c r="Q280" i="6"/>
  <c r="W63" i="6"/>
  <c r="W65" i="6"/>
  <c r="W64" i="6"/>
  <c r="AJ65" i="6"/>
  <c r="AJ64" i="6"/>
  <c r="W67" i="6"/>
  <c r="W66" i="6"/>
  <c r="AJ66" i="6"/>
  <c r="AJ67" i="6"/>
  <c r="AB64" i="6"/>
  <c r="AB65" i="6"/>
  <c r="AB66" i="6"/>
  <c r="AB67" i="6"/>
  <c r="AD65" i="6"/>
  <c r="AD64" i="6"/>
  <c r="AD67" i="6"/>
  <c r="AD66" i="6"/>
  <c r="N63" i="6"/>
  <c r="AF65" i="6"/>
  <c r="AF64" i="6"/>
  <c r="AF67" i="6"/>
  <c r="AF66" i="6"/>
  <c r="AA64" i="6"/>
  <c r="AA65" i="6"/>
  <c r="AE67" i="6"/>
  <c r="AE66" i="6"/>
  <c r="AG65" i="6"/>
  <c r="AG64" i="6"/>
  <c r="AG67" i="6"/>
  <c r="AG66" i="6"/>
  <c r="AA67" i="6"/>
  <c r="AA66" i="6"/>
  <c r="AE65" i="6"/>
  <c r="AE64" i="6"/>
  <c r="AH65" i="6"/>
  <c r="AH64" i="6"/>
  <c r="AH67" i="6"/>
  <c r="AH66" i="6"/>
  <c r="H63" i="6"/>
  <c r="W11" i="6"/>
  <c r="W76" i="6" s="1"/>
  <c r="AM55" i="6"/>
  <c r="AA29" i="6"/>
  <c r="AD29" i="6"/>
  <c r="Q28" i="6"/>
  <c r="W29" i="6"/>
  <c r="AE29" i="6"/>
  <c r="AB29" i="6"/>
  <c r="P66" i="6"/>
  <c r="J64" i="6"/>
  <c r="L65" i="6"/>
  <c r="N73" i="6"/>
  <c r="Q64" i="6"/>
  <c r="P64" i="6"/>
  <c r="P73" i="6"/>
  <c r="H11" i="6"/>
  <c r="AM11" i="6" s="1"/>
  <c r="AM76" i="6" s="1"/>
  <c r="N66" i="6"/>
  <c r="Q63" i="6"/>
  <c r="L67" i="6"/>
  <c r="J67" i="6"/>
  <c r="N64" i="6"/>
  <c r="M64" i="6"/>
  <c r="L29" i="6"/>
  <c r="I82" i="6"/>
  <c r="P29" i="6"/>
  <c r="AB76" i="6"/>
  <c r="AJ11" i="6"/>
  <c r="AJ76" i="6" s="1"/>
  <c r="O82" i="6"/>
  <c r="W82" i="6"/>
  <c r="AE82" i="6"/>
  <c r="AD76" i="6"/>
  <c r="AG29" i="6"/>
  <c r="P82" i="6"/>
  <c r="AF82" i="6"/>
  <c r="Q82" i="6"/>
  <c r="AG82" i="6"/>
  <c r="AH82" i="6"/>
  <c r="J82" i="6"/>
  <c r="AA82" i="6"/>
  <c r="N11" i="6"/>
  <c r="N76" i="6" s="1"/>
  <c r="L82" i="6"/>
  <c r="M82" i="6"/>
  <c r="J29" i="6"/>
  <c r="H67" i="6"/>
  <c r="H64" i="6"/>
  <c r="O67" i="6"/>
  <c r="M67" i="6"/>
  <c r="O29" i="6"/>
  <c r="O65" i="6"/>
  <c r="M29" i="6"/>
  <c r="H29" i="6"/>
  <c r="H73" i="6"/>
  <c r="I29" i="6"/>
  <c r="I64" i="6"/>
  <c r="J73" i="6"/>
  <c r="Q73" i="6"/>
  <c r="I66" i="6"/>
  <c r="I68" i="6"/>
  <c r="AG280" i="6" l="1"/>
  <c r="AG264" i="6"/>
  <c r="AG282" i="6"/>
  <c r="AF282" i="6"/>
  <c r="AF280" i="6"/>
  <c r="AE280" i="6"/>
  <c r="AE282" i="6"/>
  <c r="AH280" i="6"/>
  <c r="AH264" i="6"/>
  <c r="AH282" i="6"/>
  <c r="AJ282" i="6"/>
  <c r="AJ264" i="6"/>
  <c r="AJ280" i="6"/>
  <c r="AE264" i="6"/>
  <c r="N280" i="6"/>
  <c r="N282" i="6"/>
  <c r="N264" i="6"/>
  <c r="M280" i="6"/>
  <c r="M282" i="6"/>
  <c r="AF264" i="6"/>
  <c r="AA264" i="6"/>
  <c r="O264" i="6"/>
  <c r="AD264" i="6"/>
  <c r="N28" i="6"/>
  <c r="O280" i="6"/>
  <c r="P280" i="6"/>
  <c r="P264" i="6"/>
  <c r="AB28" i="6"/>
  <c r="AB264" i="6"/>
  <c r="W280" i="6"/>
  <c r="W264" i="6"/>
  <c r="P28" i="6"/>
  <c r="P282" i="6"/>
  <c r="O28" i="6"/>
  <c r="O30" i="6"/>
  <c r="O282" i="6"/>
  <c r="H282" i="6"/>
  <c r="H28" i="6"/>
  <c r="I30" i="6"/>
  <c r="I282" i="6"/>
  <c r="I28" i="6"/>
  <c r="AJ28" i="6"/>
  <c r="L30" i="6"/>
  <c r="L282" i="6"/>
  <c r="L28" i="6"/>
  <c r="M30" i="6"/>
  <c r="M28" i="6"/>
  <c r="J282" i="6"/>
  <c r="J28" i="6"/>
  <c r="W282" i="6"/>
  <c r="AA282" i="6"/>
  <c r="AA280" i="6"/>
  <c r="AD280" i="6"/>
  <c r="AD282" i="6"/>
  <c r="AB280" i="6"/>
  <c r="AB282" i="6"/>
  <c r="L66" i="41"/>
  <c r="Q282" i="6"/>
  <c r="H76" i="6"/>
  <c r="AH28" i="6"/>
  <c r="AG28" i="6"/>
  <c r="AF28" i="6"/>
  <c r="AE28" i="6"/>
  <c r="AD28" i="6"/>
  <c r="AA28" i="6"/>
  <c r="AF30" i="6"/>
  <c r="AB30" i="6"/>
  <c r="AH30" i="6"/>
  <c r="AJ30" i="6"/>
  <c r="AA30" i="6"/>
  <c r="AG30" i="6"/>
  <c r="AD30" i="6"/>
  <c r="AE30" i="6"/>
  <c r="N30" i="6"/>
  <c r="W28" i="6"/>
  <c r="W30" i="6"/>
  <c r="Q30" i="6"/>
  <c r="P30" i="6"/>
  <c r="L24" i="41" l="1"/>
  <c r="T24" i="41" s="1"/>
  <c r="O3" i="18"/>
  <c r="O5" i="18" s="1"/>
  <c r="E8" i="3" l="1"/>
  <c r="F8" i="3" s="1"/>
  <c r="H8" i="3" s="1"/>
  <c r="J8" i="3" s="1"/>
  <c r="K8" i="3" l="1"/>
  <c r="N8" i="3" s="1"/>
  <c r="M8" i="3"/>
  <c r="AM285" i="6" l="1"/>
  <c r="AM284" i="6"/>
  <c r="L245" i="41"/>
  <c r="T245" i="41" s="1"/>
  <c r="AM81" i="6"/>
  <c r="AM58" i="6"/>
  <c r="AM54" i="6"/>
  <c r="AM52" i="6"/>
  <c r="AM51" i="6"/>
  <c r="AM72" i="6" s="1"/>
  <c r="AM50" i="6"/>
  <c r="AM49" i="6"/>
  <c r="AM43" i="6"/>
  <c r="AM42" i="6"/>
  <c r="AM41" i="6"/>
  <c r="AM40" i="6"/>
  <c r="AM36" i="6"/>
  <c r="AM88" i="6" l="1"/>
  <c r="AM82" i="6"/>
  <c r="L247" i="41"/>
  <c r="T247" i="41" s="1"/>
  <c r="V247" i="41" s="1"/>
  <c r="E4" i="27"/>
  <c r="L248" i="41"/>
  <c r="T248" i="41" s="1"/>
  <c r="V248" i="41" s="1"/>
  <c r="AFR245" i="41"/>
  <c r="V245" i="41"/>
  <c r="AM250" i="6"/>
  <c r="L238" i="41"/>
  <c r="T238" i="41" s="1"/>
  <c r="L78" i="41"/>
  <c r="AM71" i="6"/>
  <c r="E5" i="26"/>
  <c r="H5" i="26" s="1"/>
  <c r="AM70" i="6"/>
  <c r="AM66" i="6"/>
  <c r="AM67" i="6"/>
  <c r="AM64" i="6"/>
  <c r="AM65" i="6"/>
  <c r="T241" i="41" l="1"/>
  <c r="V241" i="41" s="1"/>
  <c r="V238" i="4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s="1"/>
  <c r="H29" i="3" s="1"/>
  <c r="J29" i="3" s="1"/>
  <c r="M29" i="3" s="1"/>
  <c r="K29" i="3" l="1"/>
  <c r="N29" i="3" s="1"/>
  <c r="E50" i="6" l="1"/>
  <c r="E18" i="3" l="1"/>
  <c r="F18" i="3" l="1"/>
  <c r="H18" i="3" s="1"/>
  <c r="J18" i="3" s="1"/>
  <c r="G59" i="31"/>
  <c r="G58" i="31"/>
  <c r="G54" i="31"/>
  <c r="G53" i="31"/>
  <c r="G52" i="31"/>
  <c r="G44" i="31"/>
  <c r="G43" i="31"/>
  <c r="F35" i="31"/>
  <c r="G35" i="31" s="1"/>
  <c r="G34" i="31"/>
  <c r="F17" i="31"/>
  <c r="G17" i="31" s="1"/>
  <c r="G55" i="31" l="1"/>
  <c r="K18" i="3"/>
  <c r="N18" i="3" s="1"/>
  <c r="M18" i="3"/>
  <c r="F25" i="19"/>
  <c r="F24" i="19"/>
  <c r="F23" i="19"/>
  <c r="F22" i="19"/>
  <c r="F17" i="19"/>
  <c r="G17" i="19"/>
  <c r="D44" i="17"/>
  <c r="D41" i="17"/>
  <c r="D40" i="17"/>
  <c r="K10" i="18"/>
  <c r="H2" i="27" l="1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36" i="32"/>
  <c r="F41" i="31"/>
  <c r="F40" i="31"/>
  <c r="K36" i="32" l="1"/>
  <c r="J36" i="32"/>
  <c r="G41" i="31"/>
  <c r="F56" i="31"/>
  <c r="G56" i="31" s="1"/>
  <c r="F39" i="31"/>
  <c r="G39" i="31" s="1"/>
  <c r="G40" i="31"/>
  <c r="F57" i="31" l="1"/>
  <c r="G57" i="31" s="1"/>
  <c r="I40" i="32" l="1"/>
  <c r="I27" i="32"/>
  <c r="I13" i="32"/>
  <c r="F46" i="31"/>
  <c r="G46" i="31" s="1"/>
  <c r="F45" i="31"/>
  <c r="G45" i="31" s="1"/>
  <c r="I12" i="32" l="1"/>
  <c r="I21" i="32"/>
  <c r="H18" i="33"/>
  <c r="I39" i="32"/>
  <c r="I22" i="32"/>
  <c r="I38" i="32"/>
  <c r="G23" i="33"/>
  <c r="H23" i="33" s="1"/>
  <c r="I42" i="32"/>
  <c r="G15" i="33"/>
  <c r="I41" i="32"/>
  <c r="I31" i="32"/>
  <c r="I43" i="32"/>
  <c r="G10" i="33"/>
  <c r="F24" i="31"/>
  <c r="G24" i="31" s="1"/>
  <c r="G7" i="33"/>
  <c r="H7" i="33" s="1"/>
  <c r="F65" i="31"/>
  <c r="G65" i="31" s="1"/>
  <c r="G12" i="33"/>
  <c r="F27" i="31"/>
  <c r="F28" i="31"/>
  <c r="G28" i="31" s="1"/>
  <c r="K35" i="17"/>
  <c r="F69" i="31"/>
  <c r="G69" i="31" s="1"/>
  <c r="J22" i="32" l="1"/>
  <c r="I24" i="32"/>
  <c r="D35" i="17"/>
  <c r="H10" i="33"/>
  <c r="H20" i="33"/>
  <c r="F26" i="31"/>
  <c r="G26" i="31" s="1"/>
  <c r="F50" i="31"/>
  <c r="G50" i="31" s="1"/>
  <c r="G27" i="31"/>
  <c r="H12" i="33"/>
  <c r="H5" i="28"/>
  <c r="H12" i="28" s="1"/>
  <c r="H13" i="28" s="1"/>
  <c r="K13" i="18" s="1"/>
  <c r="H21" i="33"/>
  <c r="K43" i="32"/>
  <c r="J43" i="32"/>
  <c r="F70" i="31"/>
  <c r="G70" i="31" s="1"/>
  <c r="J24" i="32" l="1"/>
  <c r="F51" i="31"/>
  <c r="G51" i="31" s="1"/>
  <c r="H15" i="33"/>
  <c r="H17" i="33"/>
  <c r="H22" i="33"/>
  <c r="K23" i="17"/>
  <c r="I32" i="32" l="1"/>
  <c r="I28" i="32" s="1"/>
  <c r="K28" i="32" s="1"/>
  <c r="F14" i="31"/>
  <c r="F63" i="31"/>
  <c r="G63" i="31" s="1"/>
  <c r="AM73" i="6"/>
  <c r="I33" i="32" l="1"/>
  <c r="I26" i="32"/>
  <c r="AM30" i="6"/>
  <c r="K26" i="32" l="1"/>
  <c r="J26" i="32"/>
  <c r="J33" i="32"/>
  <c r="K33" i="32"/>
  <c r="F23" i="31"/>
  <c r="G23" i="31" s="1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G26" i="19" l="1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s="1"/>
  <c r="H37" i="3" s="1"/>
  <c r="J37" i="3" s="1"/>
  <c r="J40" i="3" l="1"/>
  <c r="J42" i="3" s="1"/>
  <c r="J39" i="3"/>
  <c r="F2" i="20"/>
  <c r="F14" i="20" s="1"/>
  <c r="C2" i="20"/>
  <c r="C18" i="20" s="1"/>
  <c r="C19" i="20" s="1"/>
  <c r="M37" i="3"/>
  <c r="K37" i="3"/>
  <c r="N37" i="3" l="1"/>
  <c r="K39" i="3"/>
  <c r="F35" i="17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N86" i="6" l="1"/>
  <c r="W86" i="6" l="1"/>
  <c r="Q86" i="6"/>
  <c r="P86" i="6"/>
  <c r="O86" i="6"/>
  <c r="M60" i="6"/>
  <c r="L60" i="6"/>
  <c r="L85" i="6"/>
  <c r="L86" i="6" s="1"/>
  <c r="J86" i="6"/>
  <c r="G15" i="31" l="1"/>
  <c r="F16" i="31"/>
  <c r="G16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M27" i="3" s="1"/>
  <c r="E30" i="3"/>
  <c r="F30" i="3" s="1"/>
  <c r="H30" i="3" s="1"/>
  <c r="J30" i="3" s="1"/>
  <c r="M30" i="3" s="1"/>
  <c r="E31" i="3"/>
  <c r="F31" i="3" s="1"/>
  <c r="H31" i="3" s="1"/>
  <c r="J31" i="3" s="1"/>
  <c r="M31" i="3" s="1"/>
  <c r="E32" i="3"/>
  <c r="F32" i="3" s="1"/>
  <c r="H32" i="3" s="1"/>
  <c r="J32" i="3" s="1"/>
  <c r="M32" i="3" s="1"/>
  <c r="E33" i="3"/>
  <c r="F33" i="3" s="1"/>
  <c r="H33" i="3" s="1"/>
  <c r="J33" i="3" s="1"/>
  <c r="M33" i="3" s="1"/>
  <c r="E34" i="3"/>
  <c r="F34" i="3" s="1"/>
  <c r="H34" i="3" s="1"/>
  <c r="J34" i="3" s="1"/>
  <c r="M34" i="3" s="1"/>
  <c r="E35" i="3"/>
  <c r="F35" i="3" s="1"/>
  <c r="H35" i="3" s="1"/>
  <c r="J35" i="3" s="1"/>
  <c r="K35" i="3" s="1"/>
  <c r="E36" i="3"/>
  <c r="F36" i="3" s="1"/>
  <c r="H36" i="3" l="1"/>
  <c r="J36" i="3" s="1"/>
  <c r="K24" i="3"/>
  <c r="N24" i="3" s="1"/>
  <c r="N35" i="3"/>
  <c r="M35" i="3"/>
  <c r="K31" i="3"/>
  <c r="N31" i="3" s="1"/>
  <c r="K23" i="3"/>
  <c r="N23" i="3" s="1"/>
  <c r="K27" i="3"/>
  <c r="N27" i="3" s="1"/>
  <c r="K33" i="3"/>
  <c r="N33" i="3" s="1"/>
  <c r="K30" i="3"/>
  <c r="N30" i="3" s="1"/>
  <c r="K26" i="3"/>
  <c r="N26" i="3" s="1"/>
  <c r="K32" i="3"/>
  <c r="N32" i="3" s="1"/>
  <c r="K34" i="3"/>
  <c r="N34" i="3" s="1"/>
  <c r="K22" i="3"/>
  <c r="N22" i="3" s="1"/>
  <c r="K25" i="3"/>
  <c r="N25" i="3" s="1"/>
  <c r="K36" i="3" l="1"/>
  <c r="N36" i="3" s="1"/>
  <c r="M36" i="3"/>
  <c r="C48" i="3"/>
  <c r="C50" i="3"/>
  <c r="E21" i="3"/>
  <c r="F21" i="3" s="1"/>
  <c r="H21" i="3" s="1"/>
  <c r="E20" i="3"/>
  <c r="H19" i="3"/>
  <c r="J19" i="3" s="1"/>
  <c r="E17" i="3"/>
  <c r="F17" i="3" s="1"/>
  <c r="H17" i="3" s="1"/>
  <c r="J17" i="3" s="1"/>
  <c r="E16" i="3"/>
  <c r="F16" i="3" s="1"/>
  <c r="H16" i="3" s="1"/>
  <c r="E15" i="3"/>
  <c r="F15" i="3" s="1"/>
  <c r="H15" i="3" s="1"/>
  <c r="J15" i="3" s="1"/>
  <c r="M15" i="3" s="1"/>
  <c r="F14" i="3"/>
  <c r="H14" i="3" s="1"/>
  <c r="J14" i="3" s="1"/>
  <c r="M14" i="3" s="1"/>
  <c r="E13" i="3"/>
  <c r="F13" i="3" s="1"/>
  <c r="H13" i="3" s="1"/>
  <c r="E12" i="3"/>
  <c r="F12" i="3" s="1"/>
  <c r="H12" i="3" s="1"/>
  <c r="J12" i="3" s="1"/>
  <c r="E11" i="3"/>
  <c r="F11" i="3" s="1"/>
  <c r="H11" i="3" s="1"/>
  <c r="J11" i="3" s="1"/>
  <c r="E10" i="3"/>
  <c r="F10" i="3" s="1"/>
  <c r="H10" i="3" s="1"/>
  <c r="J10" i="3" s="1"/>
  <c r="K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7" i="3" l="1"/>
  <c r="N17" i="3" s="1"/>
  <c r="M17" i="3"/>
  <c r="M19" i="3"/>
  <c r="K19" i="3"/>
  <c r="N19" i="3" s="1"/>
  <c r="F20" i="3"/>
  <c r="H20" i="3" s="1"/>
  <c r="J20" i="3" s="1"/>
  <c r="M20" i="3" s="1"/>
  <c r="J16" i="3"/>
  <c r="M16" i="3" s="1"/>
  <c r="L247" i="6"/>
  <c r="J13" i="3"/>
  <c r="M13" i="3" s="1"/>
  <c r="I247" i="6"/>
  <c r="H246" i="6"/>
  <c r="K21" i="3"/>
  <c r="N21" i="3" s="1"/>
  <c r="M10" i="3"/>
  <c r="N10" i="3"/>
  <c r="M11" i="3"/>
  <c r="K11" i="3"/>
  <c r="N11" i="3" s="1"/>
  <c r="M12" i="3"/>
  <c r="K12" i="3"/>
  <c r="N12" i="3" s="1"/>
  <c r="K14" i="3"/>
  <c r="N14" i="3" s="1"/>
  <c r="C40" i="3"/>
  <c r="K20" i="3" l="1"/>
  <c r="N20" i="3" s="1"/>
  <c r="K13" i="3"/>
  <c r="N13" i="3" s="1"/>
  <c r="H247" i="6"/>
  <c r="J247" i="6"/>
  <c r="G46" i="3"/>
  <c r="C45" i="3"/>
  <c r="C47" i="3" s="1"/>
  <c r="C49" i="3" s="1"/>
  <c r="C51" i="3" s="1"/>
  <c r="F45" i="3"/>
  <c r="F47" i="3" s="1"/>
  <c r="L234" i="41" l="1"/>
  <c r="H14" i="33"/>
  <c r="I85" i="6" l="1"/>
  <c r="I86" i="6" s="1"/>
  <c r="I252" i="6"/>
  <c r="I275" i="6"/>
  <c r="I277" i="6"/>
  <c r="I262" i="6"/>
  <c r="I11" i="6"/>
  <c r="L71" i="41" s="1"/>
  <c r="D17" i="17" l="1"/>
  <c r="G6" i="33"/>
  <c r="F14" i="17"/>
  <c r="J14" i="17" s="1"/>
  <c r="M14" i="17" s="1"/>
  <c r="D20" i="17"/>
  <c r="F20" i="17" s="1"/>
  <c r="I76" i="6"/>
  <c r="D19" i="17"/>
  <c r="F19" i="17" s="1"/>
  <c r="G28" i="33" l="1"/>
  <c r="H28" i="33" s="1"/>
  <c r="G36" i="33"/>
  <c r="H36" i="33" s="1"/>
  <c r="G31" i="33"/>
  <c r="H31" i="33" s="1"/>
  <c r="G39" i="33"/>
  <c r="H39" i="33" s="1"/>
  <c r="G34" i="33"/>
  <c r="H34" i="33" s="1"/>
  <c r="G26" i="33"/>
  <c r="H26" i="33" s="1"/>
  <c r="G38" i="33"/>
  <c r="H38" i="33" s="1"/>
  <c r="G33" i="33"/>
  <c r="H33" i="33" s="1"/>
  <c r="G32" i="33"/>
  <c r="H32" i="33" s="1"/>
  <c r="G37" i="33"/>
  <c r="H37" i="33" s="1"/>
  <c r="G30" i="33"/>
  <c r="H30" i="33" s="1"/>
  <c r="F13" i="31"/>
  <c r="M19" i="17"/>
  <c r="J19" i="17"/>
  <c r="F9" i="17"/>
  <c r="J9" i="17" s="1"/>
  <c r="M9" i="17" s="1"/>
  <c r="H6" i="33"/>
  <c r="I3" i="24"/>
  <c r="I5" i="24" s="1"/>
  <c r="H15" i="24" s="1"/>
  <c r="I3" i="19"/>
  <c r="I5" i="19" s="1"/>
  <c r="H13" i="19" s="1"/>
  <c r="M21" i="17"/>
  <c r="F17" i="17"/>
  <c r="J17" i="17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G68" i="31"/>
  <c r="K16" i="17"/>
  <c r="F16" i="17"/>
  <c r="J16" i="17" s="1"/>
  <c r="F12" i="17"/>
  <c r="J12" i="17" s="1"/>
  <c r="M12" i="17" s="1"/>
  <c r="G13" i="33"/>
  <c r="G29" i="33" s="1"/>
  <c r="F12" i="31" l="1"/>
  <c r="G12" i="31" s="1"/>
  <c r="D8" i="17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2" i="31"/>
  <c r="G62" i="31" s="1"/>
  <c r="O12" i="17"/>
  <c r="N12" i="17"/>
  <c r="O23" i="17"/>
  <c r="N23" i="17"/>
  <c r="N21" i="17"/>
  <c r="O21" i="17"/>
  <c r="M16" i="17"/>
  <c r="K17" i="17"/>
  <c r="M17" i="17" s="1"/>
  <c r="K8" i="18"/>
  <c r="M8" i="18" s="1"/>
  <c r="H29" i="33"/>
  <c r="H13" i="33"/>
  <c r="G10" i="31" l="1"/>
  <c r="F48" i="31"/>
  <c r="G48" i="31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6" i="31"/>
  <c r="G66" i="31" s="1"/>
  <c r="F49" i="31"/>
  <c r="G49" i="31" s="1"/>
  <c r="N17" i="17"/>
  <c r="O17" i="17"/>
  <c r="M48" i="17"/>
  <c r="G11" i="19" s="1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K16" i="3" l="1"/>
  <c r="N16" i="3" s="1"/>
  <c r="K15" i="3"/>
  <c r="N15" i="3" s="1"/>
  <c r="M9" i="3"/>
  <c r="K9" i="3"/>
  <c r="N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9" authorId="0" shapeId="0" xr:uid="{3994F36A-CDF4-40EE-9806-5469B97DFE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08.30 start feed cpo 102  kebutuhan olam 12 K dan koreksi LC tk 110 slow FR </t>
        </r>
      </text>
    </comment>
    <comment ref="R9" authorId="0" shapeId="0" xr:uid="{5D431891-7FE5-441E-BCC9-20A664ECE8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hpb vlave gas trouble </t>
        </r>
      </text>
    </comment>
    <comment ref="AD9" authorId="0" shapeId="0" xr:uid="{B7894F25-1065-44C7-95D9-44616C8392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shortage </t>
        </r>
      </text>
    </comment>
    <comment ref="AE9" authorId="0" shapeId="0" xr:uid="{8B456A8C-497F-45BA-A09A-281214A906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shortage </t>
        </r>
      </text>
    </comment>
    <comment ref="AG9" authorId="0" shapeId="0" xr:uid="{E0B2FDB6-E53B-4675-B217-443EEE9589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shortage tank stearin % pfad full</t>
        </r>
      </text>
    </comment>
    <comment ref="AH9" authorId="0" shapeId="0" xr:uid="{5383D24F-C343-4C86-8B92-87A5AAA6AB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tank pfad &amp; stearin full</t>
        </r>
      </text>
    </comment>
    <comment ref="M20" authorId="0" shapeId="0" xr:uid="{9A5D5199-05EC-4F48-AE31-3687AD51DF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produk tgl 8 jam 8.30 wib terkait flow sitch chiller ref problem </t>
        </r>
      </text>
    </comment>
    <comment ref="T75" authorId="0" shapeId="0" xr:uid="{1F12ED6D-BDD3-474E-8B4D-9A5FF0A74B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 tonsil </t>
        </r>
      </text>
    </comment>
    <comment ref="N279" authorId="0" shapeId="0" xr:uid="{1BBEA3A1-816F-47D0-AF8C-135A2BC40E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
</t>
        </r>
      </text>
    </comment>
    <comment ref="O279" authorId="0" shapeId="0" xr:uid="{2F0EC29D-530F-4F2E-9155-B70D9D01A9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
</t>
        </r>
      </text>
    </comment>
    <comment ref="U279" authorId="0" shapeId="0" xr:uid="{6721447C-F5EC-4FDC-AE13-8BAA77DC62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run 2 chiller iv 58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<sst xmlns="http://schemas.openxmlformats.org/spreadsheetml/2006/main" count="3898" uniqueCount="1160">
  <si>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</si>
  <si>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</si>
  <si>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</si>
  <si>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</si>
  <si>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</si>
  <si>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</si>
  <si>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</si>
  <si>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</si>
  <si>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</si>
  <si>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</si>
  <si>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</si>
  <si>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</si>
  <si>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</si>
  <si>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</si>
  <si>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</si>
  <si>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</si>
  <si>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</si>
  <si>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</si>
  <si>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</si>
  <si>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</si>
  <si>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</si>
  <si>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</si>
  <si>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</si>
  <si>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</si>
  <si>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</si>
  <si>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</si>
  <si>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</si>
  <si>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</si>
  <si>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</si>
  <si>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</si>
  <si>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</si>
  <si>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</si>
  <si>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</si>
  <si>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</si>
  <si>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</si>
  <si>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</si>
  <si>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</si>
  <si>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</si>
  <si>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</si>
  <si>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</si>
  <si>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</si>
  <si>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</si>
  <si>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</si>
  <si>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</si>
  <si>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</si>
  <si>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</si>
  <si>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</si>
  <si>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</si>
  <si>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</si>
  <si>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</si>
  <si>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</si>
  <si>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</si>
  <si>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</si>
  <si>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</si>
  <si>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</si>
  <si>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</si>
  <si>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</si>
  <si>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</si>
  <si>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</si>
  <si>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</si>
  <si>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</si>
  <si>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</si>
  <si>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</si>
  <si>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</si>
  <si>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</si>
  <si>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</si>
  <si>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</si>
  <si>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</si>
  <si>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</si>
  <si>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</si>
  <si>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</si>
  <si>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</si>
  <si>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</si>
  <si>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</si>
  <si>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</si>
  <si>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</si>
  <si>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</si>
  <si>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</si>
  <si>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</si>
  <si>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</si>
  <si>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</si>
  <si>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</si>
  <si>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</si>
  <si>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</si>
  <si>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</si>
  <si>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</si>
  <si>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</si>
  <si>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</si>
  <si>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</si>
  <si>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</si>
  <si>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</si>
  <si>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</si>
  <si>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</si>
  <si>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</si>
  <si>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</si>
  <si>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</si>
  <si>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</si>
  <si>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</si>
  <si>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</si>
  <si>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</si>
  <si>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</si>
  <si>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</si>
  <si>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</si>
  <si>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</si>
  <si>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</si>
  <si>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</si>
  <si>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</si>
  <si>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</si>
  <si>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</si>
  <si>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</si>
  <si>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</si>
  <si>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</si>
  <si>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</si>
  <si>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</si>
  <si>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</si>
  <si>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</si>
  <si>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</si>
  <si>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</si>
  <si>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</si>
  <si>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</si>
  <si>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</si>
  <si>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</si>
  <si>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</si>
  <si>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</si>
  <si>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</si>
  <si>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</si>
  <si>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</si>
  <si>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</si>
  <si>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</si>
  <si>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</si>
  <si>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</si>
  <si>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</si>
  <si>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</si>
  <si>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</si>
  <si>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</si>
  <si>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</si>
  <si>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</si>
  <si>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</si>
  <si>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</si>
  <si>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</si>
  <si>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</si>
  <si>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</si>
  <si>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</si>
  <si>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</si>
  <si>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</si>
  <si>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</si>
  <si>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</si>
  <si>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</si>
  <si>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</si>
  <si>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</si>
  <si>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</si>
  <si>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</si>
  <si>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</si>
  <si>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</si>
  <si>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</si>
  <si>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</si>
  <si>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</si>
  <si>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</si>
  <si>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</si>
  <si>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</si>
  <si>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</si>
  <si>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</si>
  <si>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</si>
  <si>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</si>
  <si>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</si>
  <si>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</si>
  <si>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</si>
  <si>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</si>
  <si>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</si>
  <si>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</si>
  <si>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</si>
  <si>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</si>
  <si>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</si>
  <si>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</si>
  <si>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</si>
  <si>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</si>
  <si>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</si>
  <si>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</si>
  <si>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</si>
  <si>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</si>
  <si>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</si>
  <si>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</si>
  <si>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</si>
  <si>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</si>
  <si>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</si>
  <si>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</si>
  <si>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</si>
  <si>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</si>
  <si>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</si>
  <si>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</si>
  <si>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</si>
  <si>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</si>
  <si>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</si>
  <si>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</si>
  <si>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</si>
  <si>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</si>
  <si>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</si>
  <si>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</si>
  <si>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</si>
  <si>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</si>
  <si>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</si>
  <si>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</si>
  <si>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</si>
  <si>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</si>
  <si>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</si>
  <si>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</si>
  <si>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</si>
  <si>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</si>
  <si>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</si>
  <si>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</si>
  <si>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</si>
  <si>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</si>
  <si>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</si>
  <si>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</si>
  <si>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</si>
  <si>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</si>
  <si>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</si>
  <si>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</si>
  <si>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</si>
  <si>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</si>
  <si>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</si>
  <si>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</si>
  <si>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</si>
  <si>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</si>
  <si>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</si>
  <si>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</si>
  <si>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</si>
  <si>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</si>
  <si>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</si>
  <si>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</si>
  <si>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</si>
  <si>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</si>
  <si>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</si>
  <si>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</si>
  <si>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</si>
  <si>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</si>
  <si>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</si>
  <si>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</si>
  <si>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</si>
  <si>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</si>
  <si>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</si>
  <si>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</si>
  <si>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</si>
  <si>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</si>
  <si>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</si>
  <si>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</si>
  <si>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</si>
  <si>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</si>
  <si>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</si>
  <si>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</si>
  <si>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</si>
  <si>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</si>
  <si>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</si>
  <si>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</si>
  <si>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</si>
  <si>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</si>
  <si>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</si>
  <si>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</si>
  <si>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</si>
  <si>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</si>
  <si>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</si>
  <si>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</si>
  <si>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</si>
  <si>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</si>
  <si>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</si>
  <si>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</si>
  <si>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</si>
  <si>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</si>
  <si>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</si>
  <si>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</si>
  <si>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</si>
  <si>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</si>
  <si>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</si>
  <si>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</si>
  <si>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</si>
  <si>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</si>
  <si>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</si>
  <si>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</si>
  <si>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</si>
  <si>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</si>
  <si>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</si>
  <si>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</si>
  <si>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</si>
  <si>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</si>
  <si>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</si>
  <si>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</si>
  <si>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</si>
  <si>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</si>
  <si>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</si>
  <si>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</si>
  <si>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</si>
  <si>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</si>
  <si>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</si>
  <si>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</si>
  <si>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</si>
  <si>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</si>
  <si>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</si>
  <si>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</si>
  <si>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</si>
  <si>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</si>
  <si>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</si>
  <si>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</si>
  <si>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</si>
  <si>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</si>
  <si>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</si>
  <si>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</si>
  <si>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</si>
  <si>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</si>
  <si>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</si>
  <si>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</si>
  <si>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</si>
  <si>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</si>
  <si>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</si>
  <si>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</si>
  <si>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</si>
  <si>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</si>
  <si>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</si>
  <si>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</si>
  <si>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</si>
  <si>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</si>
  <si>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</si>
  <si>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</si>
  <si>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</si>
  <si>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</si>
  <si>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</si>
  <si>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</si>
  <si>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</si>
  <si>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</si>
  <si>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</si>
  <si>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</si>
  <si>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</si>
  <si>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</si>
  <si>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</si>
  <si>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</si>
  <si>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</si>
  <si>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</si>
  <si>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</si>
  <si>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</si>
  <si>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</si>
  <si>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</si>
  <si>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</si>
  <si>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</si>
  <si>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</si>
  <si>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</si>
  <si>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</si>
  <si>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</si>
  <si>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</si>
  <si>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</si>
  <si>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</si>
  <si>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</si>
  <si>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</si>
  <si>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</si>
  <si>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</si>
  <si>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</si>
  <si>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</si>
  <si>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</si>
  <si>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</si>
  <si>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</si>
  <si>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</si>
  <si>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</si>
  <si>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</si>
  <si>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</si>
  <si>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</si>
  <si>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</si>
  <si>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</si>
  <si>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</si>
  <si>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</si>
  <si>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</si>
  <si>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</si>
  <si>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</si>
  <si>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</si>
  <si>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</si>
  <si>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</si>
  <si>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</si>
  <si>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</si>
  <si>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</si>
  <si>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</si>
  <si>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</si>
  <si>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</si>
  <si>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</si>
  <si>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</si>
  <si>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</si>
  <si>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</si>
  <si>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</si>
  <si>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</si>
  <si>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</si>
  <si>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</si>
  <si>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</si>
  <si>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</si>
  <si>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</si>
  <si>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</si>
  <si>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</si>
  <si>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</si>
  <si>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</si>
  <si>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</si>
  <si>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</si>
  <si>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</si>
  <si>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</si>
  <si>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</si>
  <si>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</si>
  <si>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</si>
  <si>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</si>
  <si>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</si>
  <si>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</si>
  <si>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</si>
  <si>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</si>
  <si>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</si>
  <si>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</si>
  <si>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</si>
  <si>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</si>
  <si>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</si>
  <si>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</si>
  <si>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</si>
  <si>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</si>
  <si>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</si>
  <si>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</si>
  <si>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</si>
  <si>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</si>
  <si>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</si>
  <si>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</si>
  <si>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</si>
  <si>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</si>
  <si>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</si>
  <si>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</si>
  <si>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</si>
  <si>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</si>
  <si>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</si>
  <si>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</si>
  <si>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</si>
  <si>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</si>
  <si>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</si>
  <si>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</si>
  <si>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</si>
  <si>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</si>
  <si>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</si>
  <si>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</si>
  <si>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</si>
  <si>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</si>
  <si>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</si>
  <si>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</si>
  <si>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</si>
  <si>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</si>
  <si>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</si>
  <si>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</si>
  <si>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</si>
  <si>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</si>
  <si>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</si>
  <si>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</si>
  <si>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</si>
  <si>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</si>
  <si>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</si>
  <si>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</si>
  <si>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</si>
  <si>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</si>
  <si>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</si>
  <si>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</si>
  <si>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</si>
  <si>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</si>
  <si>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</si>
  <si>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</si>
  <si>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</si>
  <si>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</si>
  <si>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</si>
  <si>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</si>
  <si>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</si>
  <si>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</si>
  <si>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</si>
  <si>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</si>
  <si>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</si>
  <si>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</si>
  <si>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</si>
  <si>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</si>
  <si>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</si>
  <si>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</si>
  <si>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</si>
  <si>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</si>
  <si>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</si>
  <si>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</si>
  <si>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</si>
  <si>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</si>
  <si>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</si>
  <si>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</si>
  <si>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</si>
  <si>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</si>
  <si>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</si>
  <si>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</si>
  <si>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</si>
  <si>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</si>
  <si>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</si>
  <si>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</si>
  <si>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</si>
  <si>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</si>
  <si>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</si>
  <si>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</si>
  <si>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</si>
  <si>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</si>
  <si>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</si>
  <si>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</si>
  <si>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</si>
  <si>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</si>
  <si>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</si>
  <si>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</si>
  <si>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</si>
  <si>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</si>
  <si>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</si>
  <si>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</si>
  <si>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</si>
  <si>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</si>
  <si>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</si>
  <si>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</si>
  <si>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</si>
  <si>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</si>
  <si>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</si>
  <si>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</si>
  <si>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</si>
  <si>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</si>
  <si>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</si>
  <si>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</si>
  <si>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</si>
  <si>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</si>
  <si>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</si>
  <si>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</si>
  <si>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</si>
  <si>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</si>
  <si>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</si>
  <si>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</si>
  <si>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</si>
  <si>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</si>
  <si>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</si>
  <si>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</si>
  <si>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</si>
  <si>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</si>
  <si>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</si>
  <si>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</si>
  <si>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</si>
  <si>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</si>
  <si>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</si>
  <si>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</si>
  <si>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</si>
  <si>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</si>
  <si>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</si>
  <si>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</si>
  <si>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</si>
  <si>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</si>
  <si>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</si>
  <si>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</si>
  <si>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</si>
  <si>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</si>
  <si>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</si>
  <si>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</si>
  <si>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</si>
  <si>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</si>
  <si>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</si>
  <si>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</si>
  <si>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</si>
  <si>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</si>
  <si>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</si>
  <si>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</si>
  <si>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</si>
  <si>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</si>
  <si>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</si>
  <si>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</si>
  <si>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</si>
  <si>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</si>
  <si>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</si>
  <si>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</si>
  <si>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</si>
  <si>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</si>
  <si>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</si>
  <si>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</si>
  <si>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</si>
  <si>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</si>
  <si>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</si>
  <si>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</si>
  <si>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</si>
  <si>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</si>
  <si>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</si>
  <si>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</si>
  <si>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</si>
  <si>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</si>
  <si>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</si>
  <si>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</si>
  <si>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</si>
  <si>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</si>
  <si>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</si>
  <si>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</si>
  <si>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</si>
  <si>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</si>
  <si>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</si>
  <si>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</si>
  <si>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</si>
  <si>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</si>
  <si>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</si>
  <si>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</si>
  <si>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</si>
  <si>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</si>
  <si>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</si>
  <si>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</si>
  <si>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</si>
  <si>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</si>
  <si>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</si>
  <si>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</si>
  <si>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</si>
  <si>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</si>
  <si>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</si>
  <si>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</si>
  <si>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</si>
  <si>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</si>
  <si>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</si>
  <si>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</si>
  <si>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</si>
  <si>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</si>
  <si>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</si>
  <si>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</si>
  <si>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</si>
  <si>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</si>
  <si>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</si>
  <si>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</si>
  <si>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</si>
  <si>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</si>
  <si>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</si>
  <si>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</si>
  <si>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</si>
  <si>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</si>
  <si>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</si>
  <si>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</si>
  <si>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</si>
  <si>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</si>
  <si>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</si>
  <si>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</si>
  <si>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</si>
  <si>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</si>
  <si>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</si>
  <si>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</si>
  <si>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</si>
  <si>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</si>
  <si>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</si>
  <si>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</si>
  <si>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</si>
  <si>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</si>
  <si>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</si>
  <si>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</si>
  <si>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</si>
  <si>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</si>
  <si>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</si>
  <si>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</si>
  <si>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</si>
  <si>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</si>
  <si>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</si>
  <si>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</si>
  <si>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</si>
  <si>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</si>
  <si>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</si>
  <si>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</si>
  <si>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</si>
  <si>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</si>
  <si>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</si>
  <si>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</si>
  <si>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</si>
  <si>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</si>
  <si>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</si>
  <si>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</si>
  <si>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</si>
  <si>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</si>
  <si>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</si>
  <si>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</si>
  <si>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</si>
  <si>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</si>
  <si>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</si>
  <si>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</si>
  <si>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</si>
  <si>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</si>
  <si>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</si>
  <si>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</si>
  <si>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</si>
  <si>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</si>
  <si>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</si>
  <si>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</si>
  <si>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</si>
  <si>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</si>
  <si>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</si>
  <si>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</si>
  <si>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</si>
  <si>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</si>
  <si>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</si>
  <si>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</si>
  <si>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</si>
  <si>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</si>
  <si>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</si>
  <si>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</si>
  <si>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</si>
  <si>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</si>
  <si>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</si>
  <si>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</si>
  <si>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</si>
  <si>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</si>
  <si>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</si>
  <si>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</si>
  <si>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</si>
  <si>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</si>
  <si>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</si>
  <si>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</si>
  <si>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</si>
  <si>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</si>
  <si>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</si>
  <si>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</si>
  <si>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</si>
  <si>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</si>
  <si>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</si>
  <si>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</si>
  <si>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</si>
  <si>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</si>
  <si>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</si>
  <si>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</si>
  <si>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</si>
  <si>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</si>
  <si>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</si>
  <si>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</si>
  <si>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</si>
  <si>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</si>
  <si>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</si>
  <si>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</si>
  <si>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</si>
  <si>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</si>
  <si>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</si>
  <si>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</si>
  <si>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</si>
  <si>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</si>
  <si>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</si>
  <si>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</si>
  <si>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</si>
  <si>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</si>
  <si>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</si>
  <si>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</si>
  <si>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</si>
  <si>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</si>
  <si>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</si>
  <si>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</si>
  <si>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</si>
  <si>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</si>
  <si>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</si>
  <si>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</si>
  <si>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</si>
  <si>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</si>
  <si>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</si>
  <si>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</si>
  <si>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</si>
  <si>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</si>
  <si>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</si>
  <si>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</si>
  <si>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</si>
  <si>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</si>
  <si>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</si>
  <si>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</si>
  <si>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</si>
  <si>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</si>
  <si>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</si>
  <si>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</si>
  <si>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</si>
  <si>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</si>
  <si>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</si>
  <si>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</si>
  <si>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</si>
  <si>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</si>
  <si>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</si>
  <si>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</si>
  <si>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</si>
  <si>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</si>
  <si>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</si>
  <si>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</si>
  <si>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</si>
  <si>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</si>
  <si>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</si>
  <si>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</si>
  <si>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</si>
  <si>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</si>
  <si>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</si>
  <si>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</si>
  <si>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</si>
  <si>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</si>
  <si>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</si>
  <si>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</si>
  <si>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</si>
  <si>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</si>
  <si>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</si>
  <si>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</si>
  <si>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</si>
  <si>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</si>
  <si>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</si>
  <si>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</si>
  <si>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</si>
  <si>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</si>
  <si>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</si>
  <si>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</si>
  <si>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</si>
  <si>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</si>
  <si>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</si>
  <si>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</si>
  <si>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</si>
  <si>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</si>
  <si>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</si>
  <si>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</si>
  <si>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</si>
  <si>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</si>
  <si>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</si>
  <si>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</si>
  <si>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</si>
  <si>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</si>
  <si>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</si>
  <si>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</si>
  <si>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</si>
  <si>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</si>
  <si>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</si>
  <si>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</si>
  <si>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</si>
  <si>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</si>
  <si>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</si>
  <si>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</si>
  <si>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</si>
  <si>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</si>
  <si>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</si>
  <si>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</si>
  <si>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</si>
  <si>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</si>
  <si>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</si>
  <si>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</si>
  <si>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</si>
  <si>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</si>
  <si>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</si>
  <si>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</si>
  <si>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</si>
  <si>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</si>
  <si>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</si>
  <si>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</si>
  <si>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</si>
  <si>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</si>
  <si>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</si>
  <si>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</si>
  <si>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</si>
  <si>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11.HOLD CPO Shortage</t>
  </si>
  <si>
    <t>DOWN TIME SLOW FLOWRATE PRODUCTION FRACTIONATION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</si>
  <si>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</si>
  <si>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</si>
  <si>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</si>
  <si>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</si>
  <si>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</si>
  <si>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</si>
  <si>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</si>
  <si>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</si>
  <si>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</si>
  <si>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</si>
  <si>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</si>
  <si>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</si>
  <si>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</si>
  <si>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</si>
  <si>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</si>
  <si>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</si>
  <si>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</si>
  <si>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</si>
  <si>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</si>
  <si>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</si>
  <si>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</si>
  <si>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</si>
  <si>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</si>
  <si>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</si>
  <si>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</si>
  <si>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</si>
  <si>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</si>
  <si>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</si>
  <si>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</si>
  <si>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</si>
  <si>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</si>
  <si>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</si>
  <si>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</si>
  <si>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</si>
  <si>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</si>
  <si>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</si>
  <si>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</si>
  <si>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</si>
  <si>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</si>
  <si>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</si>
  <si>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</si>
  <si>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</si>
  <si>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</si>
  <si>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</si>
  <si>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</si>
  <si>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</si>
  <si>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</si>
  <si>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</si>
  <si>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</si>
  <si>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</si>
  <si>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</si>
  <si>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</si>
  <si>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</si>
  <si>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</si>
  <si>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</si>
  <si>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</si>
  <si>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</si>
  <si>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</si>
  <si>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</si>
  <si>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</si>
  <si>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</si>
  <si>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</si>
  <si>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</si>
  <si>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</si>
  <si>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</si>
  <si>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</si>
  <si>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</si>
  <si>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</si>
  <si>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</si>
  <si>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</si>
  <si>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</si>
  <si>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</si>
  <si>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</si>
  <si>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</si>
  <si>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</si>
  <si>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</si>
  <si>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</si>
  <si>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</si>
  <si>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</si>
  <si>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</si>
  <si>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</si>
  <si>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</si>
  <si>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</si>
  <si>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</si>
  <si>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</si>
  <si>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</si>
  <si>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</si>
  <si>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</si>
  <si>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</si>
  <si>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</si>
  <si>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</si>
  <si>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</si>
  <si>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</si>
  <si>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</si>
  <si>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</si>
  <si>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</si>
  <si>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</si>
  <si>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</si>
  <si>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</si>
  <si>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</si>
  <si>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</si>
  <si>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</si>
  <si>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</si>
  <si>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</si>
  <si>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</si>
  <si>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</si>
  <si>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</si>
  <si>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</si>
  <si>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</si>
  <si>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</si>
  <si>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</si>
  <si>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</si>
  <si>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</si>
  <si>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</si>
  <si>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</si>
  <si>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</si>
  <si>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</si>
  <si>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</si>
  <si>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</si>
  <si>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</si>
  <si>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</si>
  <si>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</si>
  <si>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</si>
  <si>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</si>
  <si>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</si>
  <si>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</si>
  <si>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</si>
  <si>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</si>
  <si>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</si>
  <si>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</si>
  <si>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</si>
  <si>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</si>
  <si>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</si>
  <si>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</si>
  <si>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</si>
  <si>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</si>
  <si>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</si>
  <si>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</si>
  <si>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</si>
  <si>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</si>
  <si>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</si>
  <si>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</si>
  <si>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</si>
  <si>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</si>
  <si>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</si>
  <si>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</si>
  <si>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</si>
  <si>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</si>
  <si>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</si>
  <si>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</si>
  <si>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</si>
  <si>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</si>
  <si>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</si>
  <si>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</si>
  <si>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</si>
  <si>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</si>
  <si>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</si>
  <si>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</si>
  <si>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</si>
  <si>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</si>
  <si>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</si>
  <si>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</si>
  <si>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</si>
  <si>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</si>
  <si>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</si>
  <si>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</si>
  <si>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</si>
  <si>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</si>
  <si>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</si>
  <si>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</si>
  <si>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</si>
  <si>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</si>
  <si>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</si>
  <si>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</si>
  <si>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</si>
  <si>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</si>
  <si>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</si>
  <si>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</si>
  <si>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</si>
  <si>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</si>
  <si>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</si>
  <si>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</si>
  <si>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</si>
  <si>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</si>
  <si>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</si>
  <si>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</si>
  <si>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</si>
  <si>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</si>
  <si>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</si>
  <si>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</si>
  <si>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</si>
  <si>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</si>
  <si>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</si>
  <si>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</si>
  <si>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</si>
  <si>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</si>
  <si>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</si>
  <si>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</si>
  <si>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</si>
  <si>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</si>
  <si>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</si>
  <si>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</si>
  <si>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</si>
  <si>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</si>
  <si>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</si>
  <si>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</si>
  <si>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</si>
  <si>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</si>
  <si>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</si>
  <si>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</si>
  <si>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</si>
  <si>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</si>
  <si>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</si>
  <si>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</si>
  <si>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</si>
  <si>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</si>
  <si>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</si>
  <si>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</si>
  <si>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</si>
  <si>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</si>
  <si>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</si>
  <si>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</si>
  <si>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</si>
  <si>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</si>
  <si>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</si>
  <si>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Fractionation Olein IV 58 ( bulk )</t>
  </si>
  <si>
    <t>utility section ( chiller )</t>
  </si>
  <si>
    <t xml:space="preserve">Production Cost MARET 2025 </t>
  </si>
  <si>
    <t>YEARLY REPORT</t>
  </si>
  <si>
    <t>DIRECT</t>
  </si>
  <si>
    <t>DIRECT RBDPO FRACT</t>
  </si>
  <si>
    <t xml:space="preserve">cpo feed </t>
  </si>
  <si>
    <t>rpo prod</t>
  </si>
  <si>
    <t xml:space="preserve">pfad prod </t>
  </si>
  <si>
    <t xml:space="preserve">yield rpo </t>
  </si>
  <si>
    <t>yield pfad</t>
  </si>
  <si>
    <t>loss</t>
  </si>
  <si>
    <t xml:space="preserve">sap refinery </t>
  </si>
  <si>
    <t xml:space="preserve">sap fraksinasi </t>
  </si>
  <si>
    <t>rpo feed</t>
  </si>
  <si>
    <t>olein 56</t>
  </si>
  <si>
    <t>stearin 56</t>
  </si>
  <si>
    <t>yield olein</t>
  </si>
  <si>
    <t xml:space="preserve">yiel stearin </t>
  </si>
  <si>
    <t>sisa rbdo di gudang bulky 1014</t>
  </si>
  <si>
    <t xml:space="preserve">tk 108 </t>
  </si>
  <si>
    <t>tk 109</t>
  </si>
  <si>
    <t xml:space="preserve">total </t>
  </si>
  <si>
    <t xml:space="preserve">adjust </t>
  </si>
  <si>
    <t>opening stok rpo sap</t>
  </si>
  <si>
    <t xml:space="preserve">stok actual </t>
  </si>
  <si>
    <t xml:space="preserve">OIP actual </t>
  </si>
  <si>
    <t>cpo feed</t>
  </si>
  <si>
    <t xml:space="preserve">rpo prod </t>
  </si>
  <si>
    <t>lossis</t>
  </si>
  <si>
    <t xml:space="preserve">aktual refinery </t>
  </si>
  <si>
    <t xml:space="preserve">aktual fraksinasi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</si>
  <si>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</si>
  <si>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</si>
  <si>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</si>
  <si>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</si>
  <si>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</si>
  <si>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oip </t>
  </si>
  <si>
    <t xml:space="preserve">total rpo tank </t>
  </si>
  <si>
    <t xml:space="preserve">total keseluruhan rpo </t>
  </si>
  <si>
    <t xml:space="preserve">opening stok rpo </t>
  </si>
  <si>
    <t>tk131</t>
  </si>
  <si>
    <t>tk132</t>
  </si>
  <si>
    <t>before</t>
  </si>
  <si>
    <t>after</t>
  </si>
  <si>
    <t>JULI 2025</t>
  </si>
  <si>
    <t>sap.rpo.non.t</t>
  </si>
  <si>
    <t>sap.rpo.t</t>
  </si>
  <si>
    <t>SHUT DOWN</t>
  </si>
  <si>
    <t>START UP</t>
  </si>
  <si>
    <t>HPB TRIP</t>
  </si>
  <si>
    <t>pulstube trouble</t>
  </si>
  <si>
    <t xml:space="preserve">pulstube trouble </t>
  </si>
  <si>
    <t>CPO Sortage</t>
  </si>
  <si>
    <t>2. Pulstube Trouble</t>
  </si>
  <si>
    <t>3. Hold plant due to trip HP boiler &amp; maintenance</t>
  </si>
  <si>
    <t>7. Trouble hoist rusak</t>
  </si>
  <si>
    <t>9. Sirkulasi Quality Ouspek</t>
  </si>
  <si>
    <t>10, Shut Down</t>
  </si>
  <si>
    <t>Note : Kapasitas 2500 TPD</t>
  </si>
  <si>
    <t>Start Up</t>
  </si>
  <si>
    <t>Koreksi Quality (LC) IV 56</t>
  </si>
  <si>
    <t>Proses IV 58 dan Low Material</t>
  </si>
  <si>
    <t>2. Koreksi Quality (LC)</t>
  </si>
  <si>
    <t xml:space="preserve">3. Slow Flow rate terkait material sortage &amp; menyesuaikan </t>
  </si>
  <si>
    <t>4. Downtime due to Start/Stop Up Plant</t>
  </si>
  <si>
    <t>5. Running Normal Plant</t>
  </si>
  <si>
    <t>6. Low Material</t>
  </si>
  <si>
    <t>7. Slow flow rate due to Olein IV 58 process</t>
  </si>
  <si>
    <t>8. STOP PLANT</t>
  </si>
  <si>
    <t>13. Slow flow rate due to Olein IV 58 process &amp; IV 60 process</t>
  </si>
  <si>
    <t>Periode 01/31 Juli 2025</t>
  </si>
  <si>
    <t xml:space="preserve">Bany Subana </t>
  </si>
  <si>
    <t>Periode 01 s/d 31 Juli 2025</t>
  </si>
  <si>
    <t>Juli</t>
  </si>
  <si>
    <t>Admin Operation</t>
  </si>
  <si>
    <t>Bany Subana</t>
  </si>
  <si>
    <t>Utilisasi Kapasitas Olah</t>
  </si>
  <si>
    <t>- BE Achieve dengan pemakaian consume Bleaching Earth 7,9 Kg/MT</t>
  </si>
  <si>
    <t>- Rata rata incoming CPO perhari 1.160 MT</t>
  </si>
  <si>
    <t>- Total CPO Proses sebesar : 34.566 MT dengan total CPO Incoming ke INL sebanyak : 29.011 MT</t>
  </si>
  <si>
    <t>&lt; 0,04</t>
  </si>
  <si>
    <t>&lt; 0,13</t>
  </si>
  <si>
    <t>&lt; 28</t>
  </si>
  <si>
    <t>&lt; 45</t>
  </si>
  <si>
    <t xml:space="preserve">- Untuk hari olah Produksi adalah 25 Hari, menyesuaikan dengan jadwal shipment Adesa 23 &amp; 1,2 sebanyak 15.900 MT (IV 58) </t>
  </si>
  <si>
    <t xml:space="preserve">  dan Olam 12.000  MT (IV 56) </t>
  </si>
  <si>
    <t xml:space="preserve">* Pemakaian Listrik Fractination Over terkait penggunaan dua unit chiller </t>
  </si>
  <si>
    <t>Heating Up</t>
  </si>
  <si>
    <t>Hoist BE Trouble</t>
  </si>
  <si>
    <t>Koreksi LC RBDPO</t>
  </si>
  <si>
    <t>Over  Budget</t>
  </si>
  <si>
    <t>Under Budget</t>
  </si>
  <si>
    <t>- IV 56 Yield tidak tercapai di karenakan supply minyak ke Packaging menggunakan IV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</si>
</sst>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  <numFmt numFmtId="202" formatCode="_-* #,##0_-;\-* #,##0_-;_-* &quot;-&quot;?_-;_-@_-"/>
    <numFmt numFmtId="203" formatCode="_-* #,##0.00\ _€_-;\-* #,##0.00\ _€_-;_-* &quot;-&quot;??\ _€_-;_-@_-"/>
    <numFmt numFmtId="204" formatCode="_(&quot;$&quot;* #,##0.00_);_(&quot;$&quot;* \(#,##0.00\);_(&quot;$&quot;* &quot;-&quot;??_);_(@_)"/>
    <numFmt numFmtId="205" formatCode="_-* #,##0.000_-;\-* #,##0.000_-;_-* &quot;-&quot;??_-;_-@_-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087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3" fontId="100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204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9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91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43" fontId="64" fillId="0" borderId="0" xfId="16" applyNumberFormat="1" applyFont="1"/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5" borderId="2" xfId="5" applyFont="1" applyFill="1" applyBorder="1" applyAlignment="1">
      <alignment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4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0" fontId="10" fillId="5" borderId="31" xfId="16" applyFont="1" applyFill="1" applyBorder="1" applyAlignment="1">
      <alignment horizontal="center"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3" xfId="16" applyFont="1" applyFill="1" applyBorder="1" applyAlignment="1">
      <alignment horizontal="center" vertical="center"/>
    </xf>
    <xf numFmtId="0" fontId="76" fillId="6" borderId="154" xfId="16" applyFont="1" applyFill="1" applyBorder="1" applyAlignment="1">
      <alignment horizontal="center" vertical="center"/>
    </xf>
    <xf numFmtId="192" fontId="76" fillId="6" borderId="154" xfId="16" applyNumberFormat="1" applyFont="1" applyFill="1" applyBorder="1" applyAlignment="1">
      <alignment horizontal="center" vertical="center"/>
    </xf>
    <xf numFmtId="40" fontId="76" fillId="6" borderId="154" xfId="16" applyNumberFormat="1" applyFont="1" applyFill="1" applyBorder="1" applyAlignment="1">
      <alignment horizontal="center" vertical="center" wrapText="1"/>
    </xf>
    <xf numFmtId="192" fontId="76" fillId="6" borderId="155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6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7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6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7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164" fontId="23" fillId="0" borderId="62" xfId="5" applyFont="1" applyBorder="1" applyAlignment="1">
      <alignment horizontal="righ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5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2" fillId="0" borderId="167" xfId="0" applyFont="1" applyBorder="1" applyAlignment="1">
      <alignment horizontal="center" vertical="center"/>
    </xf>
    <xf numFmtId="43" fontId="2" fillId="0" borderId="168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0" fontId="2" fillId="0" borderId="169" xfId="0" applyFont="1" applyBorder="1" applyAlignment="1">
      <alignment horizontal="center" vertical="center"/>
    </xf>
    <xf numFmtId="43" fontId="2" fillId="0" borderId="170" xfId="1" applyFont="1" applyFill="1" applyBorder="1" applyAlignment="1">
      <alignment vertical="center"/>
    </xf>
    <xf numFmtId="10" fontId="2" fillId="0" borderId="171" xfId="1" applyNumberFormat="1" applyFont="1" applyFill="1" applyBorder="1" applyAlignment="1">
      <alignment vertical="center"/>
    </xf>
    <xf numFmtId="0" fontId="2" fillId="0" borderId="172" xfId="0" applyFont="1" applyBorder="1" applyAlignment="1">
      <alignment horizontal="center" vertical="center"/>
    </xf>
    <xf numFmtId="0" fontId="10" fillId="0" borderId="172" xfId="0" applyFont="1" applyBorder="1" applyAlignment="1">
      <alignment horizontal="center" vertical="center"/>
    </xf>
    <xf numFmtId="0" fontId="10" fillId="0" borderId="173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43" fontId="2" fillId="0" borderId="175" xfId="1" applyFont="1" applyFill="1" applyBorder="1" applyAlignment="1">
      <alignment vertical="center"/>
    </xf>
    <xf numFmtId="43" fontId="2" fillId="0" borderId="176" xfId="1" applyFont="1" applyFill="1" applyBorder="1" applyAlignment="1">
      <alignment vertical="center"/>
    </xf>
    <xf numFmtId="166" fontId="9" fillId="0" borderId="177" xfId="1" applyNumberFormat="1" applyFont="1" applyFill="1" applyBorder="1" applyAlignment="1">
      <alignment vertical="center"/>
    </xf>
    <xf numFmtId="0" fontId="9" fillId="0" borderId="178" xfId="0" applyFont="1" applyBorder="1" applyAlignment="1">
      <alignment vertical="center"/>
    </xf>
    <xf numFmtId="43" fontId="3" fillId="0" borderId="165" xfId="1" applyFont="1" applyFill="1" applyBorder="1" applyAlignment="1">
      <alignment vertical="center"/>
    </xf>
    <xf numFmtId="43" fontId="3" fillId="0" borderId="161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6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72" xfId="0" applyFont="1" applyFill="1" applyBorder="1" applyAlignment="1">
      <alignment horizontal="center" vertical="center"/>
    </xf>
    <xf numFmtId="43" fontId="2" fillId="5" borderId="170" xfId="1" applyFont="1" applyFill="1" applyBorder="1" applyAlignment="1">
      <alignment vertical="center"/>
    </xf>
    <xf numFmtId="10" fontId="2" fillId="5" borderId="171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3" fontId="2" fillId="0" borderId="179" xfId="1" applyFont="1" applyFill="1" applyBorder="1" applyAlignment="1">
      <alignment vertical="center"/>
    </xf>
    <xf numFmtId="43" fontId="2" fillId="0" borderId="180" xfId="1" applyFont="1" applyFill="1" applyBorder="1" applyAlignment="1">
      <alignment vertical="center"/>
    </xf>
    <xf numFmtId="166" fontId="9" fillId="0" borderId="165" xfId="1" applyNumberFormat="1" applyFont="1" applyFill="1" applyBorder="1" applyAlignment="1">
      <alignment vertical="center"/>
    </xf>
    <xf numFmtId="0" fontId="9" fillId="0" borderId="161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41" fontId="2" fillId="6" borderId="4" xfId="2" applyFont="1" applyFill="1" applyBorder="1" applyAlignment="1">
      <alignment horizontal="right"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3" xfId="0" applyFont="1" applyFill="1" applyBorder="1" applyAlignment="1">
      <alignment vertical="center"/>
    </xf>
    <xf numFmtId="0" fontId="2" fillId="4" borderId="154" xfId="0" applyFont="1" applyFill="1" applyBorder="1" applyAlignment="1">
      <alignment horizontal="center" vertical="center"/>
    </xf>
    <xf numFmtId="166" fontId="2" fillId="4" borderId="154" xfId="1" applyNumberFormat="1" applyFont="1" applyFill="1" applyBorder="1"/>
    <xf numFmtId="0" fontId="2" fillId="4" borderId="154" xfId="0" applyFont="1" applyFill="1" applyBorder="1" applyAlignment="1">
      <alignment horizontal="center"/>
    </xf>
    <xf numFmtId="0" fontId="2" fillId="4" borderId="155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1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1" xfId="0" applyBorder="1"/>
    <xf numFmtId="0" fontId="3" fillId="4" borderId="154" xfId="0" applyFont="1" applyFill="1" applyBorder="1" applyAlignment="1">
      <alignment horizontal="center" vertical="center"/>
    </xf>
    <xf numFmtId="0" fontId="3" fillId="4" borderId="154" xfId="0" applyFont="1" applyFill="1" applyBorder="1" applyAlignment="1">
      <alignment horizontal="center"/>
    </xf>
    <xf numFmtId="0" fontId="3" fillId="4" borderId="155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2" xfId="1" applyNumberFormat="1" applyFont="1" applyFill="1" applyBorder="1"/>
    <xf numFmtId="0" fontId="3" fillId="4" borderId="153" xfId="0" quotePrefix="1" applyFont="1" applyFill="1" applyBorder="1"/>
    <xf numFmtId="166" fontId="3" fillId="4" borderId="155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3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2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3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3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4" xfId="1" applyNumberFormat="1" applyFont="1" applyFill="1" applyBorder="1" applyAlignment="1">
      <alignment horizontal="center"/>
    </xf>
    <xf numFmtId="0" fontId="0" fillId="0" borderId="185" xfId="0" applyBorder="1"/>
    <xf numFmtId="0" fontId="0" fillId="0" borderId="84" xfId="0" applyBorder="1"/>
    <xf numFmtId="164" fontId="0" fillId="0" borderId="84" xfId="0" applyNumberFormat="1" applyBorder="1"/>
    <xf numFmtId="0" fontId="0" fillId="0" borderId="186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7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88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89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4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1" xfId="0" applyNumberFormat="1" applyFont="1" applyBorder="1" applyAlignment="1">
      <alignment horizontal="center"/>
    </xf>
    <xf numFmtId="0" fontId="0" fillId="0" borderId="190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4" fontId="10" fillId="18" borderId="4" xfId="0" applyNumberFormat="1" applyFont="1" applyFill="1" applyBorder="1"/>
    <xf numFmtId="0" fontId="4" fillId="0" borderId="8" xfId="0" applyFont="1" applyBorder="1"/>
    <xf numFmtId="166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0" fontId="1" fillId="21" borderId="16" xfId="73" applyNumberFormat="1" applyFill="1" applyBorder="1" applyAlignment="1">
      <alignment vertical="center"/>
    </xf>
    <xf numFmtId="166" fontId="2" fillId="6" borderId="4" xfId="163" applyNumberFormat="1" applyFont="1" applyFill="1" applyBorder="1" applyAlignment="1">
      <alignment vertical="center"/>
    </xf>
    <xf numFmtId="168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6" fontId="3" fillId="0" borderId="4" xfId="308" applyNumberFormat="1" applyFont="1" applyFill="1" applyBorder="1" applyAlignment="1">
      <alignment vertical="center"/>
    </xf>
    <xf numFmtId="167" fontId="3" fillId="7" borderId="4" xfId="308" applyNumberFormat="1" applyFont="1" applyFill="1" applyBorder="1" applyAlignment="1">
      <alignment vertical="center"/>
    </xf>
    <xf numFmtId="43" fontId="2" fillId="0" borderId="4" xfId="31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43" fontId="2" fillId="7" borderId="4" xfId="306" applyFont="1" applyFill="1" applyBorder="1" applyAlignment="1">
      <alignment vertical="center"/>
    </xf>
    <xf numFmtId="166" fontId="2" fillId="7" borderId="4" xfId="310" applyNumberFormat="1" applyFont="1" applyFill="1" applyBorder="1" applyAlignment="1">
      <alignment vertical="center"/>
    </xf>
    <xf numFmtId="166" fontId="2" fillId="7" borderId="4" xfId="309" applyNumberFormat="1" applyFont="1" applyFill="1" applyBorder="1" applyAlignment="1">
      <alignment vertical="center"/>
    </xf>
    <xf numFmtId="166" fontId="2" fillId="4" borderId="11" xfId="1" applyNumberFormat="1" applyFont="1" applyFill="1" applyBorder="1"/>
    <xf numFmtId="0" fontId="3" fillId="4" borderId="33" xfId="0" quotePrefix="1" applyFont="1" applyFill="1" applyBorder="1" applyAlignment="1">
      <alignment horizontal="center"/>
    </xf>
    <xf numFmtId="174" fontId="2" fillId="5" borderId="2" xfId="1" applyNumberFormat="1" applyFont="1" applyFill="1" applyBorder="1" applyAlignment="1">
      <alignment vertical="center"/>
    </xf>
    <xf numFmtId="177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6" fontId="2" fillId="22" borderId="4" xfId="1" applyNumberFormat="1" applyFont="1" applyFill="1" applyBorder="1" applyAlignment="1">
      <alignment vertical="center"/>
    </xf>
    <xf numFmtId="166" fontId="6" fillId="22" borderId="3" xfId="0" applyNumberFormat="1" applyFont="1" applyFill="1" applyBorder="1"/>
    <xf numFmtId="43" fontId="2" fillId="22" borderId="4" xfId="1" applyFont="1" applyFill="1" applyBorder="1" applyAlignment="1">
      <alignment vertical="center"/>
    </xf>
    <xf numFmtId="165" fontId="2" fillId="0" borderId="4" xfId="319" applyNumberFormat="1" applyFont="1" applyFill="1" applyBorder="1" applyAlignment="1">
      <alignment vertical="center"/>
    </xf>
    <xf numFmtId="198" fontId="81" fillId="21" borderId="11" xfId="553" applyNumberFormat="1" applyFont="1" applyFill="1" applyBorder="1" applyAlignment="1">
      <alignment vertical="center"/>
    </xf>
    <xf numFmtId="166" fontId="1" fillId="0" borderId="11" xfId="556" applyNumberFormat="1" applyFont="1" applyFill="1" applyBorder="1" applyAlignment="1">
      <alignment horizontal="right"/>
    </xf>
    <xf numFmtId="168" fontId="2" fillId="7" borderId="4" xfId="632" applyNumberFormat="1" applyFont="1" applyFill="1" applyBorder="1" applyAlignment="1">
      <alignment horizontal="center" vertical="center"/>
    </xf>
    <xf numFmtId="168" fontId="3" fillId="7" borderId="4" xfId="630" applyNumberFormat="1" applyFont="1" applyFill="1" applyBorder="1" applyAlignment="1">
      <alignment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7" fontId="2" fillId="7" borderId="4" xfId="616" applyNumberFormat="1" applyFont="1" applyFill="1" applyBorder="1" applyAlignment="1">
      <alignment vertical="center"/>
    </xf>
    <xf numFmtId="166" fontId="2" fillId="7" borderId="4" xfId="614" applyNumberFormat="1" applyFont="1" applyFill="1" applyBorder="1" applyAlignment="1">
      <alignment vertical="center"/>
    </xf>
    <xf numFmtId="166" fontId="2" fillId="7" borderId="4" xfId="628" applyNumberFormat="1" applyFont="1" applyFill="1" applyBorder="1" applyAlignment="1">
      <alignment vertical="center"/>
    </xf>
    <xf numFmtId="165" fontId="2" fillId="0" borderId="4" xfId="1165" applyNumberFormat="1" applyFont="1" applyFill="1" applyBorder="1" applyAlignment="1">
      <alignment vertical="center"/>
    </xf>
    <xf numFmtId="165" fontId="2" fillId="0" borderId="4" xfId="1175" applyNumberFormat="1" applyFont="1" applyFill="1" applyBorder="1" applyAlignment="1">
      <alignment vertical="center"/>
    </xf>
    <xf numFmtId="166" fontId="2" fillId="7" borderId="4" xfId="1247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43" fontId="2" fillId="7" borderId="4" xfId="126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6" fontId="2" fillId="7" borderId="4" xfId="1260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horizontal="center" vertical="center"/>
    </xf>
    <xf numFmtId="168" fontId="2" fillId="0" borderId="4" xfId="1260" applyNumberFormat="1" applyFont="1" applyFill="1" applyBorder="1" applyAlignment="1">
      <alignment vertical="center"/>
    </xf>
    <xf numFmtId="168" fontId="2" fillId="7" borderId="4" xfId="1146" applyNumberFormat="1" applyFont="1" applyFill="1" applyBorder="1" applyAlignment="1">
      <alignment horizontal="center" vertical="center"/>
    </xf>
    <xf numFmtId="168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6" fontId="3" fillId="0" borderId="4" xfId="1250" applyNumberFormat="1" applyFont="1" applyFill="1" applyBorder="1" applyAlignment="1">
      <alignment vertical="center"/>
    </xf>
    <xf numFmtId="167" fontId="3" fillId="7" borderId="4" xfId="1250" applyNumberFormat="1" applyFont="1" applyFill="1" applyBorder="1" applyAlignment="1">
      <alignment vertical="center"/>
    </xf>
    <xf numFmtId="166" fontId="3" fillId="0" borderId="4" xfId="1146" applyNumberFormat="1" applyFont="1" applyFill="1" applyBorder="1" applyAlignment="1">
      <alignment vertical="center"/>
    </xf>
    <xf numFmtId="43" fontId="2" fillId="7" borderId="4" xfId="1267" applyFont="1" applyFill="1" applyBorder="1" applyAlignment="1">
      <alignment vertical="center"/>
    </xf>
    <xf numFmtId="43" fontId="2" fillId="0" borderId="4" xfId="1253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2" fillId="0" borderId="4" xfId="1146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166" fontId="3" fillId="7" borderId="4" xfId="1234" applyNumberFormat="1" applyFont="1" applyFill="1" applyBorder="1" applyAlignment="1">
      <alignment vertical="center"/>
    </xf>
    <xf numFmtId="43" fontId="2" fillId="7" borderId="4" xfId="1265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6" fontId="2" fillId="7" borderId="4" xfId="1264" applyNumberFormat="1" applyFont="1" applyFill="1" applyBorder="1" applyAlignment="1">
      <alignment vertical="center"/>
    </xf>
    <xf numFmtId="166" fontId="3" fillId="0" borderId="4" xfId="1264" applyNumberFormat="1" applyFont="1" applyFill="1" applyBorder="1" applyAlignment="1">
      <alignment vertical="center"/>
    </xf>
    <xf numFmtId="167" fontId="2" fillId="7" borderId="4" xfId="1264" applyNumberFormat="1" applyFont="1" applyFill="1" applyBorder="1" applyAlignment="1">
      <alignment vertical="center"/>
    </xf>
    <xf numFmtId="167" fontId="2" fillId="7" borderId="4" xfId="1146" applyNumberFormat="1" applyFont="1" applyFill="1" applyBorder="1" applyAlignment="1">
      <alignment vertical="center"/>
    </xf>
    <xf numFmtId="166" fontId="2" fillId="7" borderId="4" xfId="1257" applyNumberFormat="1" applyFont="1" applyFill="1" applyBorder="1" applyAlignment="1">
      <alignment vertical="center"/>
    </xf>
    <xf numFmtId="166" fontId="2" fillId="7" borderId="4" xfId="1254" applyNumberFormat="1" applyFont="1" applyFill="1" applyBorder="1" applyAlignment="1">
      <alignment vertical="center"/>
    </xf>
    <xf numFmtId="166" fontId="1" fillId="0" borderId="11" xfId="1168" applyNumberFormat="1" applyFont="1" applyFill="1" applyBorder="1" applyAlignment="1">
      <alignment horizontal="right"/>
    </xf>
    <xf numFmtId="166" fontId="1" fillId="0" borderId="11" xfId="1168" applyNumberFormat="1" applyFont="1" applyFill="1" applyBorder="1"/>
    <xf numFmtId="166" fontId="1" fillId="6" borderId="4" xfId="6" applyNumberFormat="1" applyFont="1" applyFill="1" applyBorder="1"/>
    <xf numFmtId="166" fontId="97" fillId="0" borderId="0" xfId="17" applyNumberFormat="1" applyFont="1" applyAlignment="1">
      <alignment horizontal="right" vertical="center"/>
    </xf>
    <xf numFmtId="200" fontId="2" fillId="0" borderId="0" xfId="0" applyNumberFormat="1" applyFont="1"/>
    <xf numFmtId="202" fontId="2" fillId="0" borderId="0" xfId="0" applyNumberFormat="1" applyFont="1"/>
    <xf numFmtId="196" fontId="2" fillId="0" borderId="0" xfId="0" applyNumberFormat="1" applyFont="1"/>
    <xf numFmtId="165" fontId="2" fillId="0" borderId="4" xfId="1282" applyNumberFormat="1" applyFont="1" applyFill="1" applyBorder="1" applyAlignment="1">
      <alignment vertical="center"/>
    </xf>
    <xf numFmtId="166" fontId="2" fillId="7" borderId="4" xfId="2529" applyNumberFormat="1" applyFont="1" applyFill="1" applyBorder="1" applyAlignment="1">
      <alignment vertical="center"/>
    </xf>
    <xf numFmtId="174" fontId="2" fillId="7" borderId="4" xfId="2538" applyNumberFormat="1" applyFont="1" applyFill="1" applyBorder="1" applyAlignment="1">
      <alignment vertical="center"/>
    </xf>
    <xf numFmtId="166" fontId="2" fillId="7" borderId="4" xfId="2528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horizontal="center" vertical="center"/>
    </xf>
    <xf numFmtId="168" fontId="2" fillId="0" borderId="4" xfId="2528" applyNumberFormat="1" applyFont="1" applyFill="1" applyBorder="1" applyAlignment="1">
      <alignment vertical="center"/>
    </xf>
    <xf numFmtId="43" fontId="2" fillId="7" borderId="4" xfId="2540" applyFont="1" applyFill="1" applyBorder="1" applyAlignment="1">
      <alignment vertical="center"/>
    </xf>
    <xf numFmtId="166" fontId="3" fillId="0" borderId="4" xfId="2540" applyNumberFormat="1" applyFont="1" applyFill="1" applyBorder="1" applyAlignment="1">
      <alignment vertical="center"/>
    </xf>
    <xf numFmtId="167" fontId="3" fillId="7" borderId="4" xfId="2540" applyNumberFormat="1" applyFont="1" applyFill="1" applyBorder="1" applyAlignment="1">
      <alignment vertical="center"/>
    </xf>
    <xf numFmtId="43" fontId="2" fillId="7" borderId="4" xfId="2530" applyFont="1" applyFill="1" applyBorder="1" applyAlignment="1">
      <alignment vertical="center"/>
    </xf>
    <xf numFmtId="43" fontId="2" fillId="0" borderId="4" xfId="2534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166" fontId="3" fillId="7" borderId="4" xfId="2486" applyNumberFormat="1" applyFont="1" applyFill="1" applyBorder="1" applyAlignment="1">
      <alignment vertical="center"/>
    </xf>
    <xf numFmtId="43" fontId="2" fillId="7" borderId="4" xfId="2531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6" fontId="2" fillId="7" borderId="4" xfId="2535" applyNumberFormat="1" applyFont="1" applyFill="1" applyBorder="1" applyAlignment="1">
      <alignment vertical="center"/>
    </xf>
    <xf numFmtId="166" fontId="3" fillId="0" borderId="4" xfId="2535" applyNumberFormat="1" applyFont="1" applyFill="1" applyBorder="1" applyAlignment="1">
      <alignment vertical="center"/>
    </xf>
    <xf numFmtId="167" fontId="2" fillId="7" borderId="4" xfId="2535" applyNumberFormat="1" applyFont="1" applyFill="1" applyBorder="1" applyAlignment="1">
      <alignment vertical="center"/>
    </xf>
    <xf numFmtId="166" fontId="2" fillId="7" borderId="4" xfId="2533" applyNumberFormat="1" applyFont="1" applyFill="1" applyBorder="1" applyAlignment="1">
      <alignment vertical="center"/>
    </xf>
    <xf numFmtId="166" fontId="2" fillId="7" borderId="4" xfId="2536" applyNumberFormat="1" applyFont="1" applyFill="1" applyBorder="1" applyAlignment="1">
      <alignment vertical="center"/>
    </xf>
    <xf numFmtId="0" fontId="2" fillId="4" borderId="0" xfId="0" applyFont="1" applyFill="1"/>
    <xf numFmtId="166" fontId="2" fillId="4" borderId="0" xfId="0" applyNumberFormat="1" applyFont="1" applyFill="1"/>
    <xf numFmtId="164" fontId="2" fillId="7" borderId="4" xfId="1260" applyNumberFormat="1" applyFont="1" applyFill="1" applyBorder="1" applyAlignment="1">
      <alignment vertical="center"/>
    </xf>
    <xf numFmtId="167" fontId="2" fillId="0" borderId="0" xfId="0" applyNumberFormat="1" applyFont="1"/>
    <xf numFmtId="0" fontId="2" fillId="27" borderId="0" xfId="0" applyFont="1" applyFill="1"/>
    <xf numFmtId="166" fontId="2" fillId="27" borderId="0" xfId="0" applyNumberFormat="1" applyFont="1" applyFill="1"/>
    <xf numFmtId="0" fontId="2" fillId="27" borderId="0" xfId="0" applyFont="1" applyFill="1" applyAlignment="1">
      <alignment horizontal="left"/>
    </xf>
    <xf numFmtId="164" fontId="2" fillId="27" borderId="0" xfId="0" applyNumberFormat="1" applyFont="1" applyFill="1"/>
    <xf numFmtId="166" fontId="2" fillId="27" borderId="0" xfId="0" applyNumberFormat="1" applyFont="1" applyFill="1" applyAlignment="1">
      <alignment horizontal="left"/>
    </xf>
    <xf numFmtId="3" fontId="2" fillId="27" borderId="0" xfId="0" applyNumberFormat="1" applyFont="1" applyFill="1"/>
    <xf numFmtId="166" fontId="2" fillId="27" borderId="0" xfId="0" applyNumberFormat="1" applyFont="1" applyFill="1" applyAlignment="1">
      <alignment horizontal="center"/>
    </xf>
    <xf numFmtId="1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6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6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4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7" fontId="2" fillId="7" borderId="3" xfId="0" applyNumberFormat="1" applyFont="1" applyFill="1" applyBorder="1"/>
    <xf numFmtId="167" fontId="2" fillId="0" borderId="4" xfId="1" applyNumberFormat="1" applyFont="1" applyFill="1" applyBorder="1" applyAlignment="1">
      <alignment vertical="center"/>
    </xf>
    <xf numFmtId="165" fontId="2" fillId="0" borderId="4" xfId="2595" applyNumberFormat="1" applyFont="1" applyFill="1" applyBorder="1" applyAlignment="1">
      <alignment vertical="center"/>
    </xf>
    <xf numFmtId="166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68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6" fontId="3" fillId="0" borderId="4" xfId="5146" applyNumberFormat="1" applyFont="1" applyFill="1" applyBorder="1" applyAlignment="1">
      <alignment vertical="center"/>
    </xf>
    <xf numFmtId="167" fontId="3" fillId="7" borderId="4" xfId="5146" applyNumberFormat="1" applyFont="1" applyFill="1" applyBorder="1" applyAlignment="1">
      <alignment horizontal="center" vertical="center"/>
    </xf>
    <xf numFmtId="174" fontId="2" fillId="7" borderId="4" xfId="5145" applyNumberFormat="1" applyFont="1" applyFill="1" applyBorder="1" applyAlignment="1">
      <alignment vertical="center"/>
    </xf>
    <xf numFmtId="43" fontId="2" fillId="0" borderId="4" xfId="5154" applyFont="1" applyFill="1" applyBorder="1" applyAlignment="1">
      <alignment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7" fontId="2" fillId="7" borderId="4" xfId="5151" applyNumberFormat="1" applyFont="1" applyFill="1" applyBorder="1" applyAlignment="1">
      <alignment vertical="center"/>
    </xf>
    <xf numFmtId="166" fontId="2" fillId="7" borderId="4" xfId="5142" applyNumberFormat="1" applyFont="1" applyFill="1" applyBorder="1" applyAlignment="1">
      <alignment vertical="center"/>
    </xf>
    <xf numFmtId="166" fontId="2" fillId="7" borderId="4" xfId="5149" applyNumberFormat="1" applyFont="1" applyFill="1" applyBorder="1" applyAlignment="1">
      <alignment vertical="center"/>
    </xf>
    <xf numFmtId="166" fontId="2" fillId="7" borderId="4" xfId="5144" applyNumberFormat="1" applyFont="1" applyFill="1" applyBorder="1" applyAlignment="1">
      <alignment vertical="center"/>
    </xf>
    <xf numFmtId="174" fontId="2" fillId="7" borderId="4" xfId="5150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horizontal="center" vertical="center"/>
    </xf>
    <xf numFmtId="168" fontId="2" fillId="7" borderId="0" xfId="1" applyNumberFormat="1" applyFont="1" applyFill="1" applyBorder="1" applyAlignment="1">
      <alignment horizontal="center" vertical="center"/>
    </xf>
    <xf numFmtId="167" fontId="2" fillId="7" borderId="0" xfId="1" applyNumberFormat="1" applyFont="1" applyFill="1" applyBorder="1" applyAlignment="1">
      <alignment horizontal="center" vertical="center"/>
    </xf>
    <xf numFmtId="168" fontId="2" fillId="7" borderId="0" xfId="632" applyNumberFormat="1" applyFont="1" applyFill="1" applyBorder="1" applyAlignment="1">
      <alignment horizontal="center" vertical="center"/>
    </xf>
    <xf numFmtId="168" fontId="2" fillId="7" borderId="0" xfId="1146" applyNumberFormat="1" applyFont="1" applyFill="1" applyBorder="1" applyAlignment="1">
      <alignment horizontal="center" vertical="center"/>
    </xf>
    <xf numFmtId="168" fontId="2" fillId="7" borderId="8" xfId="1260" applyNumberFormat="1" applyFont="1" applyFill="1" applyBorder="1" applyAlignment="1">
      <alignment horizontal="center" vertical="center"/>
    </xf>
    <xf numFmtId="167" fontId="3" fillId="7" borderId="14" xfId="1" applyNumberFormat="1" applyFont="1" applyFill="1" applyBorder="1" applyAlignment="1">
      <alignment vertical="center"/>
    </xf>
    <xf numFmtId="167" fontId="3" fillId="7" borderId="8" xfId="1" applyNumberFormat="1" applyFont="1" applyFill="1" applyBorder="1" applyAlignment="1">
      <alignment vertical="center"/>
    </xf>
    <xf numFmtId="164" fontId="3" fillId="7" borderId="14" xfId="1" applyNumberFormat="1" applyFont="1" applyFill="1" applyBorder="1" applyAlignment="1">
      <alignment vertical="center"/>
    </xf>
    <xf numFmtId="164" fontId="3" fillId="7" borderId="8" xfId="1" applyNumberFormat="1" applyFont="1" applyFill="1" applyBorder="1" applyAlignment="1">
      <alignment vertical="center"/>
    </xf>
    <xf numFmtId="164" fontId="2" fillId="7" borderId="14" xfId="1" applyNumberFormat="1" applyFont="1" applyFill="1" applyBorder="1" applyAlignment="1">
      <alignment vertical="center"/>
    </xf>
    <xf numFmtId="164" fontId="2" fillId="7" borderId="8" xfId="1" applyNumberFormat="1" applyFont="1" applyFill="1" applyBorder="1" applyAlignment="1">
      <alignment vertical="center"/>
    </xf>
    <xf numFmtId="13" fontId="2" fillId="6" borderId="4" xfId="2" applyNumberFormat="1" applyFont="1" applyFill="1" applyBorder="1" applyAlignment="1">
      <alignment horizontal="right" vertical="center"/>
    </xf>
    <xf numFmtId="165" fontId="2" fillId="0" borderId="4" xfId="10236" applyNumberFormat="1" applyFont="1" applyFill="1" applyBorder="1" applyAlignment="1">
      <alignment vertical="center"/>
    </xf>
    <xf numFmtId="41" fontId="2" fillId="6" borderId="4" xfId="10236" applyFont="1" applyFill="1" applyBorder="1" applyAlignment="1">
      <alignment vertical="center"/>
    </xf>
    <xf numFmtId="166" fontId="2" fillId="6" borderId="4" xfId="10310" applyNumberFormat="1" applyFont="1" applyFill="1" applyBorder="1" applyAlignment="1">
      <alignment vertical="center"/>
    </xf>
    <xf numFmtId="166" fontId="2" fillId="6" borderId="4" xfId="10306" applyNumberFormat="1" applyFont="1" applyFill="1" applyBorder="1" applyAlignment="1">
      <alignment vertical="center"/>
    </xf>
    <xf numFmtId="166" fontId="2" fillId="6" borderId="4" xfId="10311" applyNumberFormat="1" applyFont="1" applyFill="1" applyBorder="1" applyAlignment="1">
      <alignment vertical="center"/>
    </xf>
    <xf numFmtId="166" fontId="2" fillId="6" borderId="2" xfId="10311" applyNumberFormat="1" applyFont="1" applyFill="1" applyBorder="1" applyAlignment="1">
      <alignment vertical="center"/>
    </xf>
    <xf numFmtId="166" fontId="2" fillId="7" borderId="4" xfId="10307" applyNumberFormat="1" applyFont="1" applyFill="1" applyBorder="1" applyAlignment="1">
      <alignment vertical="center"/>
    </xf>
    <xf numFmtId="167" fontId="2" fillId="7" borderId="4" xfId="10314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6" fontId="2" fillId="7" borderId="4" xfId="10177" applyNumberFormat="1" applyFont="1" applyFill="1" applyBorder="1" applyAlignment="1">
      <alignment vertical="center"/>
    </xf>
    <xf numFmtId="166" fontId="2" fillId="7" borderId="4" xfId="10092" applyNumberFormat="1" applyFont="1" applyFill="1" applyBorder="1" applyAlignment="1">
      <alignment vertical="center"/>
    </xf>
    <xf numFmtId="43" fontId="2" fillId="7" borderId="4" xfId="10308" applyFont="1" applyFill="1" applyBorder="1" applyAlignment="1">
      <alignment vertical="center"/>
    </xf>
    <xf numFmtId="43" fontId="2" fillId="7" borderId="4" xfId="10092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43" fontId="2" fillId="7" borderId="4" xfId="10301" applyFont="1" applyFill="1" applyBorder="1" applyAlignment="1">
      <alignment vertical="center"/>
    </xf>
    <xf numFmtId="177" fontId="2" fillId="7" borderId="4" xfId="10172" applyNumberFormat="1" applyFont="1" applyFill="1" applyBorder="1" applyAlignment="1">
      <alignment vertical="center"/>
    </xf>
    <xf numFmtId="177" fontId="2" fillId="7" borderId="4" xfId="10206" applyNumberFormat="1" applyFont="1" applyFill="1" applyBorder="1" applyAlignment="1">
      <alignment vertical="center"/>
    </xf>
    <xf numFmtId="166" fontId="2" fillId="7" borderId="8" xfId="10301" applyNumberFormat="1" applyFont="1" applyFill="1" applyBorder="1" applyAlignment="1">
      <alignment vertical="center"/>
    </xf>
    <xf numFmtId="43" fontId="2" fillId="7" borderId="4" xfId="10172" applyFont="1" applyFill="1" applyBorder="1" applyAlignment="1">
      <alignment vertical="center"/>
    </xf>
    <xf numFmtId="205" fontId="2" fillId="7" borderId="4" xfId="10206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166" fontId="2" fillId="7" borderId="4" xfId="10299" applyNumberFormat="1" applyFont="1" applyFill="1" applyBorder="1" applyAlignment="1">
      <alignment vertical="center"/>
    </xf>
    <xf numFmtId="177" fontId="2" fillId="7" borderId="4" xfId="10175" applyNumberFormat="1" applyFont="1" applyFill="1" applyBorder="1" applyAlignment="1">
      <alignment vertical="center"/>
    </xf>
    <xf numFmtId="43" fontId="3" fillId="7" borderId="4" xfId="10304" applyFont="1" applyFill="1" applyBorder="1" applyAlignment="1">
      <alignment vertical="center"/>
    </xf>
    <xf numFmtId="43" fontId="3" fillId="7" borderId="4" xfId="10180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6" fontId="2" fillId="7" borderId="4" xfId="10302" applyNumberFormat="1" applyFont="1" applyFill="1" applyBorder="1" applyAlignment="1">
      <alignment vertical="center"/>
    </xf>
    <xf numFmtId="166" fontId="2" fillId="7" borderId="4" xfId="10190" applyNumberFormat="1" applyFont="1" applyFill="1" applyBorder="1" applyAlignment="1">
      <alignment vertical="center"/>
    </xf>
    <xf numFmtId="165" fontId="2" fillId="0" borderId="4" xfId="10316" applyNumberFormat="1" applyFont="1" applyFill="1" applyBorder="1" applyAlignment="1">
      <alignment vertical="center"/>
    </xf>
    <xf numFmtId="41" fontId="2" fillId="6" borderId="4" xfId="10316" applyFont="1" applyFill="1" applyBorder="1" applyAlignment="1">
      <alignment vertical="center"/>
    </xf>
    <xf numFmtId="165" fontId="2" fillId="0" borderId="4" xfId="11455" applyNumberFormat="1" applyFont="1" applyFill="1" applyBorder="1" applyAlignment="1">
      <alignment vertical="center"/>
    </xf>
    <xf numFmtId="166" fontId="2" fillId="7" borderId="4" xfId="15336" applyNumberFormat="1" applyFont="1" applyFill="1" applyBorder="1" applyAlignment="1">
      <alignment vertical="center"/>
    </xf>
    <xf numFmtId="174" fontId="2" fillId="7" borderId="4" xfId="15350" applyNumberFormat="1" applyFont="1" applyFill="1" applyBorder="1" applyAlignment="1">
      <alignment vertical="center"/>
    </xf>
    <xf numFmtId="166" fontId="2" fillId="7" borderId="4" xfId="15349" applyNumberFormat="1" applyFont="1" applyFill="1" applyBorder="1" applyAlignment="1">
      <alignment vertical="center"/>
    </xf>
    <xf numFmtId="168" fontId="2" fillId="7" borderId="4" xfId="15349" applyNumberFormat="1" applyFont="1" applyFill="1" applyBorder="1" applyAlignment="1">
      <alignment vertical="center"/>
    </xf>
    <xf numFmtId="43" fontId="2" fillId="7" borderId="4" xfId="15339" applyFont="1" applyFill="1" applyBorder="1" applyAlignment="1">
      <alignment vertical="center"/>
    </xf>
    <xf numFmtId="177" fontId="2" fillId="7" borderId="4" xfId="15356" applyNumberFormat="1" applyFont="1" applyFill="1" applyBorder="1" applyAlignment="1">
      <alignment vertical="center"/>
    </xf>
    <xf numFmtId="43" fontId="3" fillId="7" borderId="4" xfId="15323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6" fontId="2" fillId="7" borderId="4" xfId="15353" applyNumberFormat="1" applyFont="1" applyFill="1" applyBorder="1" applyAlignment="1">
      <alignment vertical="center"/>
    </xf>
    <xf numFmtId="166" fontId="2" fillId="7" borderId="4" xfId="15346" applyNumberFormat="1" applyFont="1" applyFill="1" applyBorder="1" applyAlignment="1">
      <alignment vertical="center"/>
    </xf>
    <xf numFmtId="166" fontId="2" fillId="7" borderId="4" xfId="15413" applyNumberFormat="1" applyFont="1" applyFill="1" applyBorder="1" applyAlignment="1">
      <alignment vertical="center"/>
    </xf>
    <xf numFmtId="166" fontId="2" fillId="7" borderId="4" xfId="15343" applyNumberFormat="1" applyFont="1" applyFill="1" applyBorder="1" applyAlignment="1">
      <alignment vertical="center"/>
    </xf>
    <xf numFmtId="165" fontId="2" fillId="6" borderId="11" xfId="15379" applyNumberFormat="1" applyFont="1" applyFill="1" applyBorder="1"/>
    <xf numFmtId="168" fontId="2" fillId="6" borderId="11" xfId="21" applyNumberFormat="1" applyFont="1" applyFill="1" applyBorder="1"/>
    <xf numFmtId="198" fontId="81" fillId="21" borderId="11" xfId="15254" applyNumberFormat="1" applyFont="1" applyFill="1" applyBorder="1"/>
    <xf numFmtId="166" fontId="2" fillId="6" borderId="4" xfId="15529" applyNumberFormat="1" applyFont="1" applyFill="1" applyBorder="1" applyAlignment="1">
      <alignment vertical="center"/>
    </xf>
    <xf numFmtId="165" fontId="2" fillId="0" borderId="4" xfId="25646" applyNumberFormat="1" applyFont="1" applyFill="1" applyBorder="1" applyAlignment="1">
      <alignment vertical="center"/>
    </xf>
    <xf numFmtId="41" fontId="2" fillId="6" borderId="4" xfId="25726" applyFont="1" applyFill="1" applyBorder="1" applyAlignment="1">
      <alignment vertical="center"/>
    </xf>
    <xf numFmtId="166" fontId="2" fillId="6" borderId="4" xfId="30869" applyNumberFormat="1" applyFont="1" applyFill="1" applyBorder="1" applyAlignment="1">
      <alignment vertical="center"/>
    </xf>
    <xf numFmtId="166" fontId="2" fillId="6" borderId="4" xfId="30867" applyNumberFormat="1" applyFont="1" applyFill="1" applyBorder="1" applyAlignment="1">
      <alignment vertical="center"/>
    </xf>
    <xf numFmtId="166" fontId="2" fillId="6" borderId="4" xfId="30868" applyNumberFormat="1" applyFont="1" applyFill="1" applyBorder="1" applyAlignment="1">
      <alignment vertical="center"/>
    </xf>
    <xf numFmtId="166" fontId="2" fillId="6" borderId="2" xfId="30868" applyNumberFormat="1" applyFont="1" applyFill="1" applyBorder="1" applyAlignment="1">
      <alignment vertical="center"/>
    </xf>
    <xf numFmtId="180" fontId="1" fillId="21" borderId="16" xfId="73" applyNumberFormat="1" applyFill="1" applyBorder="1"/>
    <xf numFmtId="166" fontId="1" fillId="0" borderId="11" xfId="73" applyNumberFormat="1" applyBorder="1" applyAlignment="1">
      <alignment horizontal="center" vertical="center"/>
    </xf>
    <xf numFmtId="175" fontId="2" fillId="6" borderId="16" xfId="2" applyNumberFormat="1" applyFont="1" applyFill="1" applyBorder="1"/>
    <xf numFmtId="0" fontId="1" fillId="4" borderId="11" xfId="73" applyFill="1" applyBorder="1"/>
    <xf numFmtId="166" fontId="2" fillId="5" borderId="6" xfId="1" applyNumberFormat="1" applyFont="1" applyFill="1" applyBorder="1" applyAlignment="1">
      <alignment vertical="center"/>
    </xf>
    <xf numFmtId="178" fontId="2" fillId="5" borderId="4" xfId="1" applyNumberFormat="1" applyFont="1" applyFill="1" applyBorder="1" applyAlignment="1">
      <alignment vertical="center"/>
    </xf>
    <xf numFmtId="177" fontId="2" fillId="0" borderId="0" xfId="0" applyNumberFormat="1" applyFont="1"/>
    <xf numFmtId="0" fontId="53" fillId="2" borderId="21" xfId="0" applyFont="1" applyFill="1" applyBorder="1" applyAlignment="1">
      <alignment horizontal="center" vertical="center"/>
    </xf>
    <xf numFmtId="166" fontId="1" fillId="0" borderId="11" xfId="73" applyNumberFormat="1" applyBorder="1" applyAlignment="1">
      <alignment vertical="center"/>
    </xf>
    <xf numFmtId="164" fontId="2" fillId="7" borderId="0" xfId="1" applyNumberFormat="1" applyFont="1" applyFill="1" applyBorder="1" applyAlignment="1">
      <alignment vertical="center"/>
    </xf>
    <xf numFmtId="0" fontId="18" fillId="0" borderId="0" xfId="0" applyFont="1"/>
    <xf numFmtId="0" fontId="10" fillId="0" borderId="167" xfId="0" applyFont="1" applyBorder="1" applyAlignment="1">
      <alignment horizontal="center" vertical="center"/>
    </xf>
    <xf numFmtId="166" fontId="10" fillId="5" borderId="108" xfId="1" applyNumberFormat="1" applyFont="1" applyFill="1" applyBorder="1" applyAlignment="1">
      <alignment vertical="center"/>
    </xf>
    <xf numFmtId="0" fontId="10" fillId="0" borderId="63" xfId="0" applyFont="1" applyBorder="1" applyAlignment="1">
      <alignment horizontal="center" vertical="center" wrapText="1"/>
    </xf>
    <xf numFmtId="43" fontId="10" fillId="0" borderId="168" xfId="1" applyFont="1" applyFill="1" applyBorder="1" applyAlignment="1">
      <alignment vertical="center"/>
    </xf>
    <xf numFmtId="10" fontId="10" fillId="0" borderId="148" xfId="1" applyNumberFormat="1" applyFont="1" applyFill="1" applyBorder="1" applyAlignment="1">
      <alignment vertical="center"/>
    </xf>
    <xf numFmtId="10" fontId="10" fillId="0" borderId="0" xfId="1" applyNumberFormat="1" applyFont="1" applyFill="1" applyBorder="1" applyAlignment="1">
      <alignment vertical="center"/>
    </xf>
    <xf numFmtId="43" fontId="10" fillId="0" borderId="0" xfId="1" applyFont="1" applyAlignment="1">
      <alignment vertical="center"/>
    </xf>
    <xf numFmtId="0" fontId="10" fillId="0" borderId="169" xfId="0" applyFont="1" applyBorder="1" applyAlignment="1">
      <alignment horizontal="center" vertical="center"/>
    </xf>
    <xf numFmtId="166" fontId="10" fillId="5" borderId="62" xfId="1" applyNumberFormat="1" applyFont="1" applyFill="1" applyBorder="1" applyAlignment="1">
      <alignment vertical="center"/>
    </xf>
    <xf numFmtId="43" fontId="10" fillId="0" borderId="170" xfId="1" applyFont="1" applyFill="1" applyBorder="1" applyAlignment="1">
      <alignment vertical="center"/>
    </xf>
    <xf numFmtId="43" fontId="10" fillId="0" borderId="171" xfId="1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166" fontId="2" fillId="6" borderId="4" xfId="5172" applyNumberFormat="1" applyFont="1" applyFill="1" applyBorder="1" applyAlignment="1">
      <alignment vertical="center"/>
    </xf>
    <xf numFmtId="166" fontId="2" fillId="6" borderId="4" xfId="7719" applyNumberFormat="1" applyFont="1" applyFill="1" applyBorder="1" applyAlignment="1">
      <alignment vertical="center"/>
    </xf>
    <xf numFmtId="9" fontId="10" fillId="0" borderId="28" xfId="5" applyNumberFormat="1" applyFont="1" applyFill="1" applyBorder="1" applyAlignment="1">
      <alignment horizontal="center" vertical="center"/>
    </xf>
    <xf numFmtId="166" fontId="9" fillId="0" borderId="83" xfId="5" applyNumberFormat="1" applyFont="1" applyFill="1" applyBorder="1" applyAlignment="1">
      <alignment horizontal="center" vertical="center"/>
    </xf>
    <xf numFmtId="166" fontId="9" fillId="0" borderId="81" xfId="5" applyNumberFormat="1" applyFont="1" applyFill="1" applyBorder="1" applyAlignment="1">
      <alignment horizontal="center" vertical="center"/>
    </xf>
    <xf numFmtId="164" fontId="10" fillId="0" borderId="81" xfId="5" applyFont="1" applyFill="1" applyBorder="1" applyAlignment="1">
      <alignment horizontal="center" vertical="center"/>
    </xf>
    <xf numFmtId="9" fontId="10" fillId="0" borderId="2" xfId="5" applyNumberFormat="1" applyFont="1" applyFill="1" applyBorder="1" applyAlignment="1">
      <alignment horizontal="right" vertical="center"/>
    </xf>
    <xf numFmtId="10" fontId="10" fillId="0" borderId="2" xfId="5" applyNumberFormat="1" applyFont="1" applyFill="1" applyBorder="1" applyAlignment="1">
      <alignment horizontal="right" vertical="center"/>
    </xf>
    <xf numFmtId="10" fontId="10" fillId="0" borderId="6" xfId="5" applyNumberFormat="1" applyFont="1" applyFill="1" applyBorder="1" applyAlignment="1">
      <alignment horizontal="right" vertical="center"/>
    </xf>
    <xf numFmtId="9" fontId="10" fillId="4" borderId="4" xfId="5" applyNumberFormat="1" applyFont="1" applyFill="1" applyBorder="1" applyAlignment="1">
      <alignment horizontal="right" vertical="center"/>
    </xf>
    <xf numFmtId="164" fontId="10" fillId="16" borderId="8" xfId="5" applyFont="1" applyFill="1" applyBorder="1" applyAlignment="1">
      <alignment horizontal="right" vertical="center"/>
    </xf>
    <xf numFmtId="43" fontId="10" fillId="4" borderId="4" xfId="1" applyFont="1" applyFill="1" applyBorder="1"/>
    <xf numFmtId="0" fontId="10" fillId="5" borderId="14" xfId="16" quotePrefix="1" applyFont="1" applyFill="1" applyBorder="1" applyAlignment="1">
      <alignment horizontal="center" vertical="center"/>
    </xf>
    <xf numFmtId="43" fontId="2" fillId="0" borderId="0" xfId="1" applyFont="1"/>
    <xf numFmtId="190" fontId="10" fillId="5" borderId="4" xfId="5" applyNumberFormat="1" applyFont="1" applyFill="1" applyBorder="1"/>
    <xf numFmtId="169" fontId="3" fillId="0" borderId="0" xfId="0" applyNumberFormat="1" applyFont="1"/>
    <xf numFmtId="10" fontId="10" fillId="0" borderId="2" xfId="5" applyNumberFormat="1" applyFont="1" applyFill="1" applyBorder="1"/>
    <xf numFmtId="0" fontId="3" fillId="3" borderId="4" xfId="16" quotePrefix="1" applyFont="1" applyFill="1" applyBorder="1" applyAlignment="1">
      <alignment horizontal="center" vertical="center"/>
    </xf>
    <xf numFmtId="177" fontId="10" fillId="5" borderId="4" xfId="1" applyNumberFormat="1" applyFont="1" applyFill="1" applyBorder="1"/>
    <xf numFmtId="174" fontId="9" fillId="16" borderId="4" xfId="5" applyNumberFormat="1" applyFont="1" applyFill="1" applyBorder="1"/>
    <xf numFmtId="174" fontId="10" fillId="0" borderId="4" xfId="5" applyNumberFormat="1" applyFont="1" applyFill="1" applyBorder="1"/>
    <xf numFmtId="174" fontId="10" fillId="0" borderId="2" xfId="5" applyNumberFormat="1" applyFont="1" applyFill="1" applyBorder="1"/>
    <xf numFmtId="178" fontId="10" fillId="0" borderId="4" xfId="3" applyNumberFormat="1" applyFont="1" applyFill="1" applyBorder="1"/>
    <xf numFmtId="178" fontId="10" fillId="0" borderId="2" xfId="3" applyNumberFormat="1" applyFont="1" applyFill="1" applyBorder="1"/>
    <xf numFmtId="166" fontId="2" fillId="5" borderId="4" xfId="5" applyNumberFormat="1" applyFont="1" applyFill="1" applyBorder="1"/>
    <xf numFmtId="167" fontId="10" fillId="16" borderId="4" xfId="5" applyNumberFormat="1" applyFont="1" applyFill="1" applyBorder="1" applyAlignment="1">
      <alignment vertical="center"/>
    </xf>
    <xf numFmtId="167" fontId="10" fillId="5" borderId="4" xfId="5" applyNumberFormat="1" applyFont="1" applyFill="1" applyBorder="1" applyAlignment="1">
      <alignment vertical="center"/>
    </xf>
    <xf numFmtId="167" fontId="10" fillId="0" borderId="2" xfId="5" applyNumberFormat="1" applyFont="1" applyFill="1" applyBorder="1" applyAlignment="1">
      <alignment vertical="center"/>
    </xf>
    <xf numFmtId="177" fontId="2" fillId="0" borderId="0" xfId="1" applyNumberFormat="1" applyFont="1"/>
    <xf numFmtId="0" fontId="23" fillId="0" borderId="117" xfId="16" applyFont="1" applyBorder="1" applyAlignment="1">
      <alignment horizontal="center" vertical="center" wrapText="1"/>
    </xf>
    <xf numFmtId="193" fontId="23" fillId="0" borderId="97" xfId="12" applyNumberFormat="1" applyFont="1" applyBorder="1" applyAlignment="1">
      <alignment horizontal="center" vertical="center"/>
    </xf>
    <xf numFmtId="0" fontId="53" fillId="2" borderId="5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4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87" fillId="0" borderId="147" xfId="0" applyFont="1" applyBorder="1" applyAlignment="1">
      <alignment horizontal="center"/>
    </xf>
    <xf numFmtId="0" fontId="87" fillId="0" borderId="173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4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top" wrapText="1"/>
    </xf>
    <xf numFmtId="0" fontId="18" fillId="5" borderId="0" xfId="16" quotePrefix="1" applyFont="1" applyFill="1" applyAlignment="1">
      <alignment horizontal="left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77" fillId="0" borderId="0" xfId="16" quotePrefix="1" applyFont="1" applyAlignment="1">
      <alignment horizontal="left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58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3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59" xfId="0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0878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6.%20PT%20INL%20Monthly%20Storage%20Tangki%20PT.%20INL%20%20Juni%202025.xlsx" TargetMode="External"/><Relationship Id="rId1" Type="http://schemas.openxmlformats.org/officeDocument/2006/relationships/externalLinkPath" Target="file:///C:\Users\User\Downloads\06.%20PT%20INL%20Monthly%20Storage%20Tangki%20PT.%20INL%20%20Jun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 (stock opname)"/>
      <sheetName val="02"/>
      <sheetName val="03"/>
      <sheetName val="04"/>
      <sheetName val="05"/>
      <sheetName val="06"/>
      <sheetName val="07"/>
      <sheetName val="08"/>
      <sheetName val="09"/>
      <sheetName val="MTD"/>
    </sheetNames>
    <sheetDataSet>
      <sheetData sheetId="0">
        <row r="15">
          <cell r="Q15">
            <v>0</v>
          </cell>
          <cell r="R15">
            <v>0</v>
          </cell>
        </row>
      </sheetData>
      <sheetData sheetId="1">
        <row r="15">
          <cell r="Q15">
            <v>393366</v>
          </cell>
          <cell r="R15">
            <v>0</v>
          </cell>
        </row>
      </sheetData>
      <sheetData sheetId="2">
        <row r="15">
          <cell r="Q15">
            <v>1185533</v>
          </cell>
        </row>
      </sheetData>
      <sheetData sheetId="3">
        <row r="15">
          <cell r="R15">
            <v>0</v>
          </cell>
        </row>
      </sheetData>
      <sheetData sheetId="4">
        <row r="15">
          <cell r="R15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UA310"/>
  <sheetViews>
    <sheetView tabSelected="1" view="pageBreakPreview" zoomScaleNormal="70" zoomScaleSheetLayoutView="100" workbookViewId="0">
      <pane xSplit="6" ySplit="3" topLeftCell="AK44" activePane="bottomRight" state="frozen"/>
      <selection pane="topRight" activeCell="G1" sqref="G1"/>
      <selection pane="bottomLeft" activeCell="A4" sqref="A4"/>
      <selection pane="bottomRight" activeCell="AM77" sqref="AM77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2.4257812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bestFit="1" customWidth="1"/>
    <col min="29" max="29" width="13.5703125" style="1" customWidth="1"/>
    <col min="30" max="31" width="14.5703125" style="1" customWidth="1"/>
    <col min="32" max="33" width="13.5703125" style="1" customWidth="1"/>
    <col min="34" max="34" width="15.7109375" style="1" bestFit="1" customWidth="1"/>
    <col min="35" max="37" width="13.5703125" style="1" customWidth="1"/>
    <col min="38" max="38" width="3.5703125" style="1" customWidth="1"/>
    <col min="39" max="39" width="23.5703125" style="1" bestFit="1" customWidth="1"/>
    <col min="40" max="40" width="8.42578125" style="1" customWidth="1"/>
    <col min="41" max="41" width="19.28515625" style="1" hidden="1" customWidth="1"/>
    <col min="42" max="42" width="20.7109375" style="1" hidden="1" customWidth="1"/>
    <col min="43" max="43" width="15.42578125" style="1" hidden="1" customWidth="1"/>
    <col min="44" max="44" width="21.7109375" style="1" hidden="1" customWidth="1"/>
    <col min="45" max="45" width="20.28515625" style="1" hidden="1" customWidth="1"/>
    <col min="46" max="46" width="18.28515625" style="1" hidden="1" customWidth="1"/>
    <col min="47" max="47" width="14.140625" style="1" hidden="1" customWidth="1"/>
    <col min="48" max="48" width="14.42578125" style="1" hidden="1" customWidth="1"/>
    <col min="49" max="49" width="13.5703125" style="1" hidden="1" customWidth="1"/>
    <col min="50" max="50" width="0" style="1" hidden="1" customWidth="1"/>
    <col min="51" max="51" width="12.28515625" style="1" hidden="1" customWidth="1"/>
    <col min="52" max="52" width="14.28515625" style="1" bestFit="1" customWidth="1"/>
    <col min="53" max="60" width="9" style="1"/>
    <col min="61" max="61" width="9.5703125" style="141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254" t="s">
        <v>911</v>
      </c>
      <c r="D1" s="2254"/>
      <c r="E1" s="2254"/>
      <c r="F1" s="2254"/>
      <c r="G1" s="2254"/>
      <c r="H1" s="2254"/>
      <c r="I1" s="2254"/>
      <c r="J1" s="2254"/>
      <c r="K1" s="2254"/>
      <c r="L1" s="2254"/>
      <c r="M1" s="2254"/>
      <c r="N1" s="2254"/>
      <c r="O1" s="2254"/>
      <c r="P1" s="2254"/>
      <c r="Q1" s="2254"/>
      <c r="R1" s="2254"/>
      <c r="S1" s="2254"/>
      <c r="T1" s="2254"/>
      <c r="U1" s="2254"/>
      <c r="V1" s="2249"/>
      <c r="W1" s="2249"/>
      <c r="X1" s="2249"/>
      <c r="Y1" s="2249"/>
      <c r="Z1" s="2249"/>
      <c r="AA1" s="2249"/>
      <c r="AB1" s="2249"/>
      <c r="AC1" s="2249"/>
      <c r="AD1" s="2249"/>
      <c r="AE1" s="2249"/>
      <c r="AF1" s="2249"/>
      <c r="AG1" s="2249"/>
      <c r="AH1" s="2249"/>
      <c r="AI1" s="2249"/>
      <c r="AJ1" s="2249"/>
      <c r="AK1" s="2249"/>
      <c r="AL1" s="2249"/>
      <c r="AM1" s="2249"/>
    </row>
    <row r="2" spans="3:61" ht="30" customHeight="1" x14ac:dyDescent="0.25">
      <c r="C2" s="2255" t="s">
        <v>99</v>
      </c>
      <c r="D2" s="2257" t="s">
        <v>100</v>
      </c>
      <c r="E2" s="2259" t="s">
        <v>101</v>
      </c>
      <c r="F2" s="2261" t="s">
        <v>102</v>
      </c>
      <c r="G2" s="2252" t="s">
        <v>1111</v>
      </c>
      <c r="H2" s="2253"/>
      <c r="I2" s="2253"/>
      <c r="J2" s="2253"/>
      <c r="K2" s="2253"/>
      <c r="L2" s="2253"/>
      <c r="M2" s="2253"/>
      <c r="N2" s="2253"/>
      <c r="O2" s="2253"/>
      <c r="P2" s="2253"/>
      <c r="Q2" s="2253"/>
      <c r="R2" s="2253"/>
      <c r="S2" s="2253"/>
      <c r="T2" s="2253"/>
      <c r="U2" s="2253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  <c r="AI2" s="2248"/>
      <c r="AJ2" s="2248"/>
      <c r="AK2" s="2200"/>
      <c r="AM2" s="2250" t="s">
        <v>296</v>
      </c>
    </row>
    <row r="3" spans="3:61" x14ac:dyDescent="0.25">
      <c r="C3" s="2256"/>
      <c r="D3" s="2258"/>
      <c r="E3" s="2260"/>
      <c r="F3" s="2262"/>
      <c r="G3" s="364">
        <v>1</v>
      </c>
      <c r="H3" s="364">
        <v>2</v>
      </c>
      <c r="I3" s="364">
        <v>3</v>
      </c>
      <c r="J3" s="364">
        <v>4</v>
      </c>
      <c r="K3" s="364">
        <v>5</v>
      </c>
      <c r="L3" s="364">
        <v>6</v>
      </c>
      <c r="M3" s="364">
        <v>7</v>
      </c>
      <c r="N3" s="364">
        <v>8</v>
      </c>
      <c r="O3" s="364">
        <v>9</v>
      </c>
      <c r="P3" s="364">
        <v>10</v>
      </c>
      <c r="Q3" s="364">
        <v>11</v>
      </c>
      <c r="R3" s="364">
        <v>12</v>
      </c>
      <c r="S3" s="364">
        <v>13</v>
      </c>
      <c r="T3" s="364">
        <v>14</v>
      </c>
      <c r="U3" s="364">
        <v>15</v>
      </c>
      <c r="V3" s="364">
        <v>16</v>
      </c>
      <c r="W3" s="364">
        <v>17</v>
      </c>
      <c r="X3" s="364">
        <v>18</v>
      </c>
      <c r="Y3" s="364">
        <v>19</v>
      </c>
      <c r="Z3" s="364">
        <v>20</v>
      </c>
      <c r="AA3" s="364">
        <v>21</v>
      </c>
      <c r="AB3" s="364">
        <v>22</v>
      </c>
      <c r="AC3" s="364">
        <v>23</v>
      </c>
      <c r="AD3" s="364">
        <v>24</v>
      </c>
      <c r="AE3" s="364">
        <v>25</v>
      </c>
      <c r="AF3" s="364">
        <v>26</v>
      </c>
      <c r="AG3" s="364">
        <v>27</v>
      </c>
      <c r="AH3" s="364">
        <v>28</v>
      </c>
      <c r="AI3" s="364">
        <v>29</v>
      </c>
      <c r="AJ3" s="364">
        <v>30</v>
      </c>
      <c r="AK3" s="364">
        <v>31</v>
      </c>
      <c r="AM3" s="2251"/>
    </row>
    <row r="4" spans="3:61" x14ac:dyDescent="0.25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2005"/>
      <c r="AK4" s="2005"/>
      <c r="AL4" s="3"/>
      <c r="AM4" s="2006" t="s">
        <v>127</v>
      </c>
      <c r="AO4" s="2101" t="s">
        <v>1096</v>
      </c>
      <c r="AP4" s="2096"/>
      <c r="AQ4" s="2096"/>
      <c r="AR4" s="2096" t="s">
        <v>1106</v>
      </c>
      <c r="AS4" s="2097">
        <f>AS6+AS7+AS9</f>
        <v>451103</v>
      </c>
      <c r="AT4" s="2096"/>
      <c r="AU4" s="2230">
        <f>AM7/AM6</f>
        <v>1160465.1200000001</v>
      </c>
    </row>
    <row r="5" spans="3:61" x14ac:dyDescent="0.25">
      <c r="C5" s="8"/>
      <c r="D5" s="9" t="s">
        <v>16</v>
      </c>
      <c r="E5" s="250"/>
      <c r="F5" s="10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197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3"/>
      <c r="AM5" s="52" t="s">
        <v>16</v>
      </c>
      <c r="AO5" s="2096" t="s">
        <v>1093</v>
      </c>
      <c r="AP5" s="2097">
        <f>AM9</f>
        <v>34566291</v>
      </c>
      <c r="AQ5" s="2096"/>
      <c r="AR5" s="2096" t="s">
        <v>1101</v>
      </c>
      <c r="AS5" s="2096"/>
      <c r="AT5" s="2096"/>
    </row>
    <row r="6" spans="3:61" x14ac:dyDescent="0.25">
      <c r="C6" s="8"/>
      <c r="D6" s="11" t="s">
        <v>84</v>
      </c>
      <c r="E6" s="251"/>
      <c r="F6" s="12" t="s">
        <v>83</v>
      </c>
      <c r="G6" s="33"/>
      <c r="H6" s="33"/>
      <c r="I6" s="33"/>
      <c r="J6" s="33"/>
      <c r="K6" s="33"/>
      <c r="L6" s="33"/>
      <c r="M6" s="1818">
        <v>1</v>
      </c>
      <c r="N6" s="33">
        <v>1</v>
      </c>
      <c r="O6" s="33">
        <v>1</v>
      </c>
      <c r="P6" s="33">
        <v>1</v>
      </c>
      <c r="Q6" s="947">
        <v>1</v>
      </c>
      <c r="R6" s="33">
        <v>1</v>
      </c>
      <c r="S6" s="1960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"/>
      <c r="AM6" s="54">
        <f>SUM(G6:AK6)</f>
        <v>25</v>
      </c>
      <c r="AO6" s="2096" t="s">
        <v>1094</v>
      </c>
      <c r="AP6" s="2097">
        <f>AM20+AM19+AM18</f>
        <v>33163713.359999999</v>
      </c>
      <c r="AQ6" s="2096"/>
      <c r="AR6" s="2102" t="s">
        <v>1102</v>
      </c>
      <c r="AS6" s="2097">
        <v>80236</v>
      </c>
      <c r="AT6" s="2096"/>
    </row>
    <row r="7" spans="3:61" x14ac:dyDescent="0.25">
      <c r="C7" s="8"/>
      <c r="D7" s="71" t="s">
        <v>125</v>
      </c>
      <c r="E7" s="251"/>
      <c r="F7" s="72" t="s">
        <v>14</v>
      </c>
      <c r="G7" s="270">
        <v>466886</v>
      </c>
      <c r="H7" s="270">
        <v>1042428</v>
      </c>
      <c r="I7" s="270">
        <v>598062</v>
      </c>
      <c r="J7" s="270">
        <v>1098366</v>
      </c>
      <c r="K7" s="270">
        <v>1154208</v>
      </c>
      <c r="L7" s="270">
        <v>0</v>
      </c>
      <c r="M7" s="270">
        <v>569874</v>
      </c>
      <c r="N7" s="270">
        <v>827244</v>
      </c>
      <c r="O7" s="270">
        <v>366660</v>
      </c>
      <c r="P7" s="270">
        <v>813396</v>
      </c>
      <c r="Q7" s="2217">
        <v>1037784</v>
      </c>
      <c r="R7" s="270">
        <v>892776</v>
      </c>
      <c r="S7" s="1964">
        <v>0</v>
      </c>
      <c r="T7" s="270">
        <v>1139271</v>
      </c>
      <c r="U7" s="270">
        <v>905494</v>
      </c>
      <c r="V7" s="270">
        <v>1258927</v>
      </c>
      <c r="W7" s="270">
        <v>1153068</v>
      </c>
      <c r="X7" s="270">
        <v>841278</v>
      </c>
      <c r="Y7" s="270">
        <v>1641495</v>
      </c>
      <c r="Z7" s="270">
        <v>490591</v>
      </c>
      <c r="AA7" s="270">
        <v>932649</v>
      </c>
      <c r="AB7" s="270">
        <v>1011790</v>
      </c>
      <c r="AC7" s="270">
        <v>1168715</v>
      </c>
      <c r="AD7" s="270">
        <v>1203986</v>
      </c>
      <c r="AE7" s="270">
        <v>1641206</v>
      </c>
      <c r="AF7" s="270">
        <v>1531753</v>
      </c>
      <c r="AG7" s="270">
        <v>214444</v>
      </c>
      <c r="AH7" s="270">
        <v>1312455</v>
      </c>
      <c r="AI7" s="270">
        <v>1108453</v>
      </c>
      <c r="AJ7" s="270">
        <v>875847</v>
      </c>
      <c r="AK7" s="270">
        <v>1712522</v>
      </c>
      <c r="AL7" s="3"/>
      <c r="AM7" s="57">
        <f>SUM(G7:AK7)</f>
        <v>29011628</v>
      </c>
      <c r="AO7" s="2098" t="s">
        <v>1074</v>
      </c>
      <c r="AP7" s="2099">
        <f>AM21</f>
        <v>1487076</v>
      </c>
      <c r="AQ7" s="2098"/>
      <c r="AR7" s="2103" t="s">
        <v>1087</v>
      </c>
      <c r="AS7" s="2097">
        <v>70298</v>
      </c>
      <c r="AT7" s="2096"/>
    </row>
    <row r="8" spans="3:61" x14ac:dyDescent="0.25">
      <c r="C8" s="8"/>
      <c r="D8" s="11" t="s">
        <v>1065</v>
      </c>
      <c r="E8" s="251"/>
      <c r="F8" s="13" t="s">
        <v>25</v>
      </c>
      <c r="G8" s="1756">
        <f t="shared" ref="G8:V8" si="0">G9/2500000</f>
        <v>0</v>
      </c>
      <c r="H8" s="1756">
        <f t="shared" si="0"/>
        <v>0</v>
      </c>
      <c r="I8" s="1756">
        <f t="shared" si="0"/>
        <v>0</v>
      </c>
      <c r="J8" s="1756">
        <f t="shared" si="0"/>
        <v>0</v>
      </c>
      <c r="K8" s="1756">
        <f t="shared" si="0"/>
        <v>0</v>
      </c>
      <c r="L8" s="1756">
        <f t="shared" si="0"/>
        <v>0</v>
      </c>
      <c r="M8" s="1756">
        <v>0</v>
      </c>
      <c r="N8" s="1756">
        <f t="shared" si="0"/>
        <v>0.60701640000000001</v>
      </c>
      <c r="O8" s="1756">
        <f t="shared" si="0"/>
        <v>0.59888039999999998</v>
      </c>
      <c r="P8" s="1756">
        <f t="shared" si="0"/>
        <v>0.74024400000000001</v>
      </c>
      <c r="Q8" s="2198">
        <f t="shared" si="0"/>
        <v>0.67178040000000006</v>
      </c>
      <c r="R8" s="1756">
        <f t="shared" si="0"/>
        <v>0.55412879999999998</v>
      </c>
      <c r="S8" s="1756">
        <f t="shared" si="0"/>
        <v>0.64782439999999997</v>
      </c>
      <c r="T8" s="1756">
        <f t="shared" si="0"/>
        <v>0.7902612</v>
      </c>
      <c r="U8" s="1756">
        <f t="shared" si="0"/>
        <v>0.76555479999999998</v>
      </c>
      <c r="V8" s="1756">
        <f t="shared" si="0"/>
        <v>0.56533040000000001</v>
      </c>
      <c r="W8" s="1756">
        <f>W9/2500000</f>
        <v>0.53327880000000005</v>
      </c>
      <c r="X8" s="1756">
        <v>0</v>
      </c>
      <c r="Y8" s="1756">
        <f t="shared" ref="Y8:AK8" si="1">Y9/2500000</f>
        <v>0.7316068</v>
      </c>
      <c r="Z8" s="1756">
        <f t="shared" si="1"/>
        <v>0.75645720000000005</v>
      </c>
      <c r="AA8" s="1756">
        <f t="shared" si="1"/>
        <v>0.67525120000000005</v>
      </c>
      <c r="AB8" s="1756">
        <f t="shared" si="1"/>
        <v>0.74079200000000001</v>
      </c>
      <c r="AC8" s="1756">
        <f t="shared" si="1"/>
        <v>0.52613799999999999</v>
      </c>
      <c r="AD8" s="1756">
        <f t="shared" si="1"/>
        <v>0.52560359999999995</v>
      </c>
      <c r="AE8" s="1756">
        <f t="shared" si="1"/>
        <v>0.40356959999999997</v>
      </c>
      <c r="AF8" s="1756">
        <f t="shared" si="1"/>
        <v>0.76237120000000003</v>
      </c>
      <c r="AG8" s="1756">
        <f t="shared" si="1"/>
        <v>0.34146159999999998</v>
      </c>
      <c r="AH8" s="1756">
        <f t="shared" si="1"/>
        <v>0.28280640000000001</v>
      </c>
      <c r="AI8" s="1756">
        <f t="shared" si="1"/>
        <v>0.28384199999999998</v>
      </c>
      <c r="AJ8" s="1756">
        <f t="shared" si="1"/>
        <v>0.4141048</v>
      </c>
      <c r="AK8" s="1756">
        <f t="shared" si="1"/>
        <v>0.43193999999999999</v>
      </c>
      <c r="AL8" s="3"/>
      <c r="AM8" s="1792">
        <f>AM9/2500000/AM6</f>
        <v>0.55306065599999998</v>
      </c>
      <c r="AO8" s="2096" t="s">
        <v>1075</v>
      </c>
      <c r="AP8" s="2100">
        <f>AP6/AP5*100</f>
        <v>95.942354243329149</v>
      </c>
      <c r="AQ8" s="2096"/>
      <c r="AR8" s="2104" t="s">
        <v>1104</v>
      </c>
      <c r="AS8" s="2097">
        <f>AS6+AS7</f>
        <v>150534</v>
      </c>
      <c r="AT8" s="2096"/>
    </row>
    <row r="9" spans="3:61" s="1" customFormat="1" x14ac:dyDescent="0.25">
      <c r="C9" s="8"/>
      <c r="D9" s="55" t="s">
        <v>96</v>
      </c>
      <c r="E9" s="234">
        <v>58900000</v>
      </c>
      <c r="F9" s="56" t="s">
        <v>14</v>
      </c>
      <c r="G9" s="270">
        <f>'[1]01 (stock opname)'!$R$15</f>
        <v>0</v>
      </c>
      <c r="H9" s="270">
        <f>'[1]02'!$R$15</f>
        <v>0</v>
      </c>
      <c r="I9" s="270">
        <v>0</v>
      </c>
      <c r="J9" s="270">
        <f>[1]MTD!$R$15</f>
        <v>0</v>
      </c>
      <c r="K9" s="270">
        <f>'[1]04'!$R$15</f>
        <v>0</v>
      </c>
      <c r="L9" s="270">
        <f>'[1]05'!$R$15</f>
        <v>0</v>
      </c>
      <c r="M9" s="270">
        <v>297079</v>
      </c>
      <c r="N9" s="270">
        <v>1517541</v>
      </c>
      <c r="O9" s="270">
        <v>1497201</v>
      </c>
      <c r="P9" s="270">
        <v>1850610</v>
      </c>
      <c r="Q9" s="2218">
        <v>1679451</v>
      </c>
      <c r="R9" s="270">
        <v>1385322</v>
      </c>
      <c r="S9" s="1964">
        <v>1619561</v>
      </c>
      <c r="T9" s="1964">
        <v>1975653</v>
      </c>
      <c r="U9" s="2186">
        <v>1913887</v>
      </c>
      <c r="V9" s="2186">
        <v>1413326</v>
      </c>
      <c r="W9" s="2186">
        <v>1333197</v>
      </c>
      <c r="X9" s="2186">
        <v>893602</v>
      </c>
      <c r="Y9" s="1964">
        <v>1829017</v>
      </c>
      <c r="Z9" s="1964">
        <v>1891143</v>
      </c>
      <c r="AA9" s="1964">
        <v>1688128</v>
      </c>
      <c r="AB9" s="1964">
        <v>1851980</v>
      </c>
      <c r="AC9" s="1964">
        <v>1315345</v>
      </c>
      <c r="AD9" s="1964">
        <v>1314009</v>
      </c>
      <c r="AE9" s="1964">
        <v>1008924</v>
      </c>
      <c r="AF9" s="1964">
        <v>1905928</v>
      </c>
      <c r="AG9" s="1964">
        <v>853654</v>
      </c>
      <c r="AH9" s="1964">
        <v>707016</v>
      </c>
      <c r="AI9" s="1964">
        <v>709605</v>
      </c>
      <c r="AJ9" s="1964">
        <v>1035262</v>
      </c>
      <c r="AK9" s="1964">
        <v>1079850</v>
      </c>
      <c r="AM9" s="57">
        <f>SUM(G9:AK9)</f>
        <v>34566291</v>
      </c>
      <c r="AO9" s="2096" t="s">
        <v>1076</v>
      </c>
      <c r="AP9" s="2100">
        <f>AP7/AP5*100</f>
        <v>4.302098828017157</v>
      </c>
      <c r="AQ9" s="2097"/>
      <c r="AR9" s="2096" t="s">
        <v>1103</v>
      </c>
      <c r="AS9" s="2096">
        <v>300569</v>
      </c>
      <c r="AT9" s="2096"/>
      <c r="AZ9" s="2245">
        <f>AM9/AM6</f>
        <v>1382651.64</v>
      </c>
      <c r="BI9" s="142"/>
    </row>
    <row r="10" spans="3:61" s="1" customFormat="1" x14ac:dyDescent="0.25">
      <c r="C10" s="8"/>
      <c r="D10" s="945" t="s">
        <v>377</v>
      </c>
      <c r="E10" s="946"/>
      <c r="F10" s="61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Q10" s="947"/>
      <c r="R10" s="947"/>
      <c r="S10" s="1984"/>
      <c r="T10" s="947"/>
      <c r="U10" s="947"/>
      <c r="V10" s="947"/>
      <c r="W10" s="947"/>
      <c r="X10" s="947"/>
      <c r="Y10" s="947"/>
      <c r="Z10" s="947"/>
      <c r="AA10" s="947"/>
      <c r="AB10" s="947"/>
      <c r="AC10" s="947"/>
      <c r="AD10" s="947"/>
      <c r="AE10" s="947"/>
      <c r="AF10" s="947"/>
      <c r="AG10" s="947"/>
      <c r="AH10" s="947"/>
      <c r="AI10" s="947"/>
      <c r="AJ10" s="947"/>
      <c r="AK10" s="947"/>
      <c r="AL10" s="62"/>
      <c r="AM10" s="519">
        <f>AM9/AM6</f>
        <v>1382651.64</v>
      </c>
      <c r="AN10" s="473"/>
      <c r="AO10" s="2096" t="s">
        <v>1095</v>
      </c>
      <c r="AP10" s="2100">
        <f>(AP5-AP6-AP7)/AP5*100</f>
        <v>-0.24445307134629921</v>
      </c>
      <c r="AQ10" s="2096"/>
      <c r="AR10" s="2096" t="s">
        <v>1105</v>
      </c>
      <c r="AS10" s="2097">
        <f>AS8+AS9</f>
        <v>451103</v>
      </c>
      <c r="AT10" s="2096"/>
      <c r="AZ10" s="470">
        <f>AM9/E9</f>
        <v>0.58686402376910018</v>
      </c>
      <c r="BI10" s="142"/>
    </row>
    <row r="11" spans="3:61" s="1" customFormat="1" x14ac:dyDescent="0.25">
      <c r="C11" s="8"/>
      <c r="D11" s="21" t="s">
        <v>97</v>
      </c>
      <c r="E11" s="234"/>
      <c r="F11" s="13" t="s">
        <v>14</v>
      </c>
      <c r="G11" s="33">
        <f>G9-G12</f>
        <v>0</v>
      </c>
      <c r="H11" s="33">
        <f>H9-H12</f>
        <v>0</v>
      </c>
      <c r="I11" s="33">
        <f t="shared" ref="I11:AJ11" si="2">I9-I12</f>
        <v>0</v>
      </c>
      <c r="J11" s="33">
        <f t="shared" si="2"/>
        <v>0</v>
      </c>
      <c r="K11" s="33"/>
      <c r="L11" s="33">
        <f t="shared" si="2"/>
        <v>0</v>
      </c>
      <c r="M11" s="33">
        <f t="shared" si="2"/>
        <v>297079</v>
      </c>
      <c r="N11" s="33">
        <f t="shared" si="2"/>
        <v>1517541</v>
      </c>
      <c r="O11" s="33">
        <f>O9-O12</f>
        <v>1497201</v>
      </c>
      <c r="P11" s="33">
        <f t="shared" si="2"/>
        <v>1850610</v>
      </c>
      <c r="Q11" s="33">
        <f t="shared" si="2"/>
        <v>1679451</v>
      </c>
      <c r="R11" s="33">
        <f>R9-R12</f>
        <v>1385322</v>
      </c>
      <c r="S11" s="33">
        <f t="shared" ref="S11:U11" si="3">S9-S12</f>
        <v>1619561</v>
      </c>
      <c r="T11" s="33">
        <f t="shared" si="3"/>
        <v>1975653</v>
      </c>
      <c r="U11" s="33">
        <f t="shared" si="3"/>
        <v>1913887</v>
      </c>
      <c r="V11" s="33">
        <f t="shared" si="2"/>
        <v>1413326</v>
      </c>
      <c r="W11" s="33">
        <f>W9-W12</f>
        <v>1333197</v>
      </c>
      <c r="X11" s="33">
        <f>X9-X12</f>
        <v>893602</v>
      </c>
      <c r="Y11" s="33">
        <f>Y9-Y12</f>
        <v>1829017</v>
      </c>
      <c r="Z11" s="33">
        <f t="shared" ref="Z11" si="4">Z9-Z12</f>
        <v>1891143</v>
      </c>
      <c r="AA11" s="33">
        <f t="shared" si="2"/>
        <v>1688128</v>
      </c>
      <c r="AB11" s="33">
        <f t="shared" si="2"/>
        <v>1851980</v>
      </c>
      <c r="AC11" s="33">
        <f t="shared" si="2"/>
        <v>1315345</v>
      </c>
      <c r="AD11" s="33">
        <v>1314009</v>
      </c>
      <c r="AE11" s="33">
        <f t="shared" si="2"/>
        <v>1008924</v>
      </c>
      <c r="AF11" s="33">
        <f t="shared" si="2"/>
        <v>1905928</v>
      </c>
      <c r="AG11" s="33">
        <f t="shared" si="2"/>
        <v>853654</v>
      </c>
      <c r="AH11" s="33">
        <f t="shared" si="2"/>
        <v>707016</v>
      </c>
      <c r="AI11" s="33">
        <f t="shared" si="2"/>
        <v>709605</v>
      </c>
      <c r="AJ11" s="33">
        <f t="shared" si="2"/>
        <v>1035262</v>
      </c>
      <c r="AK11" s="33">
        <f t="shared" ref="AK11" si="5">AK9-AK12</f>
        <v>1079850</v>
      </c>
      <c r="AM11" s="54">
        <f>SUM(G11:AK11)</f>
        <v>34566291</v>
      </c>
      <c r="AO11" s="2096"/>
      <c r="AP11" s="2097"/>
      <c r="AQ11" s="2096"/>
      <c r="AR11" s="2096"/>
      <c r="AS11" s="2097"/>
      <c r="AT11" s="2097"/>
      <c r="BI11" s="142"/>
    </row>
    <row r="12" spans="3:61" s="1" customFormat="1" x14ac:dyDescent="0.25">
      <c r="C12" s="8"/>
      <c r="D12" s="21" t="s">
        <v>98</v>
      </c>
      <c r="E12" s="234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J12" si="6">I40+I49+I54</f>
        <v>0</v>
      </c>
      <c r="J12" s="33">
        <f t="shared" si="6"/>
        <v>0</v>
      </c>
      <c r="K12" s="33">
        <v>0</v>
      </c>
      <c r="L12" s="33">
        <f t="shared" si="6"/>
        <v>0</v>
      </c>
      <c r="M12" s="33">
        <f t="shared" si="6"/>
        <v>0</v>
      </c>
      <c r="N12" s="33">
        <f t="shared" si="6"/>
        <v>0</v>
      </c>
      <c r="O12" s="33">
        <f t="shared" si="6"/>
        <v>0</v>
      </c>
      <c r="P12" s="33">
        <f t="shared" si="6"/>
        <v>0</v>
      </c>
      <c r="Q12" s="33"/>
      <c r="R12" s="33">
        <f t="shared" si="6"/>
        <v>0</v>
      </c>
      <c r="S12" s="1960">
        <v>0</v>
      </c>
      <c r="T12" s="33">
        <f t="shared" si="6"/>
        <v>0</v>
      </c>
      <c r="U12" s="33">
        <f t="shared" si="6"/>
        <v>0</v>
      </c>
      <c r="V12" s="33">
        <f t="shared" si="6"/>
        <v>0</v>
      </c>
      <c r="W12" s="33">
        <f t="shared" si="6"/>
        <v>0</v>
      </c>
      <c r="X12" s="33">
        <v>0</v>
      </c>
      <c r="Y12" s="33">
        <f t="shared" ref="Y12:Z12" si="7">Y40+Y49+Y54</f>
        <v>0</v>
      </c>
      <c r="Z12" s="33">
        <f t="shared" si="7"/>
        <v>0</v>
      </c>
      <c r="AA12" s="33">
        <f t="shared" si="6"/>
        <v>0</v>
      </c>
      <c r="AB12" s="33">
        <f t="shared" si="6"/>
        <v>0</v>
      </c>
      <c r="AC12" s="33">
        <v>0</v>
      </c>
      <c r="AD12" s="33">
        <v>0</v>
      </c>
      <c r="AE12" s="33">
        <f t="shared" si="6"/>
        <v>0</v>
      </c>
      <c r="AF12" s="33">
        <f t="shared" si="6"/>
        <v>0</v>
      </c>
      <c r="AG12" s="33">
        <f t="shared" si="6"/>
        <v>0</v>
      </c>
      <c r="AH12" s="33">
        <f t="shared" si="6"/>
        <v>0</v>
      </c>
      <c r="AI12" s="33"/>
      <c r="AJ12" s="33">
        <f t="shared" si="6"/>
        <v>0</v>
      </c>
      <c r="AK12" s="33">
        <f t="shared" ref="AK12" si="8">AK40+AK49+AK54</f>
        <v>0</v>
      </c>
      <c r="AM12" s="54">
        <f>SUM(G12:AK12)</f>
        <v>0</v>
      </c>
      <c r="AO12" s="2101" t="s">
        <v>1097</v>
      </c>
      <c r="AP12" s="2097"/>
      <c r="AQ12" s="2096"/>
      <c r="AR12" s="2097" t="s">
        <v>1109</v>
      </c>
      <c r="AS12" s="2097"/>
      <c r="AT12" s="2096"/>
      <c r="BI12" s="142"/>
    </row>
    <row r="13" spans="3:61" s="1" customFormat="1" x14ac:dyDescent="0.25">
      <c r="C13" s="8"/>
      <c r="D13" s="14" t="s">
        <v>82</v>
      </c>
      <c r="E13" s="252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4.1500000000000004</v>
      </c>
      <c r="N13" s="2107">
        <v>4.18</v>
      </c>
      <c r="O13" s="29">
        <v>4.4000000000000004</v>
      </c>
      <c r="P13" s="29">
        <v>4.0599999999999996</v>
      </c>
      <c r="Q13" s="2138">
        <v>3.8449999999999998</v>
      </c>
      <c r="R13" s="2138">
        <v>3.8849999999999998</v>
      </c>
      <c r="S13" s="2138">
        <v>3.94</v>
      </c>
      <c r="T13" s="2168">
        <v>4.2050000000000001</v>
      </c>
      <c r="U13" s="2187">
        <v>4.3149999999999995</v>
      </c>
      <c r="V13" s="2187">
        <v>4.01</v>
      </c>
      <c r="W13" s="2187">
        <v>3.77</v>
      </c>
      <c r="X13" s="2187">
        <v>3.99</v>
      </c>
      <c r="Y13" s="2187">
        <v>3.9400000000000004</v>
      </c>
      <c r="Z13" s="2187">
        <v>3.9049999999999998</v>
      </c>
      <c r="AA13" s="29">
        <v>4.04</v>
      </c>
      <c r="AB13" s="29">
        <f>(4.07+3.82+3.75)/3</f>
        <v>3.8800000000000003</v>
      </c>
      <c r="AC13" s="29">
        <f>(3.8+4.04)/2</f>
        <v>3.92</v>
      </c>
      <c r="AD13" s="34">
        <v>3.97</v>
      </c>
      <c r="AE13" s="34">
        <v>3.9450000000000003</v>
      </c>
      <c r="AF13" s="34">
        <v>3.8899999999999997</v>
      </c>
      <c r="AG13" s="34">
        <v>3.93</v>
      </c>
      <c r="AH13" s="29">
        <f>(3.62+3.93)/2</f>
        <v>3.7750000000000004</v>
      </c>
      <c r="AI13" s="34">
        <v>3.61</v>
      </c>
      <c r="AJ13" s="29">
        <f>(3.61+3.62)/2</f>
        <v>3.6150000000000002</v>
      </c>
      <c r="AK13" s="29">
        <f>(3.65+3.61)/2</f>
        <v>3.63</v>
      </c>
      <c r="AM13" s="58">
        <f>SUM(G13:AK13)/AM6</f>
        <v>3.952</v>
      </c>
      <c r="AO13" s="2096" t="s">
        <v>1098</v>
      </c>
      <c r="AP13" s="2097">
        <f>AP14+AP15</f>
        <v>12309228</v>
      </c>
      <c r="AQ13" s="2096"/>
      <c r="AR13" s="2096" t="s">
        <v>1107</v>
      </c>
      <c r="AS13" s="2096">
        <f>'Oip Fract .'!T13</f>
        <v>34831</v>
      </c>
      <c r="AT13" s="2096"/>
      <c r="BI13" s="141"/>
    </row>
    <row r="14" spans="3:61" s="1" customFormat="1" x14ac:dyDescent="0.25">
      <c r="C14" s="8"/>
      <c r="D14" s="14" t="s">
        <v>81</v>
      </c>
      <c r="E14" s="252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0.39</v>
      </c>
      <c r="N14" s="2107">
        <v>0.4</v>
      </c>
      <c r="O14" s="29">
        <v>0.42</v>
      </c>
      <c r="P14" s="29">
        <v>0.41</v>
      </c>
      <c r="Q14" s="2138">
        <v>0.45999999999999996</v>
      </c>
      <c r="R14" s="2138">
        <v>0.45999999999999996</v>
      </c>
      <c r="S14" s="2138">
        <v>0.48</v>
      </c>
      <c r="T14" s="2168">
        <v>0.44999999999999996</v>
      </c>
      <c r="U14" s="2187">
        <v>0.43</v>
      </c>
      <c r="V14" s="2187">
        <v>0.435</v>
      </c>
      <c r="W14" s="2187">
        <v>0.435</v>
      </c>
      <c r="X14" s="2187">
        <v>0.45</v>
      </c>
      <c r="Y14" s="2187">
        <v>0.46499999999999997</v>
      </c>
      <c r="Z14" s="2187">
        <v>0.47499999999999998</v>
      </c>
      <c r="AA14" s="29">
        <v>0.46</v>
      </c>
      <c r="AB14" s="29">
        <f>(0.46+0.42+0.44)/3</f>
        <v>0.44</v>
      </c>
      <c r="AC14" s="29">
        <f>(0.43+0.46)/2</f>
        <v>0.44500000000000001</v>
      </c>
      <c r="AD14" s="34">
        <v>0.43666666666666659</v>
      </c>
      <c r="AE14" s="34">
        <v>0.45499999999999996</v>
      </c>
      <c r="AF14" s="34">
        <v>0.46499999999999997</v>
      </c>
      <c r="AG14" s="34">
        <v>0.43</v>
      </c>
      <c r="AH14" s="29">
        <f>(0.44+0.43)/2</f>
        <v>0.435</v>
      </c>
      <c r="AI14" s="34">
        <v>0.39</v>
      </c>
      <c r="AJ14" s="29">
        <f>(0.4+0.46)/2</f>
        <v>0.43000000000000005</v>
      </c>
      <c r="AK14" s="29">
        <f>(0.43+0.44)/2</f>
        <v>0.435</v>
      </c>
      <c r="AM14" s="58">
        <f>SUM(G14:AK14)/AM6</f>
        <v>0.43926666666666669</v>
      </c>
      <c r="AO14" s="2096" t="s">
        <v>1081</v>
      </c>
      <c r="AP14" s="2097">
        <f>AM33</f>
        <v>9895094</v>
      </c>
      <c r="AQ14" s="2096"/>
      <c r="AR14" s="2096" t="s">
        <v>1108</v>
      </c>
      <c r="AS14" s="2096">
        <f>'Oip Fract .'!U13</f>
        <v>272307</v>
      </c>
      <c r="AT14" s="2096"/>
      <c r="BI14" s="142"/>
    </row>
    <row r="15" spans="3:61" s="1" customFormat="1" x14ac:dyDescent="0.25">
      <c r="C15" s="8"/>
      <c r="D15" s="14" t="s">
        <v>80</v>
      </c>
      <c r="E15" s="253" t="s">
        <v>79</v>
      </c>
      <c r="F15" s="13" t="s">
        <v>25</v>
      </c>
      <c r="G15" s="29"/>
      <c r="H15" s="29"/>
      <c r="I15" s="29"/>
      <c r="J15" s="1641"/>
      <c r="K15" s="29"/>
      <c r="L15" s="29"/>
      <c r="M15" s="29"/>
      <c r="N15" s="29"/>
      <c r="O15" s="29"/>
      <c r="P15" s="29"/>
      <c r="Q15" s="29"/>
      <c r="R15" s="2013"/>
      <c r="S15" s="2025"/>
      <c r="T15" s="2170"/>
      <c r="U15" s="2024"/>
      <c r="V15" s="29"/>
      <c r="W15" s="2061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8">
        <f>SUM(G15:AK15)/AM6</f>
        <v>0</v>
      </c>
      <c r="AO15" s="2096" t="s">
        <v>1082</v>
      </c>
      <c r="AP15" s="2097">
        <f>AM34</f>
        <v>2414134</v>
      </c>
      <c r="AQ15" s="2096"/>
      <c r="AR15" s="2096" t="s">
        <v>1110</v>
      </c>
      <c r="AS15" s="2097"/>
      <c r="AT15" s="2096"/>
      <c r="BI15" s="142"/>
    </row>
    <row r="16" spans="3:61" s="1" customFormat="1" x14ac:dyDescent="0.25">
      <c r="C16" s="8"/>
      <c r="D16" s="64" t="s">
        <v>910</v>
      </c>
      <c r="E16" s="1642"/>
      <c r="F16" s="56"/>
      <c r="G16" s="1643"/>
      <c r="H16" s="1643"/>
      <c r="I16" s="1644"/>
      <c r="J16" s="1645"/>
      <c r="K16" s="1643"/>
      <c r="L16" s="1643"/>
      <c r="M16" s="1644">
        <v>102</v>
      </c>
      <c r="N16" s="1644">
        <v>102</v>
      </c>
      <c r="O16" s="1644">
        <v>102107</v>
      </c>
      <c r="P16" s="2137">
        <v>103107</v>
      </c>
      <c r="Q16" s="2139">
        <v>103107</v>
      </c>
      <c r="R16" s="2139">
        <v>103107</v>
      </c>
      <c r="S16" s="2139">
        <v>103</v>
      </c>
      <c r="T16" s="2169">
        <v>103102</v>
      </c>
      <c r="U16" s="2188">
        <v>102106</v>
      </c>
      <c r="V16" s="2188">
        <v>106107</v>
      </c>
      <c r="W16" s="2188">
        <v>107105</v>
      </c>
      <c r="X16" s="2188">
        <v>105</v>
      </c>
      <c r="Y16" s="2188">
        <v>105107</v>
      </c>
      <c r="Z16" s="2188">
        <v>104107</v>
      </c>
      <c r="AA16" s="1644">
        <v>104</v>
      </c>
      <c r="AB16" s="2188">
        <v>104106107</v>
      </c>
      <c r="AC16" s="2188">
        <v>107103</v>
      </c>
      <c r="AD16" s="1959">
        <v>103106105</v>
      </c>
      <c r="AE16" s="270">
        <v>105104</v>
      </c>
      <c r="AF16" s="270">
        <v>104107</v>
      </c>
      <c r="AG16" s="270">
        <v>105</v>
      </c>
      <c r="AH16" s="270">
        <v>104105</v>
      </c>
      <c r="AI16" s="270">
        <v>104</v>
      </c>
      <c r="AJ16" s="270">
        <v>104107</v>
      </c>
      <c r="AK16" s="270">
        <v>107105</v>
      </c>
      <c r="AM16" s="58"/>
      <c r="AO16" s="2096" t="s">
        <v>1099</v>
      </c>
      <c r="AP16" s="2100">
        <f>AP14/(AP14+AP15)*100</f>
        <v>80.387608386163606</v>
      </c>
      <c r="AQ16" s="2096"/>
      <c r="AR16" s="2096" t="s">
        <v>1107</v>
      </c>
      <c r="AS16" s="2097">
        <f>AS13</f>
        <v>34831</v>
      </c>
      <c r="AT16" s="2096"/>
      <c r="BI16" s="142"/>
    </row>
    <row r="17" spans="3:61 15030:15074" s="1" customFormat="1" x14ac:dyDescent="0.25">
      <c r="C17" s="8"/>
      <c r="D17" s="59" t="s">
        <v>78</v>
      </c>
      <c r="E17" s="254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0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78</v>
      </c>
      <c r="AO17" s="2096" t="s">
        <v>1100</v>
      </c>
      <c r="AP17" s="2098">
        <f>AP15/(AP14+AP15)*100</f>
        <v>19.612391613836383</v>
      </c>
      <c r="AQ17" s="2096"/>
      <c r="AR17" s="2096" t="s">
        <v>1108</v>
      </c>
      <c r="AS17" s="2097">
        <f>AS14-AP13</f>
        <v>-12036921</v>
      </c>
      <c r="AT17" s="2096"/>
      <c r="BI17" s="142"/>
    </row>
    <row r="18" spans="3:61 15030:15074" s="1" customFormat="1" x14ac:dyDescent="0.25">
      <c r="C18" s="8"/>
      <c r="D18" s="828" t="s">
        <v>358</v>
      </c>
      <c r="E18" s="254"/>
      <c r="F18" s="65" t="s">
        <v>14</v>
      </c>
      <c r="G18" s="33"/>
      <c r="H18" s="33"/>
      <c r="I18" s="33"/>
      <c r="J18" s="33"/>
      <c r="K18" s="33"/>
      <c r="L18" s="33"/>
      <c r="M18" s="2010">
        <v>300569.36</v>
      </c>
      <c r="N18" s="2010">
        <v>0</v>
      </c>
      <c r="O18" s="2010">
        <v>0</v>
      </c>
      <c r="P18" s="2010">
        <v>0</v>
      </c>
      <c r="Q18" s="2010">
        <v>0</v>
      </c>
      <c r="R18" s="2056">
        <v>0</v>
      </c>
      <c r="S18" s="2010">
        <v>0</v>
      </c>
      <c r="T18" s="2010">
        <v>0</v>
      </c>
      <c r="U18" s="2010">
        <v>0</v>
      </c>
      <c r="V18" s="2010">
        <v>0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2"/>
      <c r="AM18" s="2011">
        <f>SUM(M18:AK18)</f>
        <v>300569.36</v>
      </c>
      <c r="AO18" s="2086"/>
      <c r="AP18" s="2087"/>
      <c r="AQ18" s="2087"/>
      <c r="AR18" s="2087"/>
      <c r="AS18" s="2087"/>
      <c r="AT18" s="2086"/>
      <c r="BI18" s="142"/>
    </row>
    <row r="19" spans="3:61 15030:15074" s="1" customFormat="1" x14ac:dyDescent="0.25">
      <c r="C19" s="8"/>
      <c r="D19" s="828" t="s">
        <v>1071</v>
      </c>
      <c r="E19" s="254"/>
      <c r="F19" s="65" t="s">
        <v>14</v>
      </c>
      <c r="G19" s="33"/>
      <c r="H19" s="33"/>
      <c r="I19" s="33"/>
      <c r="J19" s="33"/>
      <c r="K19" s="33"/>
      <c r="L19" s="33"/>
      <c r="M19" s="2010"/>
      <c r="N19" s="2010">
        <v>53843</v>
      </c>
      <c r="O19" s="2010">
        <v>0</v>
      </c>
      <c r="P19" s="2010">
        <v>0</v>
      </c>
      <c r="Q19" s="2010">
        <v>0</v>
      </c>
      <c r="R19" s="2010">
        <v>0</v>
      </c>
      <c r="S19" s="2010">
        <v>0</v>
      </c>
      <c r="T19" s="2010">
        <v>0</v>
      </c>
      <c r="U19" s="2010">
        <v>0</v>
      </c>
      <c r="V19" s="2010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62"/>
      <c r="AM19" s="2011">
        <f>SUM(N19:AK19)</f>
        <v>53843</v>
      </c>
      <c r="AO19" s="2082" t="s">
        <v>1078</v>
      </c>
      <c r="AP19" s="2086"/>
      <c r="AQ19" s="2086"/>
      <c r="AR19" s="2086" t="s">
        <v>1085</v>
      </c>
      <c r="AS19" s="2086"/>
      <c r="AT19" s="2086"/>
      <c r="AU19" s="1" t="s">
        <v>1113</v>
      </c>
      <c r="AV19" s="1">
        <v>2145555</v>
      </c>
      <c r="AW19" s="3">
        <f>AM20-AW20</f>
        <v>0</v>
      </c>
      <c r="BI19" s="142"/>
    </row>
    <row r="20" spans="3:61 15030:15074" s="1" customFormat="1" x14ac:dyDescent="0.25">
      <c r="C20" s="15"/>
      <c r="D20" s="64" t="s">
        <v>193</v>
      </c>
      <c r="E20" s="234">
        <v>55661000</v>
      </c>
      <c r="F20" s="65" t="s">
        <v>14</v>
      </c>
      <c r="G20" s="270"/>
      <c r="H20" s="270"/>
      <c r="I20" s="270"/>
      <c r="J20" s="270"/>
      <c r="K20" s="270"/>
      <c r="L20" s="270"/>
      <c r="M20" s="270"/>
      <c r="N20" s="270">
        <v>1365197</v>
      </c>
      <c r="O20" s="270">
        <v>1564998</v>
      </c>
      <c r="P20" s="270">
        <v>1678118</v>
      </c>
      <c r="Q20" s="2140">
        <v>1587178</v>
      </c>
      <c r="R20" s="270">
        <v>1366312</v>
      </c>
      <c r="S20" s="1964">
        <v>1490762</v>
      </c>
      <c r="T20" s="270">
        <v>1838515</v>
      </c>
      <c r="U20" s="2189">
        <v>1770735</v>
      </c>
      <c r="V20" s="2189">
        <v>1421546</v>
      </c>
      <c r="W20" s="2189">
        <v>1321961</v>
      </c>
      <c r="X20" s="2189">
        <v>860939</v>
      </c>
      <c r="Y20" s="2189">
        <v>1700000</v>
      </c>
      <c r="Z20" s="2189">
        <v>1854033</v>
      </c>
      <c r="AA20" s="1993">
        <v>1551384</v>
      </c>
      <c r="AB20" s="270">
        <v>1831540</v>
      </c>
      <c r="AC20" s="270">
        <v>1459334</v>
      </c>
      <c r="AD20" s="270">
        <v>1311592</v>
      </c>
      <c r="AE20" s="270">
        <v>1043325</v>
      </c>
      <c r="AF20" s="270">
        <v>1690449</v>
      </c>
      <c r="AG20" s="270">
        <v>841876</v>
      </c>
      <c r="AH20" s="270">
        <v>675289</v>
      </c>
      <c r="AI20" s="270">
        <v>654500</v>
      </c>
      <c r="AJ20" s="270">
        <v>938117</v>
      </c>
      <c r="AK20" s="270">
        <v>991601</v>
      </c>
      <c r="AM20" s="57">
        <f>SUM(G20:AK20)</f>
        <v>32809301</v>
      </c>
      <c r="AO20" s="2086" t="s">
        <v>1072</v>
      </c>
      <c r="AP20" s="2087">
        <v>17813187</v>
      </c>
      <c r="AQ20" s="2086"/>
      <c r="AR20" s="2086" t="s">
        <v>1086</v>
      </c>
      <c r="AS20" s="2087">
        <v>195993</v>
      </c>
      <c r="AT20" s="2087">
        <f>AS20-AS6</f>
        <v>115757</v>
      </c>
      <c r="AU20" s="1" t="s">
        <v>1112</v>
      </c>
      <c r="AV20" s="1">
        <v>30663746</v>
      </c>
      <c r="AW20" s="1">
        <f>AV19+AV20</f>
        <v>32809301</v>
      </c>
      <c r="AY20" s="3">
        <f>AM20-2145555</f>
        <v>30663746</v>
      </c>
      <c r="BI20" s="141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4">
        <v>2827000</v>
      </c>
      <c r="F21" s="65" t="s">
        <v>14</v>
      </c>
      <c r="G21" s="270"/>
      <c r="H21" s="270"/>
      <c r="I21" s="270"/>
      <c r="J21" s="270"/>
      <c r="K21" s="270"/>
      <c r="L21" s="270"/>
      <c r="M21" s="270">
        <v>14278</v>
      </c>
      <c r="N21" s="270">
        <v>68137</v>
      </c>
      <c r="O21" s="270">
        <v>74862</v>
      </c>
      <c r="P21" s="270">
        <v>74613</v>
      </c>
      <c r="Q21" s="2140">
        <v>73664</v>
      </c>
      <c r="R21" s="270">
        <v>59574</v>
      </c>
      <c r="S21" s="1964">
        <v>62387</v>
      </c>
      <c r="T21" s="270">
        <v>90023</v>
      </c>
      <c r="U21" s="2189">
        <v>91173</v>
      </c>
      <c r="V21" s="2189">
        <v>66426</v>
      </c>
      <c r="W21" s="2189">
        <v>60361</v>
      </c>
      <c r="X21" s="2189">
        <v>41550</v>
      </c>
      <c r="Y21" s="2189">
        <v>73389</v>
      </c>
      <c r="Z21" s="2189">
        <v>84906</v>
      </c>
      <c r="AA21" s="1993">
        <v>69478</v>
      </c>
      <c r="AB21" s="270">
        <v>65976</v>
      </c>
      <c r="AC21" s="270">
        <v>59560</v>
      </c>
      <c r="AD21" s="270">
        <v>53922</v>
      </c>
      <c r="AE21" s="270">
        <v>45176</v>
      </c>
      <c r="AF21" s="270">
        <v>80746</v>
      </c>
      <c r="AG21" s="270">
        <v>41530</v>
      </c>
      <c r="AH21" s="270">
        <v>23224</v>
      </c>
      <c r="AI21" s="270">
        <v>33682</v>
      </c>
      <c r="AJ21" s="270">
        <v>38824</v>
      </c>
      <c r="AK21" s="270">
        <v>39615</v>
      </c>
      <c r="AM21" s="57">
        <f>SUM(G21:AK21)</f>
        <v>1487076</v>
      </c>
      <c r="AO21" s="2086" t="s">
        <v>1073</v>
      </c>
      <c r="AP21" s="2087">
        <f>17065034</f>
        <v>17065034</v>
      </c>
      <c r="AQ21" s="2086"/>
      <c r="AR21" s="2086" t="s">
        <v>1087</v>
      </c>
      <c r="AS21" s="2087">
        <v>390524</v>
      </c>
      <c r="AT21" s="2087">
        <f>AS21-AS7</f>
        <v>320226</v>
      </c>
      <c r="AU21" s="1" t="s">
        <v>1113</v>
      </c>
      <c r="BI21" s="141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716" t="s">
        <v>351</v>
      </c>
      <c r="E22" s="741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0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O22" s="2086" t="s">
        <v>1074</v>
      </c>
      <c r="AP22" s="2087">
        <v>748153</v>
      </c>
      <c r="AQ22" s="2086"/>
      <c r="AR22" s="2086" t="s">
        <v>1088</v>
      </c>
      <c r="AS22" s="2087">
        <f>AS20+AS21</f>
        <v>586517</v>
      </c>
      <c r="AT22" s="2087"/>
      <c r="AU22" s="1" t="s">
        <v>1112</v>
      </c>
      <c r="BI22" s="141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84</v>
      </c>
      <c r="E23" s="251"/>
      <c r="F23" s="12" t="s">
        <v>83</v>
      </c>
      <c r="G23" s="33"/>
      <c r="H23" s="33"/>
      <c r="I23" s="33"/>
      <c r="J23" s="33"/>
      <c r="K23" s="33"/>
      <c r="L23" s="33"/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1960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25</v>
      </c>
      <c r="AO23" s="2088"/>
      <c r="AP23" s="2087"/>
      <c r="AQ23" s="2086"/>
      <c r="AR23" s="2082" t="s">
        <v>1092</v>
      </c>
      <c r="AS23" s="2082">
        <v>435983</v>
      </c>
      <c r="AT23" s="2082" t="s">
        <v>1089</v>
      </c>
      <c r="AV23" s="2199"/>
    </row>
    <row r="24" spans="3:61 15030:15074" x14ac:dyDescent="0.25">
      <c r="C24" s="8"/>
      <c r="D24" s="945" t="s">
        <v>976</v>
      </c>
      <c r="E24" s="251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 t="s">
        <v>216</v>
      </c>
      <c r="M24" s="33">
        <v>0</v>
      </c>
      <c r="N24" s="33">
        <v>0</v>
      </c>
      <c r="O24" s="33">
        <v>0</v>
      </c>
      <c r="P24" s="33">
        <v>0</v>
      </c>
      <c r="Q24" s="33"/>
      <c r="R24" s="33">
        <v>0</v>
      </c>
      <c r="S24" s="1960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/>
      <c r="AJ24" s="33">
        <v>0</v>
      </c>
      <c r="AK24" s="33">
        <v>0</v>
      </c>
      <c r="AL24" s="3"/>
      <c r="AM24" s="54">
        <f>AM29/AM23</f>
        <v>1270534.24</v>
      </c>
      <c r="AO24" s="2086" t="s">
        <v>1075</v>
      </c>
      <c r="AP24" s="2089">
        <f>AP21/AP20*100</f>
        <v>95.800004794201058</v>
      </c>
      <c r="AQ24" s="2086"/>
      <c r="AR24" s="2082" t="s">
        <v>1091</v>
      </c>
      <c r="AS24" s="2083">
        <f>AS22-AS23</f>
        <v>150534</v>
      </c>
      <c r="AT24" s="2083"/>
    </row>
    <row r="25" spans="3:61 15030:15074" s="1" customFormat="1" x14ac:dyDescent="0.25">
      <c r="C25" s="15"/>
      <c r="D25" s="64" t="s">
        <v>948</v>
      </c>
      <c r="E25" s="234"/>
      <c r="F25" s="65" t="s">
        <v>14</v>
      </c>
      <c r="G25" s="270"/>
      <c r="H25" s="270"/>
      <c r="I25" s="270"/>
      <c r="J25" s="270"/>
      <c r="K25" s="270"/>
      <c r="L25" s="270"/>
      <c r="M25" s="270"/>
      <c r="N25" s="270">
        <f>511511+416468</f>
        <v>927979</v>
      </c>
      <c r="O25" s="270">
        <v>1330366</v>
      </c>
      <c r="P25" s="270">
        <v>1947000</v>
      </c>
      <c r="Q25" s="2141">
        <v>1579000</v>
      </c>
      <c r="R25" s="270">
        <v>1391000</v>
      </c>
      <c r="S25" s="1964">
        <v>1488800</v>
      </c>
      <c r="T25" s="270">
        <v>1812000</v>
      </c>
      <c r="U25" s="2190">
        <v>1512300</v>
      </c>
      <c r="V25" s="2190">
        <v>1574000</v>
      </c>
      <c r="W25" s="2190">
        <v>1396153</v>
      </c>
      <c r="X25" s="2190">
        <v>887000</v>
      </c>
      <c r="Y25" s="270">
        <v>1845120</v>
      </c>
      <c r="Z25" s="270">
        <v>1563000</v>
      </c>
      <c r="AA25" s="270">
        <v>1629100</v>
      </c>
      <c r="AB25" s="270">
        <v>1807900</v>
      </c>
      <c r="AC25" s="270">
        <v>1855000</v>
      </c>
      <c r="AD25" s="270">
        <v>1385000</v>
      </c>
      <c r="AE25" s="270">
        <v>940400</v>
      </c>
      <c r="AF25" s="270">
        <v>1771400</v>
      </c>
      <c r="AG25" s="270">
        <v>856700</v>
      </c>
      <c r="AH25" s="270">
        <v>702841</v>
      </c>
      <c r="AI25" s="270">
        <v>644515</v>
      </c>
      <c r="AJ25" s="270">
        <v>957300</v>
      </c>
      <c r="AK25" s="270">
        <v>971600</v>
      </c>
      <c r="AM25" s="57">
        <f>SUM(G25:AK25)</f>
        <v>32775474</v>
      </c>
      <c r="AO25" s="2090" t="s">
        <v>1076</v>
      </c>
      <c r="AP25" s="2089">
        <f>AP22/AP20*100</f>
        <v>4.19999520579894</v>
      </c>
      <c r="AQ25" s="2086"/>
      <c r="AR25" s="2082" t="s">
        <v>1090</v>
      </c>
      <c r="AS25" s="2083">
        <f>AS23+AS24</f>
        <v>586517</v>
      </c>
      <c r="AT25" s="2083"/>
      <c r="BI25" s="141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949</v>
      </c>
      <c r="E26" s="1731">
        <v>559</v>
      </c>
      <c r="F26" s="65" t="s">
        <v>951</v>
      </c>
      <c r="G26" s="270"/>
      <c r="H26" s="270"/>
      <c r="I26" s="270"/>
      <c r="J26" s="270"/>
      <c r="K26" s="270"/>
      <c r="L26" s="270"/>
      <c r="M26" s="270">
        <f>'Oip Fract .'!T13</f>
        <v>34831</v>
      </c>
      <c r="N26" s="270">
        <f>'Oip Fract .'!T14</f>
        <v>106130</v>
      </c>
      <c r="O26" s="270">
        <f>'Oip Fract .'!T15</f>
        <v>34893</v>
      </c>
      <c r="P26" s="270">
        <f>'Oip Fract .'!T16</f>
        <v>68629</v>
      </c>
      <c r="Q26" s="2141">
        <v>34876</v>
      </c>
      <c r="R26" s="270"/>
      <c r="S26" s="1964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M26" s="57"/>
      <c r="AO26" s="2086" t="s">
        <v>1077</v>
      </c>
      <c r="AP26" s="2087">
        <f>AP20-AP21-AP22</f>
        <v>0</v>
      </c>
      <c r="AQ26" s="2091"/>
      <c r="AR26" s="2086"/>
      <c r="AS26" s="2087"/>
      <c r="AT26" s="2087"/>
      <c r="BI26" s="141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950</v>
      </c>
      <c r="E27" s="1732">
        <v>559</v>
      </c>
      <c r="F27" s="65" t="s">
        <v>951</v>
      </c>
      <c r="G27" s="270"/>
      <c r="H27" s="270"/>
      <c r="I27" s="270"/>
      <c r="J27" s="270"/>
      <c r="K27" s="270"/>
      <c r="L27" s="270"/>
      <c r="M27" s="270">
        <f>'Oip Fract .'!V13</f>
        <v>33986</v>
      </c>
      <c r="N27" s="270">
        <f>'Oip Fract .'!V14</f>
        <v>33991</v>
      </c>
      <c r="O27" s="270">
        <f>'Oip Fract .'!V15</f>
        <v>34003</v>
      </c>
      <c r="P27" s="270">
        <f>'Oip Fract .'!V16</f>
        <v>40538</v>
      </c>
      <c r="Q27" s="2141">
        <v>59415</v>
      </c>
      <c r="R27" s="270"/>
      <c r="S27" s="1964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M27" s="57"/>
      <c r="AO27" s="2092"/>
      <c r="AP27" s="2087"/>
      <c r="AQ27" s="2086"/>
      <c r="AR27" s="2086"/>
      <c r="AS27" s="2086"/>
      <c r="AT27" s="2086"/>
      <c r="BI27" s="141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113</v>
      </c>
      <c r="E28" s="946"/>
      <c r="F28" s="69"/>
      <c r="G28" s="1756">
        <f t="shared" ref="G28:R28" si="9">G29/2500000</f>
        <v>0</v>
      </c>
      <c r="H28" s="1756">
        <f t="shared" si="9"/>
        <v>0</v>
      </c>
      <c r="I28" s="1756">
        <f t="shared" si="9"/>
        <v>0</v>
      </c>
      <c r="J28" s="1756">
        <f t="shared" si="9"/>
        <v>0</v>
      </c>
      <c r="K28" s="1756">
        <f t="shared" si="9"/>
        <v>0</v>
      </c>
      <c r="L28" s="1756">
        <f t="shared" si="9"/>
        <v>0</v>
      </c>
      <c r="M28" s="1756">
        <f t="shared" si="9"/>
        <v>8.3017199999999999E-2</v>
      </c>
      <c r="N28" s="1756">
        <f t="shared" si="9"/>
        <v>0.14748</v>
      </c>
      <c r="O28" s="1756">
        <f t="shared" si="9"/>
        <v>0.55719359999999996</v>
      </c>
      <c r="P28" s="1756">
        <f>P29/2500000</f>
        <v>0.63006119999999999</v>
      </c>
      <c r="Q28" s="1756">
        <f t="shared" si="9"/>
        <v>0.75126760000000004</v>
      </c>
      <c r="R28" s="1756">
        <f t="shared" si="9"/>
        <v>0.537018</v>
      </c>
      <c r="S28" s="1756">
        <f>S29/2500000</f>
        <v>0.60430240000000002</v>
      </c>
      <c r="T28" s="1756">
        <f>T29/2500000</f>
        <v>0.67468320000000004</v>
      </c>
      <c r="U28" s="1756">
        <f t="shared" ref="U28:V28" si="10">U29/2500000</f>
        <v>0.51835600000000004</v>
      </c>
      <c r="V28" s="1756">
        <f t="shared" si="10"/>
        <v>0.64109039999999995</v>
      </c>
      <c r="W28" s="1756">
        <f t="shared" ref="W28:AK28" si="11">W29/2500000</f>
        <v>0.60145959999999998</v>
      </c>
      <c r="X28" s="1756">
        <v>0</v>
      </c>
      <c r="Y28" s="1756">
        <f>Y29/2500000</f>
        <v>0.5871016</v>
      </c>
      <c r="Z28" s="1756">
        <f t="shared" ref="Z28" si="12">Z29/2500000</f>
        <v>0.48915360000000002</v>
      </c>
      <c r="AA28" s="1756">
        <f t="shared" si="11"/>
        <v>0.69584159999999995</v>
      </c>
      <c r="AB28" s="1756">
        <f>AB29/2500000</f>
        <v>0.73539080000000001</v>
      </c>
      <c r="AC28" s="1756">
        <v>0.52886</v>
      </c>
      <c r="AD28" s="1756">
        <f t="shared" si="11"/>
        <v>0.67972679999999996</v>
      </c>
      <c r="AE28" s="1756">
        <f t="shared" si="11"/>
        <v>0.42280800000000002</v>
      </c>
      <c r="AF28" s="1756">
        <f t="shared" si="11"/>
        <v>0.51652640000000005</v>
      </c>
      <c r="AG28" s="1756">
        <f t="shared" si="11"/>
        <v>0.40692479999999998</v>
      </c>
      <c r="AH28" s="1756">
        <f t="shared" si="11"/>
        <v>0.49962760000000001</v>
      </c>
      <c r="AI28" s="1756">
        <f t="shared" si="11"/>
        <v>0.17587</v>
      </c>
      <c r="AJ28" s="1756">
        <f t="shared" si="11"/>
        <v>0.25785799999999998</v>
      </c>
      <c r="AK28" s="1756">
        <f t="shared" si="11"/>
        <v>0.33782079999999998</v>
      </c>
      <c r="AL28" s="62"/>
      <c r="AM28" s="1792">
        <f>AM29/2500000/AM23</f>
        <v>0.50821369599999999</v>
      </c>
      <c r="AO28" s="2083" t="s">
        <v>1079</v>
      </c>
      <c r="AP28" s="2087"/>
      <c r="AQ28" s="2086"/>
      <c r="AR28" s="2086"/>
      <c r="AS28" s="2086"/>
      <c r="AT28" s="2091"/>
      <c r="BI28" s="141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353</v>
      </c>
      <c r="E29" s="740">
        <v>35501000</v>
      </c>
      <c r="F29" s="13" t="s">
        <v>14</v>
      </c>
      <c r="G29" s="33">
        <f>SUM(G32,G36,G41,G45,G55)</f>
        <v>0</v>
      </c>
      <c r="H29" s="33">
        <f>SUM(H32,H36,H41,H45,H55)</f>
        <v>0</v>
      </c>
      <c r="I29" s="33">
        <f>SUM(I32,I36,I41,I45,I55)</f>
        <v>0</v>
      </c>
      <c r="J29" s="33">
        <f>SUM(J32,J36,J41,J45,J55)</f>
        <v>0</v>
      </c>
      <c r="K29" s="33"/>
      <c r="L29" s="33">
        <f t="shared" ref="L29:AG29" si="13">SUM(L32,L36,L41,L45,L55)</f>
        <v>0</v>
      </c>
      <c r="M29" s="33">
        <f t="shared" si="13"/>
        <v>207543</v>
      </c>
      <c r="N29" s="33">
        <f>SUM(N32,N36,N41,N45,N55)</f>
        <v>368700</v>
      </c>
      <c r="O29" s="33">
        <f t="shared" si="13"/>
        <v>1392984</v>
      </c>
      <c r="P29" s="33">
        <f t="shared" si="13"/>
        <v>1575153</v>
      </c>
      <c r="Q29" s="33">
        <f t="shared" si="13"/>
        <v>1878169</v>
      </c>
      <c r="R29" s="33">
        <f t="shared" si="13"/>
        <v>1342545</v>
      </c>
      <c r="S29" s="33">
        <f>SUM(S32,S36,S41,S45,S55)</f>
        <v>1510756</v>
      </c>
      <c r="T29" s="33">
        <f>SUM(T32,T36,T41,T45,T55)</f>
        <v>1686708</v>
      </c>
      <c r="U29" s="33">
        <f>SUM(U32,U36,U41,U45,U55)</f>
        <v>1295890</v>
      </c>
      <c r="V29" s="33">
        <f>SUM(V32,V36,V41,V45,V55)</f>
        <v>1602726</v>
      </c>
      <c r="W29" s="33">
        <f t="shared" si="13"/>
        <v>1503649</v>
      </c>
      <c r="X29" s="33">
        <f>SUM(X32,X36,X41,X45,X55)</f>
        <v>1063220</v>
      </c>
      <c r="Y29" s="33">
        <f>SUM(Y32,Y36,Y41,Y45,Y55)</f>
        <v>1467754</v>
      </c>
      <c r="Z29" s="33">
        <f>SUM(Z32,Z36,Z41,Z45,Z55)</f>
        <v>1222884</v>
      </c>
      <c r="AA29" s="33">
        <f>SUM(AA32,AA36,AA41,AA45,AA55)</f>
        <v>1739604</v>
      </c>
      <c r="AB29" s="33">
        <f>SUM(AB32,AB36,AB41,AB45,AB55)</f>
        <v>1838477</v>
      </c>
      <c r="AC29" s="33">
        <f>AC46+AC47+AC56+AC57</f>
        <v>1823688</v>
      </c>
      <c r="AD29" s="33">
        <f>SUM(AD32,AD36,AD41,AD45,AD55)</f>
        <v>1699317</v>
      </c>
      <c r="AE29" s="33">
        <f>SUM(AE32,AE36,AE41,AE45,AE55)</f>
        <v>1057020</v>
      </c>
      <c r="AF29" s="33">
        <f>SUM(AF32,AF36,AF41,AF45,AF55)</f>
        <v>1291316</v>
      </c>
      <c r="AG29" s="33">
        <f t="shared" si="13"/>
        <v>1017312</v>
      </c>
      <c r="AH29" s="33">
        <f>SUM(AH32,AH36,AH41,AH45,AH55)</f>
        <v>1249069</v>
      </c>
      <c r="AI29" s="33">
        <f t="shared" ref="AI29:AK29" si="14">SUM(AI32,AI36,AI41,AI45,AI55)</f>
        <v>439675</v>
      </c>
      <c r="AJ29" s="33">
        <f t="shared" si="14"/>
        <v>644645</v>
      </c>
      <c r="AK29" s="33">
        <f t="shared" si="14"/>
        <v>844552</v>
      </c>
      <c r="AM29" s="54">
        <f>SUM(G29:AK29)</f>
        <v>31763356</v>
      </c>
      <c r="AN29" s="743"/>
      <c r="AO29" s="2090" t="s">
        <v>1080</v>
      </c>
      <c r="AP29" s="2087">
        <f>AP31+AP32</f>
        <v>17792608</v>
      </c>
      <c r="AQ29" s="2086"/>
      <c r="AR29" s="2086"/>
      <c r="AS29" s="2086"/>
      <c r="AT29" s="2087"/>
      <c r="BI29" s="142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352</v>
      </c>
      <c r="E30" s="742"/>
      <c r="F30" s="13" t="s">
        <v>14</v>
      </c>
      <c r="G30" s="33">
        <f>G25-G29</f>
        <v>0</v>
      </c>
      <c r="H30" s="33"/>
      <c r="I30" s="33">
        <f t="shared" ref="I30:AJ30" si="15">I25-I29</f>
        <v>0</v>
      </c>
      <c r="J30" s="33" t="e">
        <f>SUM(J33,J37,J42,J46,#REF!)</f>
        <v>#REF!</v>
      </c>
      <c r="K30" s="33">
        <v>68473</v>
      </c>
      <c r="L30" s="33">
        <f t="shared" si="15"/>
        <v>0</v>
      </c>
      <c r="M30" s="33">
        <f t="shared" si="15"/>
        <v>-207543</v>
      </c>
      <c r="N30" s="33">
        <f t="shared" si="15"/>
        <v>559279</v>
      </c>
      <c r="O30" s="33">
        <f>O25-O29</f>
        <v>-62618</v>
      </c>
      <c r="P30" s="33">
        <f t="shared" si="15"/>
        <v>371847</v>
      </c>
      <c r="Q30" s="33">
        <f t="shared" si="15"/>
        <v>-299169</v>
      </c>
      <c r="R30" s="33">
        <f t="shared" si="15"/>
        <v>48455</v>
      </c>
      <c r="S30" s="1960">
        <v>122463</v>
      </c>
      <c r="T30" s="33">
        <f t="shared" si="15"/>
        <v>125292</v>
      </c>
      <c r="U30" s="33">
        <f t="shared" si="15"/>
        <v>216410</v>
      </c>
      <c r="V30" s="33">
        <f t="shared" si="15"/>
        <v>-28726</v>
      </c>
      <c r="W30" s="33">
        <f t="shared" si="15"/>
        <v>-107496</v>
      </c>
      <c r="X30" s="33">
        <v>-255281</v>
      </c>
      <c r="Y30" s="33">
        <f t="shared" ref="Y30:Z30" si="16">Y25-Y29</f>
        <v>377366</v>
      </c>
      <c r="Z30" s="33">
        <f t="shared" si="16"/>
        <v>340116</v>
      </c>
      <c r="AA30" s="33">
        <f t="shared" si="15"/>
        <v>-110504</v>
      </c>
      <c r="AB30" s="33">
        <f t="shared" si="15"/>
        <v>-30577</v>
      </c>
      <c r="AC30" s="33">
        <v>390824</v>
      </c>
      <c r="AD30" s="33">
        <f t="shared" si="15"/>
        <v>-314317</v>
      </c>
      <c r="AE30" s="33">
        <f t="shared" si="15"/>
        <v>-116620</v>
      </c>
      <c r="AF30" s="33">
        <f t="shared" si="15"/>
        <v>480084</v>
      </c>
      <c r="AG30" s="33">
        <f t="shared" si="15"/>
        <v>-160612</v>
      </c>
      <c r="AH30" s="33">
        <f t="shared" si="15"/>
        <v>-546228</v>
      </c>
      <c r="AI30" s="33"/>
      <c r="AJ30" s="33">
        <f t="shared" si="15"/>
        <v>312655</v>
      </c>
      <c r="AK30" s="33">
        <f t="shared" ref="AK30" si="17">AK25-AK29</f>
        <v>127048</v>
      </c>
      <c r="AM30" s="54" t="e">
        <f>SUM(G30:AJ30)</f>
        <v>#REF!</v>
      </c>
      <c r="AO30" s="2086"/>
      <c r="AP30" s="2086"/>
      <c r="AQ30" s="2086"/>
      <c r="AR30" s="2086"/>
      <c r="AS30" s="2086"/>
      <c r="AT30" s="2086"/>
      <c r="BI30" s="142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30" t="s">
        <v>76</v>
      </c>
      <c r="E31" s="231"/>
      <c r="F31" s="232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63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O31" s="2090" t="s">
        <v>1081</v>
      </c>
      <c r="AP31" s="2087">
        <v>14624233</v>
      </c>
      <c r="AQ31" s="2086"/>
      <c r="AR31" s="2086"/>
      <c r="AS31" s="2086"/>
      <c r="AT31" s="2091"/>
    </row>
    <row r="32" spans="3:61 15030:15074" s="1" customFormat="1" x14ac:dyDescent="0.25">
      <c r="C32" s="15"/>
      <c r="D32" s="14" t="s">
        <v>75</v>
      </c>
      <c r="E32" s="255"/>
      <c r="F32" s="20" t="s">
        <v>14</v>
      </c>
      <c r="G32" s="33">
        <f>G33+G34</f>
        <v>0</v>
      </c>
      <c r="H32" s="33">
        <f>H33+H34</f>
        <v>0</v>
      </c>
      <c r="I32" s="33">
        <f t="shared" ref="I32:AJ32" si="18">I33+I34</f>
        <v>0</v>
      </c>
      <c r="J32" s="33">
        <f t="shared" si="18"/>
        <v>0</v>
      </c>
      <c r="K32" s="33">
        <v>0</v>
      </c>
      <c r="L32" s="33">
        <f t="shared" si="18"/>
        <v>0</v>
      </c>
      <c r="M32" s="33">
        <f t="shared" si="18"/>
        <v>207543</v>
      </c>
      <c r="N32" s="33">
        <f t="shared" si="18"/>
        <v>368700</v>
      </c>
      <c r="O32" s="33">
        <f t="shared" si="18"/>
        <v>1392984</v>
      </c>
      <c r="P32" s="33">
        <f t="shared" si="18"/>
        <v>1575153</v>
      </c>
      <c r="Q32" s="33">
        <f t="shared" si="18"/>
        <v>1878169</v>
      </c>
      <c r="R32" s="33">
        <f t="shared" si="18"/>
        <v>1342545</v>
      </c>
      <c r="S32" s="33">
        <f t="shared" si="18"/>
        <v>1510756</v>
      </c>
      <c r="T32" s="33">
        <f t="shared" si="18"/>
        <v>1686708</v>
      </c>
      <c r="U32" s="33">
        <f t="shared" si="18"/>
        <v>839193</v>
      </c>
      <c r="V32" s="33">
        <f t="shared" si="18"/>
        <v>0</v>
      </c>
      <c r="W32" s="33">
        <f t="shared" si="18"/>
        <v>0</v>
      </c>
      <c r="X32" s="33">
        <f t="shared" si="18"/>
        <v>358928</v>
      </c>
      <c r="Y32" s="33">
        <f>Y33+Y34</f>
        <v>0</v>
      </c>
      <c r="Z32" s="33">
        <f>Z33+Z34</f>
        <v>0</v>
      </c>
      <c r="AA32" s="33">
        <f t="shared" si="18"/>
        <v>0</v>
      </c>
      <c r="AB32" s="33">
        <f t="shared" si="18"/>
        <v>0</v>
      </c>
      <c r="AC32" s="33">
        <v>0</v>
      </c>
      <c r="AD32" s="33">
        <f t="shared" si="18"/>
        <v>0</v>
      </c>
      <c r="AE32" s="33">
        <f>AE33+AE34</f>
        <v>0</v>
      </c>
      <c r="AF32" s="33">
        <f t="shared" si="18"/>
        <v>1148549</v>
      </c>
      <c r="AG32" s="33">
        <f t="shared" si="18"/>
        <v>0</v>
      </c>
      <c r="AH32" s="33">
        <f t="shared" si="18"/>
        <v>0</v>
      </c>
      <c r="AI32" s="33"/>
      <c r="AJ32" s="33">
        <f t="shared" si="18"/>
        <v>0</v>
      </c>
      <c r="AK32" s="33">
        <f t="shared" ref="AK32" si="19">AK33+AK34</f>
        <v>0</v>
      </c>
      <c r="AM32" s="54">
        <f>SUM(G32:AK32)</f>
        <v>12309228</v>
      </c>
      <c r="AO32" s="2087" t="s">
        <v>1082</v>
      </c>
      <c r="AP32" s="2087">
        <v>3168375</v>
      </c>
      <c r="AQ32" s="2086"/>
      <c r="AR32" s="2086"/>
      <c r="AS32" s="2086"/>
      <c r="AT32" s="2087"/>
      <c r="BI32" s="142"/>
    </row>
    <row r="33" spans="1:15026" x14ac:dyDescent="0.25">
      <c r="C33" s="15"/>
      <c r="D33" s="64" t="s">
        <v>74</v>
      </c>
      <c r="E33" s="255">
        <v>25000000</v>
      </c>
      <c r="F33" s="65" t="s">
        <v>14</v>
      </c>
      <c r="G33" s="270">
        <v>0</v>
      </c>
      <c r="H33" s="270">
        <v>0</v>
      </c>
      <c r="I33" s="270">
        <v>0</v>
      </c>
      <c r="J33" s="270">
        <v>0</v>
      </c>
      <c r="K33" s="270">
        <v>0</v>
      </c>
      <c r="L33" s="270">
        <v>0</v>
      </c>
      <c r="M33" s="270">
        <v>173519</v>
      </c>
      <c r="N33" s="270">
        <v>272300</v>
      </c>
      <c r="O33" s="270">
        <v>1154926</v>
      </c>
      <c r="P33" s="270">
        <v>1255804</v>
      </c>
      <c r="Q33" s="2142">
        <v>1491769</v>
      </c>
      <c r="R33" s="270">
        <v>1088291</v>
      </c>
      <c r="S33" s="1964">
        <v>1240812</v>
      </c>
      <c r="T33" s="270">
        <v>1368328</v>
      </c>
      <c r="U33" s="2191">
        <v>700175</v>
      </c>
      <c r="V33" s="2191">
        <v>0</v>
      </c>
      <c r="W33" s="2191">
        <v>0</v>
      </c>
      <c r="X33" s="2191">
        <v>291544</v>
      </c>
      <c r="Y33" s="270"/>
      <c r="Z33" s="270">
        <v>0</v>
      </c>
      <c r="AA33" s="270">
        <v>0</v>
      </c>
      <c r="AB33" s="270">
        <v>0</v>
      </c>
      <c r="AC33" s="270">
        <v>0</v>
      </c>
      <c r="AD33" s="270">
        <v>0</v>
      </c>
      <c r="AE33" s="270">
        <v>0</v>
      </c>
      <c r="AF33" s="270">
        <v>857626</v>
      </c>
      <c r="AG33" s="270">
        <v>0</v>
      </c>
      <c r="AH33" s="270">
        <v>0</v>
      </c>
      <c r="AI33" s="270">
        <v>0</v>
      </c>
      <c r="AJ33" s="270">
        <v>0</v>
      </c>
      <c r="AK33" s="270">
        <v>0</v>
      </c>
      <c r="AM33" s="57">
        <f>SUM(G33:AK33)</f>
        <v>9895094</v>
      </c>
      <c r="AO33" s="2087" t="s">
        <v>1083</v>
      </c>
      <c r="AP33" s="2087">
        <f>AP31/(AP31+AP32)*100</f>
        <v>82.192745436756653</v>
      </c>
      <c r="AQ33" s="2086"/>
      <c r="AR33" s="2086"/>
      <c r="AS33" s="2086"/>
      <c r="AT33" s="2087"/>
    </row>
    <row r="34" spans="1:15026" x14ac:dyDescent="0.25">
      <c r="C34" s="15"/>
      <c r="D34" s="64" t="s">
        <v>73</v>
      </c>
      <c r="E34" s="255">
        <v>639000</v>
      </c>
      <c r="F34" s="65" t="s">
        <v>14</v>
      </c>
      <c r="G34" s="271">
        <v>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1">
        <v>34024</v>
      </c>
      <c r="N34" s="271">
        <v>96400</v>
      </c>
      <c r="O34" s="271">
        <v>238058</v>
      </c>
      <c r="P34" s="270">
        <v>319349</v>
      </c>
      <c r="Q34" s="2143">
        <v>386400</v>
      </c>
      <c r="R34" s="271">
        <v>254254</v>
      </c>
      <c r="S34" s="1965">
        <v>269944</v>
      </c>
      <c r="T34" s="271">
        <v>318380</v>
      </c>
      <c r="U34" s="2192">
        <v>139018</v>
      </c>
      <c r="V34" s="2192">
        <v>0</v>
      </c>
      <c r="W34" s="2192">
        <v>0</v>
      </c>
      <c r="X34" s="2192">
        <v>67384</v>
      </c>
      <c r="Y34" s="271"/>
      <c r="Z34" s="271">
        <v>0</v>
      </c>
      <c r="AA34" s="271">
        <v>0</v>
      </c>
      <c r="AB34" s="271">
        <v>0</v>
      </c>
      <c r="AC34" s="271">
        <v>0</v>
      </c>
      <c r="AD34" s="271">
        <v>0</v>
      </c>
      <c r="AE34" s="271">
        <v>0</v>
      </c>
      <c r="AF34" s="271">
        <v>290923</v>
      </c>
      <c r="AG34" s="271">
        <v>0</v>
      </c>
      <c r="AH34" s="271">
        <v>0</v>
      </c>
      <c r="AI34" s="271">
        <v>0</v>
      </c>
      <c r="AJ34" s="271">
        <v>0</v>
      </c>
      <c r="AK34" s="271">
        <v>0</v>
      </c>
      <c r="AM34" s="57">
        <f>SUM(G34:AK34)</f>
        <v>2414134</v>
      </c>
      <c r="AO34" s="2087" t="s">
        <v>1084</v>
      </c>
      <c r="AP34" s="2093">
        <f>AP32/(AP31+AP32)*100</f>
        <v>17.807254563243344</v>
      </c>
      <c r="AQ34" s="2086"/>
      <c r="AR34" s="2086"/>
      <c r="AS34" s="2086"/>
      <c r="AT34" s="2087"/>
      <c r="AU34" s="3">
        <f>AM34+AM47</f>
        <v>8169423</v>
      </c>
    </row>
    <row r="35" spans="1:15026" s="70" customFormat="1" ht="15" hidden="1" customHeight="1" x14ac:dyDescent="0.25">
      <c r="A35" s="62"/>
      <c r="B35" s="62"/>
      <c r="C35" s="68"/>
      <c r="D35" s="230" t="s">
        <v>104</v>
      </c>
      <c r="E35" s="305"/>
      <c r="F35" s="9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1966"/>
      <c r="T35" s="272"/>
      <c r="U35" s="272"/>
      <c r="V35" s="272"/>
      <c r="W35" s="272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272"/>
      <c r="AL35" s="62"/>
      <c r="AM35" s="66" t="s">
        <v>106</v>
      </c>
      <c r="AN35" s="62"/>
      <c r="AO35" s="2086"/>
      <c r="AP35" s="2086"/>
      <c r="AQ35" s="2086"/>
      <c r="AR35" s="2086"/>
      <c r="AS35" s="2086"/>
      <c r="AT35" s="2086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143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5"/>
      <c r="F36" s="20" t="s">
        <v>14</v>
      </c>
      <c r="G36" s="33">
        <f>G37+G38</f>
        <v>0</v>
      </c>
      <c r="H36" s="33">
        <f>H37+H38</f>
        <v>0</v>
      </c>
      <c r="I36" s="33">
        <f t="shared" ref="I36:AJ36" si="20">I37+I38</f>
        <v>0</v>
      </c>
      <c r="J36" s="33">
        <f t="shared" si="20"/>
        <v>0</v>
      </c>
      <c r="K36" s="33">
        <v>0</v>
      </c>
      <c r="L36" s="33">
        <f t="shared" si="20"/>
        <v>0</v>
      </c>
      <c r="M36" s="33">
        <f t="shared" si="20"/>
        <v>0</v>
      </c>
      <c r="N36" s="33">
        <f t="shared" si="20"/>
        <v>0</v>
      </c>
      <c r="O36" s="33">
        <f t="shared" si="20"/>
        <v>0</v>
      </c>
      <c r="P36" s="33">
        <f t="shared" si="20"/>
        <v>0</v>
      </c>
      <c r="Q36" s="33">
        <f t="shared" si="20"/>
        <v>0</v>
      </c>
      <c r="R36" s="33">
        <f t="shared" si="20"/>
        <v>0</v>
      </c>
      <c r="S36" s="1960">
        <v>0</v>
      </c>
      <c r="T36" s="33">
        <f t="shared" si="20"/>
        <v>0</v>
      </c>
      <c r="U36" s="33">
        <f t="shared" si="20"/>
        <v>0</v>
      </c>
      <c r="V36" s="33">
        <f t="shared" si="20"/>
        <v>0</v>
      </c>
      <c r="W36" s="33">
        <f t="shared" si="20"/>
        <v>0</v>
      </c>
      <c r="X36" s="33">
        <v>0</v>
      </c>
      <c r="Y36" s="33"/>
      <c r="Z36" s="33"/>
      <c r="AA36" s="33">
        <f t="shared" si="20"/>
        <v>0</v>
      </c>
      <c r="AB36" s="33">
        <f t="shared" si="20"/>
        <v>0</v>
      </c>
      <c r="AC36" s="33">
        <v>0</v>
      </c>
      <c r="AD36" s="33">
        <f t="shared" si="20"/>
        <v>0</v>
      </c>
      <c r="AE36" s="33">
        <f t="shared" si="20"/>
        <v>0</v>
      </c>
      <c r="AF36" s="33">
        <f t="shared" si="20"/>
        <v>0</v>
      </c>
      <c r="AG36" s="33">
        <f t="shared" si="20"/>
        <v>0</v>
      </c>
      <c r="AH36" s="33">
        <f t="shared" si="20"/>
        <v>0</v>
      </c>
      <c r="AI36" s="33"/>
      <c r="AJ36" s="33">
        <f t="shared" si="20"/>
        <v>0</v>
      </c>
      <c r="AK36" s="33">
        <f t="shared" ref="AK36" si="21">AK37+AK38</f>
        <v>0</v>
      </c>
      <c r="AM36" s="54">
        <f>SUM(G36:AJ36)</f>
        <v>0</v>
      </c>
      <c r="AO36" s="2086"/>
      <c r="AP36" s="2086"/>
      <c r="AQ36" s="2086"/>
      <c r="AR36" s="2086"/>
      <c r="AS36" s="2086"/>
      <c r="AT36" s="2086"/>
    </row>
    <row r="37" spans="1:15026" ht="15" hidden="1" customHeight="1" x14ac:dyDescent="0.25">
      <c r="C37" s="15"/>
      <c r="D37" s="64" t="s">
        <v>105</v>
      </c>
      <c r="E37" s="255"/>
      <c r="F37" s="65" t="s">
        <v>14</v>
      </c>
      <c r="G37" s="270">
        <v>0</v>
      </c>
      <c r="H37" s="270">
        <v>0</v>
      </c>
      <c r="I37" s="270">
        <v>0</v>
      </c>
      <c r="J37" s="270">
        <v>0</v>
      </c>
      <c r="K37" s="270">
        <v>0</v>
      </c>
      <c r="L37" s="270">
        <v>0</v>
      </c>
      <c r="M37" s="270">
        <v>0</v>
      </c>
      <c r="N37" s="270">
        <v>0</v>
      </c>
      <c r="O37" s="270">
        <v>0</v>
      </c>
      <c r="P37" s="270">
        <v>0</v>
      </c>
      <c r="Q37" s="270">
        <v>0</v>
      </c>
      <c r="R37" s="270">
        <v>0</v>
      </c>
      <c r="S37" s="1964">
        <v>0</v>
      </c>
      <c r="T37" s="270">
        <v>0</v>
      </c>
      <c r="U37" s="270">
        <v>0</v>
      </c>
      <c r="V37" s="270">
        <v>0</v>
      </c>
      <c r="W37" s="270">
        <v>0</v>
      </c>
      <c r="X37" s="270">
        <v>0</v>
      </c>
      <c r="Y37" s="270"/>
      <c r="Z37" s="270"/>
      <c r="AA37" s="270">
        <v>0</v>
      </c>
      <c r="AB37" s="270">
        <v>0</v>
      </c>
      <c r="AC37" s="270">
        <v>0</v>
      </c>
      <c r="AD37" s="270">
        <v>0</v>
      </c>
      <c r="AE37" s="270">
        <v>0</v>
      </c>
      <c r="AF37" s="270">
        <v>0</v>
      </c>
      <c r="AG37" s="270">
        <v>0</v>
      </c>
      <c r="AH37" s="270"/>
      <c r="AI37" s="270"/>
      <c r="AJ37" s="270"/>
      <c r="AK37" s="270"/>
      <c r="AM37" s="57">
        <f>SUM(G37:AJ37)</f>
        <v>0</v>
      </c>
      <c r="AO37" s="2086"/>
      <c r="AP37" s="2086"/>
      <c r="AQ37" s="2086"/>
      <c r="AR37" s="2086"/>
      <c r="AS37" s="2086"/>
      <c r="AT37" s="2086"/>
    </row>
    <row r="38" spans="1:15026" ht="15" hidden="1" customHeight="1" x14ac:dyDescent="0.25">
      <c r="C38" s="15"/>
      <c r="D38" s="64" t="s">
        <v>73</v>
      </c>
      <c r="E38" s="255"/>
      <c r="F38" s="65" t="s">
        <v>14</v>
      </c>
      <c r="G38" s="270">
        <v>0</v>
      </c>
      <c r="H38" s="270">
        <v>0</v>
      </c>
      <c r="I38" s="270">
        <v>0</v>
      </c>
      <c r="J38" s="270">
        <v>0</v>
      </c>
      <c r="K38" s="270">
        <v>0</v>
      </c>
      <c r="L38" s="270">
        <v>0</v>
      </c>
      <c r="M38" s="270">
        <v>0</v>
      </c>
      <c r="N38" s="270">
        <v>0</v>
      </c>
      <c r="O38" s="270">
        <v>0</v>
      </c>
      <c r="P38" s="270">
        <v>0</v>
      </c>
      <c r="Q38" s="270">
        <v>0</v>
      </c>
      <c r="R38" s="270">
        <v>0</v>
      </c>
      <c r="S38" s="1964">
        <v>0</v>
      </c>
      <c r="T38" s="270">
        <v>0</v>
      </c>
      <c r="U38" s="270">
        <v>0</v>
      </c>
      <c r="V38" s="270">
        <v>0</v>
      </c>
      <c r="W38" s="270">
        <v>0</v>
      </c>
      <c r="X38" s="270">
        <v>0</v>
      </c>
      <c r="Y38" s="270"/>
      <c r="Z38" s="270"/>
      <c r="AA38" s="270">
        <v>0</v>
      </c>
      <c r="AB38" s="270">
        <v>0</v>
      </c>
      <c r="AC38" s="270">
        <v>0</v>
      </c>
      <c r="AD38" s="270">
        <v>0</v>
      </c>
      <c r="AE38" s="270">
        <v>0</v>
      </c>
      <c r="AF38" s="270">
        <v>0</v>
      </c>
      <c r="AG38" s="270">
        <v>0</v>
      </c>
      <c r="AH38" s="270"/>
      <c r="AI38" s="270"/>
      <c r="AJ38" s="270"/>
      <c r="AK38" s="270"/>
      <c r="AM38" s="57">
        <f>SUM(G38:AJ38)</f>
        <v>0</v>
      </c>
      <c r="AO38" s="2086"/>
      <c r="AP38" s="2086"/>
      <c r="AQ38" s="2086"/>
      <c r="AR38" s="2086"/>
      <c r="AS38" s="2086"/>
      <c r="AT38" s="2086"/>
    </row>
    <row r="39" spans="1:15026" ht="15" hidden="1" customHeight="1" x14ac:dyDescent="0.25">
      <c r="C39" s="15"/>
      <c r="D39" s="230" t="s">
        <v>107</v>
      </c>
      <c r="E39" s="233"/>
      <c r="F39" s="232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63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M39" s="66" t="s">
        <v>108</v>
      </c>
      <c r="AO39" s="2086"/>
      <c r="AP39" s="2086"/>
      <c r="AQ39" s="2086"/>
      <c r="AR39" s="2086"/>
      <c r="AS39" s="2086"/>
      <c r="AT39" s="2086"/>
    </row>
    <row r="40" spans="1:15026" s="73" customFormat="1" ht="15" hidden="1" customHeight="1" x14ac:dyDescent="0.2">
      <c r="A40" s="16"/>
      <c r="B40" s="16"/>
      <c r="C40" s="17"/>
      <c r="D40" s="11" t="s">
        <v>71</v>
      </c>
      <c r="E40" s="256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60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16"/>
      <c r="AM40" s="54">
        <f>SUM(G40:AJ40)</f>
        <v>0</v>
      </c>
      <c r="AN40" s="16"/>
      <c r="AO40" s="2094"/>
      <c r="AP40" s="2094"/>
      <c r="AQ40" s="2094"/>
      <c r="AR40" s="2094"/>
      <c r="AS40" s="2094"/>
      <c r="AT40" s="2094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44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5"/>
      <c r="F41" s="20" t="s">
        <v>14</v>
      </c>
      <c r="G41" s="33">
        <f>G42+G43</f>
        <v>0</v>
      </c>
      <c r="H41" s="33">
        <f>H42+H43</f>
        <v>0</v>
      </c>
      <c r="I41" s="33">
        <f t="shared" ref="I41:AJ41" si="22">I42+I43</f>
        <v>0</v>
      </c>
      <c r="J41" s="33">
        <f t="shared" si="22"/>
        <v>0</v>
      </c>
      <c r="K41" s="33">
        <v>0</v>
      </c>
      <c r="L41" s="33">
        <f t="shared" si="22"/>
        <v>0</v>
      </c>
      <c r="M41" s="33">
        <f t="shared" si="22"/>
        <v>0</v>
      </c>
      <c r="N41" s="33">
        <f t="shared" si="22"/>
        <v>0</v>
      </c>
      <c r="O41" s="33">
        <f t="shared" si="22"/>
        <v>0</v>
      </c>
      <c r="P41" s="33">
        <f t="shared" si="22"/>
        <v>0</v>
      </c>
      <c r="Q41" s="33">
        <f t="shared" si="22"/>
        <v>0</v>
      </c>
      <c r="R41" s="33">
        <f t="shared" si="22"/>
        <v>0</v>
      </c>
      <c r="S41" s="1960">
        <v>0</v>
      </c>
      <c r="T41" s="33">
        <f t="shared" si="22"/>
        <v>0</v>
      </c>
      <c r="U41" s="33">
        <f t="shared" si="22"/>
        <v>0</v>
      </c>
      <c r="V41" s="33">
        <f t="shared" si="22"/>
        <v>0</v>
      </c>
      <c r="W41" s="33">
        <f t="shared" si="22"/>
        <v>0</v>
      </c>
      <c r="X41" s="33">
        <v>0</v>
      </c>
      <c r="Y41" s="33"/>
      <c r="Z41" s="33"/>
      <c r="AA41" s="33">
        <f t="shared" si="22"/>
        <v>0</v>
      </c>
      <c r="AB41" s="33">
        <f t="shared" si="22"/>
        <v>0</v>
      </c>
      <c r="AC41" s="33">
        <v>0</v>
      </c>
      <c r="AD41" s="33">
        <f t="shared" si="22"/>
        <v>0</v>
      </c>
      <c r="AE41" s="33">
        <f t="shared" si="22"/>
        <v>0</v>
      </c>
      <c r="AF41" s="33">
        <f t="shared" si="22"/>
        <v>0</v>
      </c>
      <c r="AG41" s="33">
        <f t="shared" si="22"/>
        <v>0</v>
      </c>
      <c r="AH41" s="33">
        <f t="shared" si="22"/>
        <v>0</v>
      </c>
      <c r="AI41" s="33"/>
      <c r="AJ41" s="33">
        <f t="shared" si="22"/>
        <v>0</v>
      </c>
      <c r="AK41" s="33">
        <f t="shared" ref="AK41" si="23">AK42+AK43</f>
        <v>0</v>
      </c>
      <c r="AM41" s="54">
        <f>SUM(G41:AJ41)</f>
        <v>0</v>
      </c>
      <c r="AO41" s="2086"/>
      <c r="AP41" s="2086"/>
      <c r="AQ41" s="2086"/>
      <c r="AR41" s="2086"/>
      <c r="AS41" s="2086"/>
      <c r="AT41" s="2086"/>
      <c r="BI41" s="142"/>
    </row>
    <row r="42" spans="1:15026" s="1" customFormat="1" ht="15" hidden="1" customHeight="1" x14ac:dyDescent="0.25">
      <c r="C42" s="15"/>
      <c r="D42" s="64" t="s">
        <v>109</v>
      </c>
      <c r="E42" s="255"/>
      <c r="F42" s="65" t="s">
        <v>14</v>
      </c>
      <c r="G42" s="270">
        <v>0</v>
      </c>
      <c r="H42" s="270">
        <v>0</v>
      </c>
      <c r="I42" s="270">
        <v>0</v>
      </c>
      <c r="J42" s="270">
        <v>0</v>
      </c>
      <c r="K42" s="270">
        <v>0</v>
      </c>
      <c r="L42" s="270">
        <v>0</v>
      </c>
      <c r="M42" s="270">
        <v>0</v>
      </c>
      <c r="N42" s="270">
        <v>0</v>
      </c>
      <c r="O42" s="270">
        <v>0</v>
      </c>
      <c r="P42" s="270">
        <v>0</v>
      </c>
      <c r="Q42" s="270">
        <v>0</v>
      </c>
      <c r="R42" s="270">
        <v>0</v>
      </c>
      <c r="S42" s="1964">
        <v>0</v>
      </c>
      <c r="T42" s="270">
        <v>0</v>
      </c>
      <c r="U42" s="270">
        <v>0</v>
      </c>
      <c r="V42" s="270">
        <v>0</v>
      </c>
      <c r="W42" s="270">
        <v>0</v>
      </c>
      <c r="X42" s="270">
        <v>0</v>
      </c>
      <c r="Y42" s="270"/>
      <c r="Z42" s="270"/>
      <c r="AA42" s="270">
        <v>0</v>
      </c>
      <c r="AB42" s="270">
        <v>0</v>
      </c>
      <c r="AC42" s="270">
        <v>0</v>
      </c>
      <c r="AD42" s="270">
        <v>0</v>
      </c>
      <c r="AE42" s="270">
        <v>0</v>
      </c>
      <c r="AF42" s="270">
        <v>0</v>
      </c>
      <c r="AG42" s="270">
        <v>0</v>
      </c>
      <c r="AH42" s="270"/>
      <c r="AI42" s="270"/>
      <c r="AJ42" s="270"/>
      <c r="AK42" s="270"/>
      <c r="AM42" s="57">
        <f>SUM(G42:AJ42)</f>
        <v>0</v>
      </c>
      <c r="AO42" s="2086"/>
      <c r="AP42" s="2086"/>
      <c r="AQ42" s="2086"/>
      <c r="AR42" s="2086"/>
      <c r="AS42" s="2086"/>
      <c r="AT42" s="2086"/>
      <c r="BI42" s="142"/>
    </row>
    <row r="43" spans="1:15026" s="1" customFormat="1" ht="15" hidden="1" customHeight="1" x14ac:dyDescent="0.25">
      <c r="C43" s="15"/>
      <c r="D43" s="55" t="s">
        <v>73</v>
      </c>
      <c r="E43" s="255"/>
      <c r="F43" s="65" t="s">
        <v>14</v>
      </c>
      <c r="G43" s="271">
        <v>0</v>
      </c>
      <c r="H43" s="271">
        <v>0</v>
      </c>
      <c r="I43" s="271">
        <v>0</v>
      </c>
      <c r="J43" s="271">
        <v>0</v>
      </c>
      <c r="K43" s="271">
        <v>0</v>
      </c>
      <c r="L43" s="271">
        <v>0</v>
      </c>
      <c r="M43" s="271">
        <v>0</v>
      </c>
      <c r="N43" s="271">
        <v>0</v>
      </c>
      <c r="O43" s="271">
        <v>0</v>
      </c>
      <c r="P43" s="271">
        <v>0</v>
      </c>
      <c r="Q43" s="271">
        <v>0</v>
      </c>
      <c r="R43" s="271">
        <v>0</v>
      </c>
      <c r="S43" s="1965">
        <v>0</v>
      </c>
      <c r="T43" s="271">
        <v>0</v>
      </c>
      <c r="U43" s="271">
        <v>0</v>
      </c>
      <c r="V43" s="271">
        <v>0</v>
      </c>
      <c r="W43" s="271">
        <v>0</v>
      </c>
      <c r="X43" s="271">
        <v>0</v>
      </c>
      <c r="Y43" s="271"/>
      <c r="Z43" s="271"/>
      <c r="AA43" s="271">
        <v>0</v>
      </c>
      <c r="AB43" s="271">
        <v>0</v>
      </c>
      <c r="AC43" s="271">
        <v>0</v>
      </c>
      <c r="AD43" s="271">
        <v>0</v>
      </c>
      <c r="AE43" s="271">
        <v>0</v>
      </c>
      <c r="AF43" s="271">
        <v>0</v>
      </c>
      <c r="AG43" s="271">
        <v>0</v>
      </c>
      <c r="AH43" s="271"/>
      <c r="AI43" s="271"/>
      <c r="AJ43" s="271"/>
      <c r="AK43" s="271"/>
      <c r="AM43" s="57">
        <f>SUM(G43:AJ43)</f>
        <v>0</v>
      </c>
      <c r="AO43" s="2086"/>
      <c r="AP43" s="2086"/>
      <c r="AQ43" s="2086"/>
      <c r="AR43" s="2086"/>
      <c r="AS43" s="2086"/>
      <c r="AT43" s="2086"/>
      <c r="BI43" s="142"/>
    </row>
    <row r="44" spans="1:15026" s="70" customFormat="1" x14ac:dyDescent="0.25">
      <c r="A44" s="62"/>
      <c r="B44" s="62"/>
      <c r="C44" s="68"/>
      <c r="D44" s="230" t="s">
        <v>110</v>
      </c>
      <c r="E44" s="305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63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62"/>
      <c r="AM44" s="66" t="s">
        <v>111</v>
      </c>
      <c r="AN44" s="62"/>
      <c r="AO44" s="2086"/>
      <c r="AP44" s="2086"/>
      <c r="AQ44" s="2086"/>
      <c r="AR44" s="2086"/>
      <c r="AS44" s="2086"/>
      <c r="AT44" s="2086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143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9">
        <v>17143</v>
      </c>
      <c r="F45" s="20" t="s">
        <v>14</v>
      </c>
      <c r="G45" s="33">
        <f>G46+G47</f>
        <v>0</v>
      </c>
      <c r="H45" s="33">
        <f t="shared" ref="H45:AJ45" si="24">H46+H47</f>
        <v>0</v>
      </c>
      <c r="I45" s="33">
        <f t="shared" si="24"/>
        <v>0</v>
      </c>
      <c r="J45" s="33">
        <f t="shared" si="24"/>
        <v>0</v>
      </c>
      <c r="K45" s="33"/>
      <c r="L45" s="33">
        <f t="shared" si="24"/>
        <v>0</v>
      </c>
      <c r="M45" s="33">
        <f t="shared" si="24"/>
        <v>0</v>
      </c>
      <c r="N45" s="33">
        <f>N46+N47</f>
        <v>0</v>
      </c>
      <c r="O45" s="33">
        <f t="shared" si="24"/>
        <v>0</v>
      </c>
      <c r="P45" s="33"/>
      <c r="Q45" s="33">
        <f t="shared" si="24"/>
        <v>0</v>
      </c>
      <c r="R45" s="33">
        <f t="shared" si="24"/>
        <v>0</v>
      </c>
      <c r="S45" s="1960"/>
      <c r="T45" s="33">
        <f>T46+T47</f>
        <v>0</v>
      </c>
      <c r="U45" s="33">
        <f t="shared" ref="U45:V45" si="25">U46+U47</f>
        <v>456697</v>
      </c>
      <c r="V45" s="33">
        <f t="shared" si="25"/>
        <v>1602726</v>
      </c>
      <c r="W45" s="33">
        <f t="shared" si="24"/>
        <v>1503649</v>
      </c>
      <c r="X45" s="33">
        <f t="shared" si="24"/>
        <v>704292</v>
      </c>
      <c r="Y45" s="33">
        <f t="shared" ref="Y45:Z45" si="26">Y46+Y47</f>
        <v>1467754</v>
      </c>
      <c r="Z45" s="33">
        <f t="shared" si="26"/>
        <v>1222884</v>
      </c>
      <c r="AA45" s="33">
        <f t="shared" si="24"/>
        <v>1739604</v>
      </c>
      <c r="AB45" s="33">
        <f t="shared" si="24"/>
        <v>1838477</v>
      </c>
      <c r="AC45" s="33">
        <f t="shared" si="24"/>
        <v>1823688</v>
      </c>
      <c r="AD45" s="33">
        <f>AD46+AD47</f>
        <v>1699317</v>
      </c>
      <c r="AE45" s="33">
        <f t="shared" si="24"/>
        <v>1057020</v>
      </c>
      <c r="AF45" s="33">
        <f t="shared" si="24"/>
        <v>142767</v>
      </c>
      <c r="AG45" s="33">
        <f t="shared" si="24"/>
        <v>1017312</v>
      </c>
      <c r="AH45" s="33">
        <f t="shared" si="24"/>
        <v>1249069</v>
      </c>
      <c r="AI45" s="33">
        <f t="shared" si="24"/>
        <v>439675</v>
      </c>
      <c r="AJ45" s="33">
        <f t="shared" si="24"/>
        <v>644645</v>
      </c>
      <c r="AK45" s="33">
        <f t="shared" ref="AK45" si="27">AK46+AK47</f>
        <v>844552</v>
      </c>
      <c r="AM45" s="54">
        <f>SUM(G45:AK45)</f>
        <v>19454128</v>
      </c>
      <c r="AO45" s="2086"/>
      <c r="AP45" s="2086"/>
      <c r="AQ45" s="2086"/>
      <c r="AR45" s="2086"/>
      <c r="AS45" s="2086"/>
      <c r="AT45" s="2086"/>
    </row>
    <row r="46" spans="1:15026" x14ac:dyDescent="0.25">
      <c r="C46" s="15"/>
      <c r="D46" s="64" t="s">
        <v>112</v>
      </c>
      <c r="E46" s="67">
        <v>12000000</v>
      </c>
      <c r="F46" s="65" t="s">
        <v>14</v>
      </c>
      <c r="G46" s="270"/>
      <c r="H46" s="270"/>
      <c r="I46" s="270"/>
      <c r="J46" s="270">
        <f t="shared" ref="J46:M46" si="28">K46-L46</f>
        <v>0</v>
      </c>
      <c r="K46" s="270">
        <f t="shared" si="28"/>
        <v>0</v>
      </c>
      <c r="L46" s="270">
        <f t="shared" si="28"/>
        <v>0</v>
      </c>
      <c r="M46" s="270">
        <f t="shared" si="28"/>
        <v>0</v>
      </c>
      <c r="N46" s="270">
        <f>O46-P46</f>
        <v>0</v>
      </c>
      <c r="O46" s="270">
        <f>P46-Q46</f>
        <v>0</v>
      </c>
      <c r="P46" s="270"/>
      <c r="Q46" s="270">
        <v>0</v>
      </c>
      <c r="R46" s="270">
        <v>0</v>
      </c>
      <c r="S46" s="1964"/>
      <c r="T46" s="270"/>
      <c r="U46" s="270">
        <v>321197</v>
      </c>
      <c r="V46" s="270">
        <v>1130154</v>
      </c>
      <c r="W46" s="270">
        <v>1049139</v>
      </c>
      <c r="X46" s="270">
        <v>472528</v>
      </c>
      <c r="Y46" s="270">
        <v>820020</v>
      </c>
      <c r="Z46" s="270">
        <v>1072373</v>
      </c>
      <c r="AA46" s="270">
        <v>1210695</v>
      </c>
      <c r="AB46" s="270">
        <v>1358710</v>
      </c>
      <c r="AC46" s="270">
        <v>1300843</v>
      </c>
      <c r="AD46" s="270">
        <v>1207275</v>
      </c>
      <c r="AE46" s="270">
        <v>699420</v>
      </c>
      <c r="AF46" s="270">
        <v>100542</v>
      </c>
      <c r="AG46" s="270">
        <v>695438</v>
      </c>
      <c r="AH46" s="270">
        <v>894643</v>
      </c>
      <c r="AI46" s="270">
        <v>319620</v>
      </c>
      <c r="AJ46" s="270">
        <v>455900</v>
      </c>
      <c r="AK46" s="270">
        <v>590342</v>
      </c>
      <c r="AM46" s="57">
        <f>SUM(G46:AK46)</f>
        <v>13698839</v>
      </c>
      <c r="AO46" s="2086"/>
      <c r="AP46" s="2087"/>
      <c r="AQ46" s="2086"/>
      <c r="AR46" s="2086"/>
      <c r="AS46" s="2086"/>
      <c r="AT46" s="2086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71"/>
      <c r="H47" s="271"/>
      <c r="I47" s="271"/>
      <c r="J47" s="270">
        <f t="shared" ref="J47" si="29">K47-L47</f>
        <v>0</v>
      </c>
      <c r="K47" s="270">
        <f t="shared" ref="K47" si="30">L47-M47</f>
        <v>0</v>
      </c>
      <c r="L47" s="270">
        <f t="shared" ref="L47" si="31">M47-N47</f>
        <v>0</v>
      </c>
      <c r="M47" s="270">
        <f t="shared" ref="M47" si="32">N47-O47</f>
        <v>0</v>
      </c>
      <c r="N47" s="270">
        <f>O47-P47</f>
        <v>0</v>
      </c>
      <c r="O47" s="270">
        <f>P47-Q47</f>
        <v>0</v>
      </c>
      <c r="P47" s="271"/>
      <c r="Q47" s="271">
        <v>0</v>
      </c>
      <c r="R47" s="271">
        <v>0</v>
      </c>
      <c r="S47" s="1965"/>
      <c r="T47" s="271"/>
      <c r="U47" s="271">
        <v>135500</v>
      </c>
      <c r="V47" s="271">
        <v>472572</v>
      </c>
      <c r="W47" s="271">
        <v>454510</v>
      </c>
      <c r="X47" s="271">
        <v>231764</v>
      </c>
      <c r="Y47" s="271">
        <f>269344+378390</f>
        <v>647734</v>
      </c>
      <c r="Z47" s="271">
        <v>150511</v>
      </c>
      <c r="AA47" s="271">
        <v>528909</v>
      </c>
      <c r="AB47" s="271">
        <v>479767</v>
      </c>
      <c r="AC47" s="271">
        <v>522845</v>
      </c>
      <c r="AD47" s="271">
        <v>492042</v>
      </c>
      <c r="AE47" s="271">
        <v>357600</v>
      </c>
      <c r="AF47" s="271">
        <v>42225</v>
      </c>
      <c r="AG47" s="271">
        <v>321874</v>
      </c>
      <c r="AH47" s="271">
        <v>354426</v>
      </c>
      <c r="AI47" s="271">
        <f>41405+78650</f>
        <v>120055</v>
      </c>
      <c r="AJ47" s="271">
        <v>188745</v>
      </c>
      <c r="AK47" s="271">
        <f>166364+87846</f>
        <v>254210</v>
      </c>
      <c r="AM47" s="57">
        <f>SUM(G47:AK47)</f>
        <v>5755289</v>
      </c>
      <c r="AO47" s="2086"/>
      <c r="AP47" s="2087"/>
      <c r="AQ47" s="2086"/>
      <c r="AR47" s="2086"/>
      <c r="AS47" s="2086"/>
      <c r="AT47" s="2086"/>
    </row>
    <row r="48" spans="1:15026" s="70" customFormat="1" ht="15" hidden="1" customHeight="1" x14ac:dyDescent="0.25">
      <c r="A48" s="62"/>
      <c r="B48" s="62"/>
      <c r="C48" s="68"/>
      <c r="D48" s="230" t="s">
        <v>817</v>
      </c>
      <c r="E48" s="305"/>
      <c r="F48" s="9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1966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62"/>
      <c r="AM48" s="66" t="s">
        <v>111</v>
      </c>
      <c r="AN48" s="62"/>
      <c r="AO48" s="2086"/>
      <c r="AP48" s="2086"/>
      <c r="AQ48" s="2086"/>
      <c r="AR48" s="2086"/>
      <c r="AS48" s="2086"/>
      <c r="AT48" s="2086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143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">
      <c r="A49" s="16"/>
      <c r="B49" s="16"/>
      <c r="C49" s="17"/>
      <c r="D49" s="11" t="s">
        <v>71</v>
      </c>
      <c r="E49" s="256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60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SUM(G49:AJ49)</f>
        <v>0</v>
      </c>
      <c r="AN49" s="16"/>
      <c r="AO49" s="2094"/>
      <c r="AP49" s="2094"/>
      <c r="AQ49" s="2094"/>
      <c r="AR49" s="2094"/>
      <c r="AS49" s="2094"/>
      <c r="AT49" s="2094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44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9">
        <f>E51+E52</f>
        <v>21429000</v>
      </c>
      <c r="F50" s="20" t="s">
        <v>14</v>
      </c>
      <c r="G50" s="33">
        <f>G51+G52</f>
        <v>0</v>
      </c>
      <c r="H50" s="33">
        <f t="shared" ref="H50:AJ50" si="33">H51+H52</f>
        <v>0</v>
      </c>
      <c r="I50" s="33">
        <f t="shared" si="33"/>
        <v>0</v>
      </c>
      <c r="J50" s="33">
        <f t="shared" si="33"/>
        <v>0</v>
      </c>
      <c r="K50" s="33">
        <v>0</v>
      </c>
      <c r="L50" s="33">
        <f t="shared" si="33"/>
        <v>0</v>
      </c>
      <c r="M50" s="33">
        <f t="shared" si="33"/>
        <v>0</v>
      </c>
      <c r="N50" s="33">
        <f t="shared" si="33"/>
        <v>0</v>
      </c>
      <c r="O50" s="33">
        <f t="shared" si="33"/>
        <v>0</v>
      </c>
      <c r="P50" s="33">
        <f t="shared" si="33"/>
        <v>0</v>
      </c>
      <c r="Q50" s="33">
        <f t="shared" si="33"/>
        <v>0</v>
      </c>
      <c r="R50" s="33">
        <f t="shared" si="33"/>
        <v>0</v>
      </c>
      <c r="S50" s="1960">
        <v>0</v>
      </c>
      <c r="T50" s="33">
        <f t="shared" si="33"/>
        <v>0</v>
      </c>
      <c r="U50" s="33">
        <f t="shared" si="33"/>
        <v>0</v>
      </c>
      <c r="V50" s="33">
        <f t="shared" si="33"/>
        <v>0</v>
      </c>
      <c r="W50" s="33">
        <f t="shared" si="33"/>
        <v>0</v>
      </c>
      <c r="X50" s="33">
        <v>0</v>
      </c>
      <c r="Y50" s="33">
        <f t="shared" ref="Y50:Z50" si="34">Y51+Y52</f>
        <v>0</v>
      </c>
      <c r="Z50" s="33">
        <f t="shared" si="34"/>
        <v>0</v>
      </c>
      <c r="AA50" s="33">
        <f t="shared" si="33"/>
        <v>0</v>
      </c>
      <c r="AB50" s="33">
        <f t="shared" si="33"/>
        <v>0</v>
      </c>
      <c r="AC50" s="33">
        <v>0</v>
      </c>
      <c r="AD50" s="33">
        <f t="shared" si="33"/>
        <v>0</v>
      </c>
      <c r="AE50" s="33">
        <f t="shared" si="33"/>
        <v>0</v>
      </c>
      <c r="AF50" s="33">
        <f t="shared" si="33"/>
        <v>0</v>
      </c>
      <c r="AG50" s="33">
        <f t="shared" si="33"/>
        <v>0</v>
      </c>
      <c r="AH50" s="33">
        <f t="shared" si="33"/>
        <v>0</v>
      </c>
      <c r="AI50" s="33"/>
      <c r="AJ50" s="33">
        <f t="shared" si="33"/>
        <v>0</v>
      </c>
      <c r="AK50" s="33">
        <f t="shared" ref="AK50" si="35">AK51+AK52</f>
        <v>0</v>
      </c>
      <c r="AM50" s="54">
        <f>SUM(G50:AJ50)</f>
        <v>0</v>
      </c>
      <c r="AO50" s="2086"/>
      <c r="AP50" s="2086"/>
      <c r="AQ50" s="2086"/>
      <c r="AR50" s="2086"/>
      <c r="AS50" s="2086"/>
      <c r="AT50" s="2086"/>
    </row>
    <row r="51" spans="1:15026" ht="15" hidden="1" customHeight="1" x14ac:dyDescent="0.25">
      <c r="C51" s="15"/>
      <c r="D51" s="64" t="s">
        <v>112</v>
      </c>
      <c r="E51" s="67">
        <v>15000000</v>
      </c>
      <c r="F51" s="65" t="s">
        <v>14</v>
      </c>
      <c r="G51" s="270">
        <v>0</v>
      </c>
      <c r="H51" s="270">
        <v>0</v>
      </c>
      <c r="I51" s="270">
        <v>0</v>
      </c>
      <c r="J51" s="270">
        <v>0</v>
      </c>
      <c r="K51" s="270">
        <v>0</v>
      </c>
      <c r="L51" s="270">
        <v>0</v>
      </c>
      <c r="M51" s="270">
        <v>0</v>
      </c>
      <c r="N51" s="270">
        <v>0</v>
      </c>
      <c r="O51" s="270">
        <v>0</v>
      </c>
      <c r="P51" s="270">
        <v>0</v>
      </c>
      <c r="Q51" s="270">
        <v>0</v>
      </c>
      <c r="R51" s="270">
        <v>0</v>
      </c>
      <c r="S51" s="1964">
        <v>0</v>
      </c>
      <c r="T51" s="270">
        <v>0</v>
      </c>
      <c r="U51" s="270">
        <v>0</v>
      </c>
      <c r="V51" s="270">
        <v>0</v>
      </c>
      <c r="W51" s="270">
        <v>0</v>
      </c>
      <c r="X51" s="270">
        <v>0</v>
      </c>
      <c r="Y51" s="270">
        <v>0</v>
      </c>
      <c r="Z51" s="270">
        <v>0</v>
      </c>
      <c r="AA51" s="270">
        <v>0</v>
      </c>
      <c r="AB51" s="270">
        <v>0</v>
      </c>
      <c r="AC51" s="270">
        <v>0</v>
      </c>
      <c r="AD51" s="270">
        <v>0</v>
      </c>
      <c r="AE51" s="270">
        <v>0</v>
      </c>
      <c r="AF51" s="270">
        <v>0</v>
      </c>
      <c r="AG51" s="270">
        <v>0</v>
      </c>
      <c r="AH51" s="270">
        <v>0</v>
      </c>
      <c r="AI51" s="270"/>
      <c r="AJ51" s="270"/>
      <c r="AK51" s="270"/>
      <c r="AM51" s="57">
        <f>SUM(G51:AJ51)</f>
        <v>0</v>
      </c>
      <c r="AO51" s="2086"/>
      <c r="AP51" s="2086"/>
      <c r="AQ51" s="2086"/>
      <c r="AR51" s="2086"/>
      <c r="AS51" s="2086"/>
      <c r="AT51" s="2086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70">
        <v>0</v>
      </c>
      <c r="H52" s="270">
        <v>0</v>
      </c>
      <c r="I52" s="270">
        <v>0</v>
      </c>
      <c r="J52" s="270">
        <v>0</v>
      </c>
      <c r="K52" s="270">
        <v>0</v>
      </c>
      <c r="L52" s="270">
        <v>0</v>
      </c>
      <c r="M52" s="270">
        <v>0</v>
      </c>
      <c r="N52" s="270">
        <v>0</v>
      </c>
      <c r="O52" s="270">
        <v>0</v>
      </c>
      <c r="P52" s="270">
        <v>0</v>
      </c>
      <c r="Q52" s="270">
        <v>0</v>
      </c>
      <c r="R52" s="270">
        <v>0</v>
      </c>
      <c r="S52" s="1964">
        <v>0</v>
      </c>
      <c r="T52" s="270">
        <v>0</v>
      </c>
      <c r="U52" s="270">
        <v>0</v>
      </c>
      <c r="V52" s="270">
        <v>0</v>
      </c>
      <c r="W52" s="270">
        <v>0</v>
      </c>
      <c r="X52" s="270">
        <v>0</v>
      </c>
      <c r="Y52" s="270">
        <v>0</v>
      </c>
      <c r="Z52" s="270">
        <v>0</v>
      </c>
      <c r="AA52" s="270">
        <v>0</v>
      </c>
      <c r="AB52" s="270">
        <v>0</v>
      </c>
      <c r="AC52" s="270">
        <v>0</v>
      </c>
      <c r="AD52" s="270">
        <v>0</v>
      </c>
      <c r="AE52" s="270">
        <v>0</v>
      </c>
      <c r="AF52" s="270">
        <v>0</v>
      </c>
      <c r="AG52" s="270">
        <v>0</v>
      </c>
      <c r="AH52" s="270">
        <v>0</v>
      </c>
      <c r="AI52" s="270"/>
      <c r="AJ52" s="270"/>
      <c r="AK52" s="270"/>
      <c r="AM52" s="57">
        <f>SUM(G52:AJ52)</f>
        <v>0</v>
      </c>
      <c r="AO52" s="2086"/>
      <c r="AP52" s="2086"/>
      <c r="AQ52" s="2086"/>
      <c r="AR52" s="2086"/>
      <c r="AS52" s="2086"/>
      <c r="AT52" s="2086"/>
    </row>
    <row r="53" spans="1:15026" hidden="1" x14ac:dyDescent="0.25">
      <c r="C53" s="15"/>
      <c r="D53" s="230" t="s">
        <v>72</v>
      </c>
      <c r="E53" s="233"/>
      <c r="F53" s="232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63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86"/>
      <c r="AP53" s="2086"/>
      <c r="AQ53" s="2086"/>
      <c r="AR53" s="2086"/>
      <c r="AS53" s="2086"/>
      <c r="AT53" s="2086"/>
    </row>
    <row r="54" spans="1:15026" s="73" customFormat="1" hidden="1" x14ac:dyDescent="0.2">
      <c r="A54" s="16"/>
      <c r="B54" s="16"/>
      <c r="C54" s="17"/>
      <c r="D54" s="11" t="s">
        <v>71</v>
      </c>
      <c r="E54" s="256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60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SUM(G54:AJ54)</f>
        <v>0</v>
      </c>
      <c r="AN54" s="16"/>
      <c r="AO54" s="2094"/>
      <c r="AP54" s="2095"/>
      <c r="AQ54" s="2094"/>
      <c r="AR54" s="2094"/>
      <c r="AS54" s="2094"/>
      <c r="AT54" s="2094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44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5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J55" si="36">J56+J57</f>
        <v>0</v>
      </c>
      <c r="K55" s="33">
        <v>0</v>
      </c>
      <c r="L55" s="33">
        <v>0</v>
      </c>
      <c r="M55" s="33">
        <f t="shared" si="36"/>
        <v>0</v>
      </c>
      <c r="N55" s="33">
        <f t="shared" si="36"/>
        <v>0</v>
      </c>
      <c r="O55" s="33">
        <f t="shared" si="36"/>
        <v>0</v>
      </c>
      <c r="P55" s="33">
        <f t="shared" si="36"/>
        <v>0</v>
      </c>
      <c r="Q55" s="33">
        <f t="shared" si="36"/>
        <v>0</v>
      </c>
      <c r="R55" s="33"/>
      <c r="S55" s="1960">
        <f>S56+S57</f>
        <v>0</v>
      </c>
      <c r="T55" s="33">
        <f t="shared" si="36"/>
        <v>0</v>
      </c>
      <c r="U55" s="33">
        <f t="shared" si="36"/>
        <v>0</v>
      </c>
      <c r="V55" s="33">
        <f t="shared" si="36"/>
        <v>0</v>
      </c>
      <c r="W55" s="33">
        <f t="shared" si="36"/>
        <v>0</v>
      </c>
      <c r="X55" s="33">
        <v>0</v>
      </c>
      <c r="Y55" s="33">
        <f t="shared" ref="Y55:Z55" si="37">Y56+Y57</f>
        <v>0</v>
      </c>
      <c r="Z55" s="33">
        <f t="shared" si="37"/>
        <v>0</v>
      </c>
      <c r="AA55" s="33">
        <f t="shared" si="36"/>
        <v>0</v>
      </c>
      <c r="AB55" s="33">
        <f t="shared" si="36"/>
        <v>0</v>
      </c>
      <c r="AC55" s="33">
        <f>AC56+AC57</f>
        <v>0</v>
      </c>
      <c r="AD55" s="33">
        <f t="shared" si="36"/>
        <v>0</v>
      </c>
      <c r="AE55" s="33">
        <f t="shared" si="36"/>
        <v>0</v>
      </c>
      <c r="AF55" s="33">
        <f t="shared" si="36"/>
        <v>0</v>
      </c>
      <c r="AG55" s="33">
        <f t="shared" si="36"/>
        <v>0</v>
      </c>
      <c r="AH55" s="33">
        <f t="shared" si="36"/>
        <v>0</v>
      </c>
      <c r="AI55" s="33"/>
      <c r="AJ55" s="33">
        <f t="shared" si="36"/>
        <v>0</v>
      </c>
      <c r="AK55" s="33">
        <f t="shared" ref="AK55" si="38">AK56+AK57</f>
        <v>0</v>
      </c>
      <c r="AM55" s="54">
        <f>SUM(G55:AJ55)</f>
        <v>0</v>
      </c>
      <c r="AO55" s="2086"/>
      <c r="AP55" s="2086"/>
      <c r="AQ55" s="2086"/>
      <c r="AR55" s="2086"/>
      <c r="AS55" s="2086"/>
      <c r="AT55" s="2086"/>
      <c r="BI55" s="142"/>
    </row>
    <row r="56" spans="1:15026" s="1" customFormat="1" hidden="1" x14ac:dyDescent="0.25">
      <c r="C56" s="15"/>
      <c r="D56" s="64" t="s">
        <v>68</v>
      </c>
      <c r="E56" s="255">
        <v>1250000</v>
      </c>
      <c r="F56" s="65" t="s">
        <v>14</v>
      </c>
      <c r="G56" s="270">
        <v>0</v>
      </c>
      <c r="H56" s="270">
        <v>0</v>
      </c>
      <c r="I56" s="270">
        <v>0</v>
      </c>
      <c r="J56" s="270">
        <v>0</v>
      </c>
      <c r="K56" s="270">
        <v>0</v>
      </c>
      <c r="L56" s="270">
        <v>0</v>
      </c>
      <c r="M56" s="270">
        <v>0</v>
      </c>
      <c r="N56" s="270">
        <v>0</v>
      </c>
      <c r="O56" s="270">
        <v>0</v>
      </c>
      <c r="P56" s="270">
        <v>0</v>
      </c>
      <c r="Q56" s="270">
        <v>0</v>
      </c>
      <c r="R56" s="270">
        <v>0</v>
      </c>
      <c r="S56" s="1964"/>
      <c r="T56" s="270">
        <v>0</v>
      </c>
      <c r="U56" s="270">
        <v>0</v>
      </c>
      <c r="V56" s="270">
        <v>0</v>
      </c>
      <c r="W56" s="270">
        <v>0</v>
      </c>
      <c r="X56" s="270">
        <v>0</v>
      </c>
      <c r="Y56" s="270">
        <v>0</v>
      </c>
      <c r="Z56" s="270">
        <v>0</v>
      </c>
      <c r="AA56" s="270">
        <v>0</v>
      </c>
      <c r="AB56" s="270">
        <v>0</v>
      </c>
      <c r="AC56" s="272"/>
      <c r="AD56" s="270">
        <v>0</v>
      </c>
      <c r="AE56" s="270">
        <v>0</v>
      </c>
      <c r="AF56" s="270">
        <v>0</v>
      </c>
      <c r="AG56" s="270"/>
      <c r="AH56" s="270">
        <v>0</v>
      </c>
      <c r="AI56" s="270"/>
      <c r="AJ56" s="270"/>
      <c r="AK56" s="270"/>
      <c r="AM56" s="57">
        <f>SUM(G56:AJ56)</f>
        <v>0</v>
      </c>
      <c r="AO56" s="2086"/>
      <c r="AP56" s="2087"/>
      <c r="AQ56" s="2086"/>
      <c r="AR56" s="2086"/>
      <c r="AS56" s="2086"/>
      <c r="AT56" s="2086"/>
      <c r="BI56" s="142"/>
    </row>
    <row r="57" spans="1:15026" s="1" customFormat="1" hidden="1" x14ac:dyDescent="0.25">
      <c r="C57" s="15"/>
      <c r="D57" s="64" t="s">
        <v>67</v>
      </c>
      <c r="E57" s="255">
        <v>83300</v>
      </c>
      <c r="F57" s="65" t="s">
        <v>14</v>
      </c>
      <c r="G57" s="270">
        <v>0</v>
      </c>
      <c r="H57" s="270">
        <v>0</v>
      </c>
      <c r="I57" s="270">
        <v>0</v>
      </c>
      <c r="J57" s="270">
        <v>0</v>
      </c>
      <c r="K57" s="270">
        <v>0</v>
      </c>
      <c r="L57" s="270">
        <v>0</v>
      </c>
      <c r="M57" s="270">
        <v>0</v>
      </c>
      <c r="N57" s="270">
        <v>0</v>
      </c>
      <c r="O57" s="270">
        <v>0</v>
      </c>
      <c r="P57" s="270">
        <v>0</v>
      </c>
      <c r="Q57" s="270">
        <v>0</v>
      </c>
      <c r="R57" s="270">
        <v>0</v>
      </c>
      <c r="S57" s="1964"/>
      <c r="T57" s="270">
        <v>0</v>
      </c>
      <c r="U57" s="270">
        <v>0</v>
      </c>
      <c r="V57" s="270">
        <v>0</v>
      </c>
      <c r="W57" s="270">
        <v>0</v>
      </c>
      <c r="X57" s="270">
        <v>0</v>
      </c>
      <c r="Y57" s="270">
        <v>0</v>
      </c>
      <c r="Z57" s="270">
        <v>0</v>
      </c>
      <c r="AA57" s="270">
        <v>0</v>
      </c>
      <c r="AB57" s="270">
        <v>0</v>
      </c>
      <c r="AC57" s="270"/>
      <c r="AD57" s="270">
        <v>0</v>
      </c>
      <c r="AE57" s="270">
        <v>0</v>
      </c>
      <c r="AF57" s="270">
        <v>0</v>
      </c>
      <c r="AG57" s="270"/>
      <c r="AH57" s="270">
        <v>0</v>
      </c>
      <c r="AI57" s="270"/>
      <c r="AJ57" s="270"/>
      <c r="AK57" s="270"/>
      <c r="AM57" s="57">
        <f>SUM(G57:AJ57)</f>
        <v>0</v>
      </c>
      <c r="AO57" s="2086"/>
      <c r="AP57" s="2087"/>
      <c r="AQ57" s="2086"/>
      <c r="AR57" s="2086"/>
      <c r="AS57" s="2086"/>
      <c r="AT57" s="2086"/>
      <c r="BI57" s="142"/>
    </row>
    <row r="58" spans="1:15026" s="1" customFormat="1" hidden="1" x14ac:dyDescent="0.25">
      <c r="C58" s="15"/>
      <c r="D58" s="74" t="s">
        <v>113</v>
      </c>
      <c r="E58" s="255"/>
      <c r="F58" s="13" t="s">
        <v>25</v>
      </c>
      <c r="G58" s="273">
        <v>0</v>
      </c>
      <c r="H58" s="273">
        <v>0</v>
      </c>
      <c r="I58" s="273">
        <v>0</v>
      </c>
      <c r="J58" s="273">
        <v>0</v>
      </c>
      <c r="K58" s="273">
        <v>0</v>
      </c>
      <c r="L58" s="273">
        <v>0</v>
      </c>
      <c r="M58" s="273">
        <v>0</v>
      </c>
      <c r="N58" s="273">
        <v>0</v>
      </c>
      <c r="O58" s="273">
        <v>0</v>
      </c>
      <c r="P58" s="273">
        <v>0</v>
      </c>
      <c r="Q58" s="273">
        <v>0</v>
      </c>
      <c r="R58" s="273">
        <v>0</v>
      </c>
      <c r="S58" s="1967">
        <v>0</v>
      </c>
      <c r="T58" s="273">
        <v>0</v>
      </c>
      <c r="U58" s="273">
        <v>0</v>
      </c>
      <c r="V58" s="273">
        <v>0</v>
      </c>
      <c r="W58" s="273">
        <v>0</v>
      </c>
      <c r="X58" s="273">
        <v>0</v>
      </c>
      <c r="Y58" s="273">
        <v>0</v>
      </c>
      <c r="Z58" s="273">
        <v>0</v>
      </c>
      <c r="AA58" s="273">
        <v>0</v>
      </c>
      <c r="AB58" s="273">
        <v>0</v>
      </c>
      <c r="AC58" s="273">
        <v>0</v>
      </c>
      <c r="AD58" s="273">
        <v>0</v>
      </c>
      <c r="AE58" s="273">
        <v>0</v>
      </c>
      <c r="AF58" s="273">
        <v>0</v>
      </c>
      <c r="AG58" s="273">
        <v>0</v>
      </c>
      <c r="AH58" s="273">
        <v>0</v>
      </c>
      <c r="AI58" s="273"/>
      <c r="AJ58" s="273">
        <v>0</v>
      </c>
      <c r="AK58" s="273">
        <v>0</v>
      </c>
      <c r="AL58" s="62"/>
      <c r="AM58" s="57">
        <f>SUM(G58:AJ58)</f>
        <v>0</v>
      </c>
      <c r="AO58" s="2086"/>
      <c r="AP58" s="2087"/>
      <c r="AQ58" s="2086"/>
      <c r="AR58" s="2086"/>
      <c r="AS58" s="2086"/>
      <c r="AT58" s="2086"/>
      <c r="BI58" s="142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63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128</v>
      </c>
      <c r="AO59" s="2087"/>
      <c r="AP59" s="2086"/>
      <c r="AQ59" s="2086"/>
      <c r="AR59" s="2086"/>
      <c r="AS59" s="2086"/>
      <c r="AT59" s="2086"/>
    </row>
    <row r="60" spans="1:15026" x14ac:dyDescent="0.25">
      <c r="C60" s="15"/>
      <c r="D60" s="74" t="s">
        <v>65</v>
      </c>
      <c r="E60" s="1573">
        <v>94.2</v>
      </c>
      <c r="F60" s="69" t="s">
        <v>25</v>
      </c>
      <c r="G60" s="274" t="e">
        <f t="shared" ref="G60:M60" si="39">(G20/(G9))*100</f>
        <v>#DIV/0!</v>
      </c>
      <c r="H60" s="274" t="e">
        <f t="shared" si="39"/>
        <v>#DIV/0!</v>
      </c>
      <c r="I60" s="274" t="e">
        <f t="shared" si="39"/>
        <v>#DIV/0!</v>
      </c>
      <c r="J60" s="274" t="e">
        <f t="shared" si="39"/>
        <v>#DIV/0!</v>
      </c>
      <c r="K60" s="274" t="e">
        <f t="shared" si="39"/>
        <v>#DIV/0!</v>
      </c>
      <c r="L60" s="274" t="e">
        <f t="shared" si="39"/>
        <v>#DIV/0!</v>
      </c>
      <c r="M60" s="274">
        <f t="shared" si="39"/>
        <v>0</v>
      </c>
      <c r="N60" s="274">
        <f>((N20+N19+N18)/(N9))*100</f>
        <v>93.509170427685319</v>
      </c>
      <c r="O60" s="274">
        <f>((O20+O19+O18)/(O9))*100</f>
        <v>104.52824971396626</v>
      </c>
      <c r="P60" s="274">
        <f t="shared" ref="P60:AJ60" si="40">((P20+P19+P18)/(P9))*100</f>
        <v>90.679181459086465</v>
      </c>
      <c r="Q60" s="274">
        <f t="shared" si="40"/>
        <v>94.505764086001903</v>
      </c>
      <c r="R60" s="274">
        <f t="shared" si="40"/>
        <v>98.627755857482953</v>
      </c>
      <c r="S60" s="274">
        <f t="shared" si="40"/>
        <v>92.047289358042079</v>
      </c>
      <c r="T60" s="274">
        <f t="shared" si="40"/>
        <v>93.05859885313869</v>
      </c>
      <c r="U60" s="274">
        <f t="shared" si="40"/>
        <v>92.520352559999623</v>
      </c>
      <c r="V60" s="274">
        <f t="shared" si="40"/>
        <v>100.58160679135599</v>
      </c>
      <c r="W60" s="274">
        <f t="shared" si="40"/>
        <v>99.157213825113615</v>
      </c>
      <c r="X60" s="274">
        <f t="shared" si="40"/>
        <v>96.344793319621033</v>
      </c>
      <c r="Y60" s="274">
        <f t="shared" si="40"/>
        <v>92.946101649137219</v>
      </c>
      <c r="Z60" s="274">
        <f t="shared" si="40"/>
        <v>98.037694664020648</v>
      </c>
      <c r="AA60" s="274">
        <f t="shared" si="40"/>
        <v>91.899666376009407</v>
      </c>
      <c r="AB60" s="274">
        <f t="shared" si="40"/>
        <v>98.89631637490686</v>
      </c>
      <c r="AC60" s="274">
        <f t="shared" si="40"/>
        <v>110.9468618499329</v>
      </c>
      <c r="AD60" s="274">
        <f t="shared" si="40"/>
        <v>99.816059098529763</v>
      </c>
      <c r="AE60" s="274">
        <f t="shared" si="40"/>
        <v>103.40967208630185</v>
      </c>
      <c r="AF60" s="274">
        <f t="shared" si="40"/>
        <v>88.694273865539515</v>
      </c>
      <c r="AG60" s="274">
        <f t="shared" si="40"/>
        <v>98.620284096366916</v>
      </c>
      <c r="AH60" s="274">
        <f t="shared" si="40"/>
        <v>95.512548513753586</v>
      </c>
      <c r="AI60" s="274">
        <f t="shared" si="40"/>
        <v>92.234412102507733</v>
      </c>
      <c r="AJ60" s="274">
        <f t="shared" si="40"/>
        <v>90.61638503103562</v>
      </c>
      <c r="AK60" s="274">
        <f t="shared" ref="AK60" si="41">((AK20+AK19+AK18)/(AK9))*100</f>
        <v>91.827661249247583</v>
      </c>
      <c r="AL60" s="62"/>
      <c r="AM60" s="2012">
        <f>((AM20)/(AM9))*100</f>
        <v>94.917042155318313</v>
      </c>
    </row>
    <row r="61" spans="1:15026" x14ac:dyDescent="0.25">
      <c r="C61" s="15"/>
      <c r="D61" s="74" t="s">
        <v>64</v>
      </c>
      <c r="E61" s="126">
        <v>5</v>
      </c>
      <c r="F61" s="69" t="s">
        <v>25</v>
      </c>
      <c r="G61" s="274" t="e">
        <f t="shared" ref="G61:AJ61" si="42">(G21/(G9))*100</f>
        <v>#DIV/0!</v>
      </c>
      <c r="H61" s="274" t="e">
        <f t="shared" si="42"/>
        <v>#DIV/0!</v>
      </c>
      <c r="I61" s="274" t="e">
        <f t="shared" si="42"/>
        <v>#DIV/0!</v>
      </c>
      <c r="J61" s="274" t="e">
        <f t="shared" si="42"/>
        <v>#DIV/0!</v>
      </c>
      <c r="K61" s="274" t="e">
        <f t="shared" si="42"/>
        <v>#DIV/0!</v>
      </c>
      <c r="L61" s="274" t="e">
        <f t="shared" si="42"/>
        <v>#DIV/0!</v>
      </c>
      <c r="M61" s="274">
        <f t="shared" si="42"/>
        <v>4.8061290094553977</v>
      </c>
      <c r="N61" s="274">
        <f t="shared" si="42"/>
        <v>4.4899610620075503</v>
      </c>
      <c r="O61" s="274">
        <f t="shared" si="42"/>
        <v>5.0001302430335004</v>
      </c>
      <c r="P61" s="274">
        <f t="shared" si="42"/>
        <v>4.0318057289218148</v>
      </c>
      <c r="Q61" s="274">
        <f t="shared" si="42"/>
        <v>4.3861952507099042</v>
      </c>
      <c r="R61" s="274">
        <f t="shared" si="42"/>
        <v>4.3003720434671511</v>
      </c>
      <c r="S61" s="274">
        <f t="shared" si="42"/>
        <v>3.8520932524307514</v>
      </c>
      <c r="T61" s="274">
        <f t="shared" si="42"/>
        <v>4.5566200137372306</v>
      </c>
      <c r="U61" s="274">
        <f t="shared" si="42"/>
        <v>4.7637608698946181</v>
      </c>
      <c r="V61" s="274">
        <f t="shared" si="42"/>
        <v>4.6999772168629175</v>
      </c>
      <c r="W61" s="274">
        <f t="shared" si="42"/>
        <v>4.527537940754442</v>
      </c>
      <c r="X61" s="274">
        <f t="shared" si="42"/>
        <v>4.6497210167389955</v>
      </c>
      <c r="Y61" s="274">
        <f t="shared" si="42"/>
        <v>4.0124832081932533</v>
      </c>
      <c r="Z61" s="274">
        <f t="shared" si="42"/>
        <v>4.4896657735559922</v>
      </c>
      <c r="AA61" s="274">
        <f t="shared" si="42"/>
        <v>4.1156831709443837</v>
      </c>
      <c r="AB61" s="274">
        <f t="shared" si="42"/>
        <v>3.5624574779425267</v>
      </c>
      <c r="AC61" s="274">
        <f t="shared" si="42"/>
        <v>4.5280895886630503</v>
      </c>
      <c r="AD61" s="274">
        <f t="shared" si="42"/>
        <v>4.1036248610169332</v>
      </c>
      <c r="AE61" s="274">
        <f t="shared" si="42"/>
        <v>4.4776415270129366</v>
      </c>
      <c r="AF61" s="274">
        <f t="shared" si="42"/>
        <v>4.2365713710066704</v>
      </c>
      <c r="AG61" s="274">
        <f t="shared" si="42"/>
        <v>4.8649687109765782</v>
      </c>
      <c r="AH61" s="274">
        <f t="shared" si="42"/>
        <v>3.2847912918519526</v>
      </c>
      <c r="AI61" s="274">
        <f t="shared" si="42"/>
        <v>4.746584367359306</v>
      </c>
      <c r="AJ61" s="274">
        <f t="shared" si="42"/>
        <v>3.7501617947920431</v>
      </c>
      <c r="AK61" s="274">
        <f t="shared" ref="AK61" si="43">(AK21/(AK9))*100</f>
        <v>3.6685650784831227</v>
      </c>
      <c r="AL61" s="62"/>
      <c r="AM61" s="301">
        <f>(AM21/(AM9))*100</f>
        <v>4.302098828017157</v>
      </c>
      <c r="AP61" s="3"/>
    </row>
    <row r="62" spans="1:15026" x14ac:dyDescent="0.25">
      <c r="C62" s="15"/>
      <c r="D62" s="74" t="s">
        <v>63</v>
      </c>
      <c r="E62" s="126">
        <v>82</v>
      </c>
      <c r="F62" s="69" t="s">
        <v>25</v>
      </c>
      <c r="G62" s="274" t="e">
        <f>G33/(G33+G34)*100</f>
        <v>#DIV/0!</v>
      </c>
      <c r="H62" s="274" t="e">
        <f>H33/(H33+H34)*100</f>
        <v>#DIV/0!</v>
      </c>
      <c r="I62" s="274" t="e">
        <f>I33/(I33+I34)*100</f>
        <v>#DIV/0!</v>
      </c>
      <c r="J62" s="274" t="e">
        <f>J33/(J33+J34)*100</f>
        <v>#DIV/0!</v>
      </c>
      <c r="K62" s="274" t="e">
        <v>#DIV/0!</v>
      </c>
      <c r="L62" s="274" t="e">
        <f t="shared" ref="L62:R62" si="44">L33/(L33+L34)*100</f>
        <v>#DIV/0!</v>
      </c>
      <c r="M62" s="274">
        <f t="shared" si="44"/>
        <v>83.606288817257152</v>
      </c>
      <c r="N62" s="274">
        <f t="shared" si="44"/>
        <v>73.854081909411448</v>
      </c>
      <c r="O62" s="274">
        <f t="shared" si="44"/>
        <v>82.910212895481934</v>
      </c>
      <c r="P62" s="274">
        <f t="shared" si="44"/>
        <v>79.725842505458203</v>
      </c>
      <c r="Q62" s="274">
        <f t="shared" si="44"/>
        <v>79.426771499263381</v>
      </c>
      <c r="R62" s="274">
        <f t="shared" si="44"/>
        <v>81.061789362740171</v>
      </c>
      <c r="S62" s="274">
        <f t="shared" ref="S62:AJ62" si="45">S33/(S33+S34)*100</f>
        <v>82.131859810584899</v>
      </c>
      <c r="T62" s="274">
        <f t="shared" ref="T62" si="46">T33/(T33+T34)*100</f>
        <v>81.124177984571133</v>
      </c>
      <c r="U62" s="274">
        <f t="shared" si="45"/>
        <v>83.434323212896203</v>
      </c>
      <c r="V62" s="274" t="e">
        <f t="shared" si="45"/>
        <v>#DIV/0!</v>
      </c>
      <c r="W62" s="274" t="e">
        <f t="shared" si="45"/>
        <v>#DIV/0!</v>
      </c>
      <c r="X62" s="274">
        <f t="shared" si="45"/>
        <v>81.226318370258099</v>
      </c>
      <c r="Y62" s="274" t="e">
        <f t="shared" si="45"/>
        <v>#DIV/0!</v>
      </c>
      <c r="Z62" s="274" t="e">
        <f t="shared" si="45"/>
        <v>#DIV/0!</v>
      </c>
      <c r="AA62" s="274" t="e">
        <f t="shared" si="45"/>
        <v>#DIV/0!</v>
      </c>
      <c r="AB62" s="274" t="e">
        <f t="shared" si="45"/>
        <v>#DIV/0!</v>
      </c>
      <c r="AC62" s="274" t="e">
        <f t="shared" si="45"/>
        <v>#DIV/0!</v>
      </c>
      <c r="AD62" s="274" t="e">
        <f t="shared" si="45"/>
        <v>#DIV/0!</v>
      </c>
      <c r="AE62" s="274" t="e">
        <f t="shared" si="45"/>
        <v>#DIV/0!</v>
      </c>
      <c r="AF62" s="274">
        <f t="shared" si="45"/>
        <v>74.670388464053332</v>
      </c>
      <c r="AG62" s="274" t="e">
        <f t="shared" si="45"/>
        <v>#DIV/0!</v>
      </c>
      <c r="AH62" s="274" t="e">
        <f t="shared" si="45"/>
        <v>#DIV/0!</v>
      </c>
      <c r="AI62" s="274" t="e">
        <f t="shared" si="45"/>
        <v>#DIV/0!</v>
      </c>
      <c r="AJ62" s="274" t="e">
        <f t="shared" si="45"/>
        <v>#DIV/0!</v>
      </c>
      <c r="AK62" s="274" t="e">
        <f t="shared" ref="AK62" si="47">AK33/(AK33+AK34)*100</f>
        <v>#DIV/0!</v>
      </c>
      <c r="AL62" s="62"/>
      <c r="AM62" s="301">
        <f>AM33/(AM33+AM34)*100</f>
        <v>80.387608386163606</v>
      </c>
      <c r="AP62" s="3"/>
    </row>
    <row r="63" spans="1:15026" x14ac:dyDescent="0.25">
      <c r="C63" s="15"/>
      <c r="D63" s="74" t="s">
        <v>62</v>
      </c>
      <c r="E63" s="126">
        <v>18</v>
      </c>
      <c r="F63" s="69" t="s">
        <v>25</v>
      </c>
      <c r="G63" s="274" t="e">
        <f>(G34/G32)*100</f>
        <v>#DIV/0!</v>
      </c>
      <c r="H63" s="274" t="e">
        <f>(H34/H32)*100</f>
        <v>#DIV/0!</v>
      </c>
      <c r="I63" s="274" t="e">
        <f>(I34/I32)*100</f>
        <v>#DIV/0!</v>
      </c>
      <c r="J63" s="274" t="e">
        <f>(J34/J32)*100</f>
        <v>#DIV/0!</v>
      </c>
      <c r="K63" s="274" t="e">
        <v>#DIV/0!</v>
      </c>
      <c r="L63" s="274" t="e">
        <f t="shared" ref="L63:R63" si="48">(L34/L32)*100</f>
        <v>#DIV/0!</v>
      </c>
      <c r="M63" s="274">
        <f t="shared" si="48"/>
        <v>16.393711182742855</v>
      </c>
      <c r="N63" s="274">
        <f t="shared" si="48"/>
        <v>26.145918090588555</v>
      </c>
      <c r="O63" s="274">
        <f t="shared" si="48"/>
        <v>17.08978710451807</v>
      </c>
      <c r="P63" s="274">
        <f t="shared" si="48"/>
        <v>20.2741574945418</v>
      </c>
      <c r="Q63" s="274">
        <f t="shared" si="48"/>
        <v>20.573228500736622</v>
      </c>
      <c r="R63" s="274">
        <f t="shared" si="48"/>
        <v>18.938210637259832</v>
      </c>
      <c r="S63" s="274">
        <f t="shared" ref="S63:AJ63" si="49">(S34/S32)*100</f>
        <v>17.868140189415101</v>
      </c>
      <c r="T63" s="274">
        <f t="shared" ref="T63" si="50">(T34/T32)*100</f>
        <v>18.87582201542887</v>
      </c>
      <c r="U63" s="274">
        <f t="shared" si="49"/>
        <v>16.565676787103801</v>
      </c>
      <c r="V63" s="274" t="e">
        <f t="shared" si="49"/>
        <v>#DIV/0!</v>
      </c>
      <c r="W63" s="274" t="e">
        <f t="shared" si="49"/>
        <v>#DIV/0!</v>
      </c>
      <c r="X63" s="274">
        <f t="shared" si="49"/>
        <v>18.773681629741898</v>
      </c>
      <c r="Y63" s="274" t="e">
        <f t="shared" si="49"/>
        <v>#DIV/0!</v>
      </c>
      <c r="Z63" s="274" t="e">
        <f t="shared" si="49"/>
        <v>#DIV/0!</v>
      </c>
      <c r="AA63" s="274" t="e">
        <f t="shared" si="49"/>
        <v>#DIV/0!</v>
      </c>
      <c r="AB63" s="274" t="e">
        <f t="shared" si="49"/>
        <v>#DIV/0!</v>
      </c>
      <c r="AC63" s="274" t="e">
        <f t="shared" si="49"/>
        <v>#DIV/0!</v>
      </c>
      <c r="AD63" s="274" t="e">
        <f t="shared" si="49"/>
        <v>#DIV/0!</v>
      </c>
      <c r="AE63" s="274" t="e">
        <f t="shared" si="49"/>
        <v>#DIV/0!</v>
      </c>
      <c r="AF63" s="274">
        <f t="shared" si="49"/>
        <v>25.329611535946661</v>
      </c>
      <c r="AG63" s="274" t="e">
        <f t="shared" si="49"/>
        <v>#DIV/0!</v>
      </c>
      <c r="AH63" s="274" t="e">
        <f t="shared" si="49"/>
        <v>#DIV/0!</v>
      </c>
      <c r="AI63" s="274" t="e">
        <f t="shared" si="49"/>
        <v>#DIV/0!</v>
      </c>
      <c r="AJ63" s="274" t="e">
        <f t="shared" si="49"/>
        <v>#DIV/0!</v>
      </c>
      <c r="AK63" s="274" t="e">
        <f t="shared" ref="AK63" si="51">(AK34/AK32)*100</f>
        <v>#DIV/0!</v>
      </c>
      <c r="AL63" s="62"/>
      <c r="AM63" s="1502">
        <f>AM34/(AM33+AM34)*100</f>
        <v>19.612391613836383</v>
      </c>
      <c r="AP63" s="3"/>
    </row>
    <row r="64" spans="1:15026" ht="15" hidden="1" customHeight="1" x14ac:dyDescent="0.25">
      <c r="C64" s="15"/>
      <c r="D64" s="74" t="s">
        <v>106</v>
      </c>
      <c r="E64" s="126">
        <v>75</v>
      </c>
      <c r="F64" s="79"/>
      <c r="G64" s="274" t="e">
        <f>(G37/G36)*100</f>
        <v>#DIV/0!</v>
      </c>
      <c r="H64" s="274" t="e">
        <f>(H37/H36)*100</f>
        <v>#DIV/0!</v>
      </c>
      <c r="I64" s="274" t="e">
        <f>(I37/I36)*100</f>
        <v>#DIV/0!</v>
      </c>
      <c r="J64" s="274" t="e">
        <f>(J37/J36)*100</f>
        <v>#DIV/0!</v>
      </c>
      <c r="K64" s="274" t="e">
        <v>#DIV/0!</v>
      </c>
      <c r="L64" s="274" t="e">
        <f t="shared" ref="L64:R64" si="52">(L37/L36)*100</f>
        <v>#DIV/0!</v>
      </c>
      <c r="M64" s="274" t="e">
        <f t="shared" si="52"/>
        <v>#DIV/0!</v>
      </c>
      <c r="N64" s="274" t="e">
        <f t="shared" si="52"/>
        <v>#DIV/0!</v>
      </c>
      <c r="O64" s="274" t="e">
        <f t="shared" si="52"/>
        <v>#DIV/0!</v>
      </c>
      <c r="P64" s="274" t="e">
        <f t="shared" si="52"/>
        <v>#DIV/0!</v>
      </c>
      <c r="Q64" s="274" t="e">
        <f t="shared" si="52"/>
        <v>#DIV/0!</v>
      </c>
      <c r="R64" s="274" t="e">
        <f t="shared" si="52"/>
        <v>#DIV/0!</v>
      </c>
      <c r="S64" s="274" t="e">
        <f t="shared" ref="S64:AJ64" si="53">(S37/S36)*100</f>
        <v>#DIV/0!</v>
      </c>
      <c r="T64" s="274" t="e">
        <f t="shared" ref="T64" si="54">(T37/T36)*100</f>
        <v>#DIV/0!</v>
      </c>
      <c r="U64" s="274" t="e">
        <f t="shared" si="53"/>
        <v>#DIV/0!</v>
      </c>
      <c r="V64" s="274" t="e">
        <f t="shared" si="53"/>
        <v>#DIV/0!</v>
      </c>
      <c r="W64" s="274" t="e">
        <f t="shared" si="53"/>
        <v>#DIV/0!</v>
      </c>
      <c r="X64" s="274" t="e">
        <f t="shared" si="53"/>
        <v>#DIV/0!</v>
      </c>
      <c r="Y64" s="274" t="e">
        <f t="shared" si="53"/>
        <v>#DIV/0!</v>
      </c>
      <c r="Z64" s="274" t="e">
        <f t="shared" si="53"/>
        <v>#DIV/0!</v>
      </c>
      <c r="AA64" s="274" t="e">
        <f t="shared" si="53"/>
        <v>#DIV/0!</v>
      </c>
      <c r="AB64" s="274" t="e">
        <f t="shared" si="53"/>
        <v>#DIV/0!</v>
      </c>
      <c r="AC64" s="274" t="e">
        <f t="shared" si="53"/>
        <v>#DIV/0!</v>
      </c>
      <c r="AD64" s="274" t="e">
        <f t="shared" si="53"/>
        <v>#DIV/0!</v>
      </c>
      <c r="AE64" s="274" t="e">
        <f t="shared" si="53"/>
        <v>#DIV/0!</v>
      </c>
      <c r="AF64" s="274" t="e">
        <f t="shared" si="53"/>
        <v>#DIV/0!</v>
      </c>
      <c r="AG64" s="274" t="e">
        <f t="shared" si="53"/>
        <v>#DIV/0!</v>
      </c>
      <c r="AH64" s="274" t="e">
        <f t="shared" si="53"/>
        <v>#DIV/0!</v>
      </c>
      <c r="AI64" s="274" t="e">
        <f t="shared" si="53"/>
        <v>#DIV/0!</v>
      </c>
      <c r="AJ64" s="274" t="e">
        <f t="shared" si="53"/>
        <v>#DIV/0!</v>
      </c>
      <c r="AK64" s="274" t="e">
        <f t="shared" ref="AK64" si="55">(AK37/AK36)*100</f>
        <v>#DIV/0!</v>
      </c>
      <c r="AL64" s="62"/>
      <c r="AM64" s="301" t="e">
        <f>(AM42/AM41)*100</f>
        <v>#DIV/0!</v>
      </c>
    </row>
    <row r="65" spans="3:49" ht="15" hidden="1" customHeight="1" x14ac:dyDescent="0.25">
      <c r="C65" s="15"/>
      <c r="D65" s="74" t="s">
        <v>62</v>
      </c>
      <c r="E65" s="126">
        <v>25</v>
      </c>
      <c r="F65" s="79"/>
      <c r="G65" s="274" t="e">
        <f>(G38/G36)*100</f>
        <v>#DIV/0!</v>
      </c>
      <c r="H65" s="274" t="e">
        <f>(H38/H36)*100</f>
        <v>#DIV/0!</v>
      </c>
      <c r="I65" s="274" t="e">
        <f>(I38/I36)*100</f>
        <v>#DIV/0!</v>
      </c>
      <c r="J65" s="274" t="e">
        <f>(J38/J36)*100</f>
        <v>#DIV/0!</v>
      </c>
      <c r="K65" s="274" t="e">
        <v>#DIV/0!</v>
      </c>
      <c r="L65" s="274" t="e">
        <f t="shared" ref="L65:R65" si="56">(L38/L36)*100</f>
        <v>#DIV/0!</v>
      </c>
      <c r="M65" s="274" t="e">
        <f t="shared" si="56"/>
        <v>#DIV/0!</v>
      </c>
      <c r="N65" s="274" t="e">
        <f t="shared" si="56"/>
        <v>#DIV/0!</v>
      </c>
      <c r="O65" s="274" t="e">
        <f t="shared" si="56"/>
        <v>#DIV/0!</v>
      </c>
      <c r="P65" s="274" t="e">
        <f t="shared" si="56"/>
        <v>#DIV/0!</v>
      </c>
      <c r="Q65" s="274" t="e">
        <f t="shared" si="56"/>
        <v>#DIV/0!</v>
      </c>
      <c r="R65" s="274" t="e">
        <f t="shared" si="56"/>
        <v>#DIV/0!</v>
      </c>
      <c r="S65" s="274" t="e">
        <f t="shared" ref="S65:AJ65" si="57">(S38/S36)*100</f>
        <v>#DIV/0!</v>
      </c>
      <c r="T65" s="274" t="e">
        <f t="shared" ref="T65" si="58">(T38/T36)*100</f>
        <v>#DIV/0!</v>
      </c>
      <c r="U65" s="274" t="e">
        <f t="shared" si="57"/>
        <v>#DIV/0!</v>
      </c>
      <c r="V65" s="274" t="e">
        <f t="shared" si="57"/>
        <v>#DIV/0!</v>
      </c>
      <c r="W65" s="274" t="e">
        <f t="shared" si="57"/>
        <v>#DIV/0!</v>
      </c>
      <c r="X65" s="274" t="e">
        <f t="shared" si="57"/>
        <v>#DIV/0!</v>
      </c>
      <c r="Y65" s="274" t="e">
        <f t="shared" si="57"/>
        <v>#DIV/0!</v>
      </c>
      <c r="Z65" s="274" t="e">
        <f t="shared" si="57"/>
        <v>#DIV/0!</v>
      </c>
      <c r="AA65" s="274" t="e">
        <f t="shared" si="57"/>
        <v>#DIV/0!</v>
      </c>
      <c r="AB65" s="274" t="e">
        <f t="shared" si="57"/>
        <v>#DIV/0!</v>
      </c>
      <c r="AC65" s="274" t="e">
        <f t="shared" si="57"/>
        <v>#DIV/0!</v>
      </c>
      <c r="AD65" s="274" t="e">
        <f t="shared" si="57"/>
        <v>#DIV/0!</v>
      </c>
      <c r="AE65" s="274" t="e">
        <f t="shared" si="57"/>
        <v>#DIV/0!</v>
      </c>
      <c r="AF65" s="274" t="e">
        <f t="shared" si="57"/>
        <v>#DIV/0!</v>
      </c>
      <c r="AG65" s="274" t="e">
        <f t="shared" si="57"/>
        <v>#DIV/0!</v>
      </c>
      <c r="AH65" s="274" t="e">
        <f t="shared" si="57"/>
        <v>#DIV/0!</v>
      </c>
      <c r="AI65" s="274" t="e">
        <f t="shared" si="57"/>
        <v>#DIV/0!</v>
      </c>
      <c r="AJ65" s="274" t="e">
        <f t="shared" si="57"/>
        <v>#DIV/0!</v>
      </c>
      <c r="AK65" s="274" t="e">
        <f t="shared" ref="AK65" si="59">(AK38/AK36)*100</f>
        <v>#DIV/0!</v>
      </c>
      <c r="AL65" s="62"/>
      <c r="AM65" s="301" t="e">
        <f>(AM43/AM41)*100</f>
        <v>#DIV/0!</v>
      </c>
    </row>
    <row r="66" spans="3:49" ht="15" hidden="1" customHeight="1" x14ac:dyDescent="0.25">
      <c r="C66" s="15"/>
      <c r="D66" s="74" t="s">
        <v>108</v>
      </c>
      <c r="E66" s="126">
        <v>75</v>
      </c>
      <c r="F66" s="69" t="s">
        <v>25</v>
      </c>
      <c r="G66" s="274" t="e">
        <f>G42/G41*100</f>
        <v>#DIV/0!</v>
      </c>
      <c r="H66" s="274" t="e">
        <f>H42/H41*100</f>
        <v>#DIV/0!</v>
      </c>
      <c r="I66" s="274" t="e">
        <f>I42/I41*100</f>
        <v>#DIV/0!</v>
      </c>
      <c r="J66" s="274" t="e">
        <f>J42/J41*100</f>
        <v>#DIV/0!</v>
      </c>
      <c r="K66" s="274" t="e">
        <v>#DIV/0!</v>
      </c>
      <c r="L66" s="274" t="e">
        <f t="shared" ref="L66:R66" si="60">L42/L41*100</f>
        <v>#DIV/0!</v>
      </c>
      <c r="M66" s="274" t="e">
        <f t="shared" si="60"/>
        <v>#DIV/0!</v>
      </c>
      <c r="N66" s="274" t="e">
        <f t="shared" si="60"/>
        <v>#DIV/0!</v>
      </c>
      <c r="O66" s="274" t="e">
        <f t="shared" si="60"/>
        <v>#DIV/0!</v>
      </c>
      <c r="P66" s="274" t="e">
        <f t="shared" si="60"/>
        <v>#DIV/0!</v>
      </c>
      <c r="Q66" s="274" t="e">
        <f t="shared" si="60"/>
        <v>#DIV/0!</v>
      </c>
      <c r="R66" s="274" t="e">
        <f t="shared" si="60"/>
        <v>#DIV/0!</v>
      </c>
      <c r="S66" s="274" t="e">
        <f t="shared" ref="S66:AJ66" si="61">S42/S41*100</f>
        <v>#DIV/0!</v>
      </c>
      <c r="T66" s="274" t="e">
        <f t="shared" ref="T66" si="62">T42/T41*100</f>
        <v>#DIV/0!</v>
      </c>
      <c r="U66" s="274" t="e">
        <f t="shared" si="61"/>
        <v>#DIV/0!</v>
      </c>
      <c r="V66" s="274" t="e">
        <f t="shared" si="61"/>
        <v>#DIV/0!</v>
      </c>
      <c r="W66" s="274" t="e">
        <f t="shared" si="61"/>
        <v>#DIV/0!</v>
      </c>
      <c r="X66" s="274" t="e">
        <f t="shared" si="61"/>
        <v>#DIV/0!</v>
      </c>
      <c r="Y66" s="274" t="e">
        <f t="shared" si="61"/>
        <v>#DIV/0!</v>
      </c>
      <c r="Z66" s="274" t="e">
        <f t="shared" si="61"/>
        <v>#DIV/0!</v>
      </c>
      <c r="AA66" s="274" t="e">
        <f t="shared" si="61"/>
        <v>#DIV/0!</v>
      </c>
      <c r="AB66" s="274" t="e">
        <f t="shared" si="61"/>
        <v>#DIV/0!</v>
      </c>
      <c r="AC66" s="274" t="e">
        <f t="shared" si="61"/>
        <v>#DIV/0!</v>
      </c>
      <c r="AD66" s="274" t="e">
        <f t="shared" si="61"/>
        <v>#DIV/0!</v>
      </c>
      <c r="AE66" s="274" t="e">
        <f t="shared" si="61"/>
        <v>#DIV/0!</v>
      </c>
      <c r="AF66" s="274" t="e">
        <f t="shared" si="61"/>
        <v>#DIV/0!</v>
      </c>
      <c r="AG66" s="274" t="e">
        <f t="shared" si="61"/>
        <v>#DIV/0!</v>
      </c>
      <c r="AH66" s="274" t="e">
        <f t="shared" si="61"/>
        <v>#DIV/0!</v>
      </c>
      <c r="AI66" s="274" t="e">
        <f t="shared" si="61"/>
        <v>#DIV/0!</v>
      </c>
      <c r="AJ66" s="274" t="e">
        <f t="shared" si="61"/>
        <v>#DIV/0!</v>
      </c>
      <c r="AK66" s="274" t="e">
        <f t="shared" ref="AK66" si="63">AK42/AK41*100</f>
        <v>#DIV/0!</v>
      </c>
      <c r="AL66" s="62"/>
      <c r="AM66" s="301" t="e">
        <f>AM42/AM41*100</f>
        <v>#DIV/0!</v>
      </c>
    </row>
    <row r="67" spans="3:49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4" t="e">
        <f>G43/G41*100</f>
        <v>#DIV/0!</v>
      </c>
      <c r="H67" s="274" t="e">
        <f>H43/H41*100</f>
        <v>#DIV/0!</v>
      </c>
      <c r="I67" s="274" t="e">
        <f>I43/I41*100</f>
        <v>#DIV/0!</v>
      </c>
      <c r="J67" s="274" t="e">
        <f>J43/J41*100</f>
        <v>#DIV/0!</v>
      </c>
      <c r="K67" s="274" t="e">
        <v>#DIV/0!</v>
      </c>
      <c r="L67" s="274" t="e">
        <f t="shared" ref="L67:R67" si="64">L43/L41*100</f>
        <v>#DIV/0!</v>
      </c>
      <c r="M67" s="274" t="e">
        <f t="shared" si="64"/>
        <v>#DIV/0!</v>
      </c>
      <c r="N67" s="274" t="e">
        <f t="shared" si="64"/>
        <v>#DIV/0!</v>
      </c>
      <c r="O67" s="274" t="e">
        <f t="shared" si="64"/>
        <v>#DIV/0!</v>
      </c>
      <c r="P67" s="274" t="e">
        <f t="shared" si="64"/>
        <v>#DIV/0!</v>
      </c>
      <c r="Q67" s="274" t="e">
        <f t="shared" si="64"/>
        <v>#DIV/0!</v>
      </c>
      <c r="R67" s="274" t="e">
        <f t="shared" si="64"/>
        <v>#DIV/0!</v>
      </c>
      <c r="S67" s="274" t="e">
        <f t="shared" ref="S67:AJ67" si="65">S43/S41*100</f>
        <v>#DIV/0!</v>
      </c>
      <c r="T67" s="274" t="e">
        <f t="shared" ref="T67" si="66">T43/T41*100</f>
        <v>#DIV/0!</v>
      </c>
      <c r="U67" s="274" t="e">
        <f t="shared" si="65"/>
        <v>#DIV/0!</v>
      </c>
      <c r="V67" s="274" t="e">
        <f t="shared" si="65"/>
        <v>#DIV/0!</v>
      </c>
      <c r="W67" s="274" t="e">
        <f t="shared" si="65"/>
        <v>#DIV/0!</v>
      </c>
      <c r="X67" s="274" t="e">
        <f t="shared" si="65"/>
        <v>#DIV/0!</v>
      </c>
      <c r="Y67" s="274" t="e">
        <f t="shared" si="65"/>
        <v>#DIV/0!</v>
      </c>
      <c r="Z67" s="274" t="e">
        <f t="shared" si="65"/>
        <v>#DIV/0!</v>
      </c>
      <c r="AA67" s="274" t="e">
        <f t="shared" si="65"/>
        <v>#DIV/0!</v>
      </c>
      <c r="AB67" s="274" t="e">
        <f t="shared" si="65"/>
        <v>#DIV/0!</v>
      </c>
      <c r="AC67" s="274" t="e">
        <f t="shared" si="65"/>
        <v>#DIV/0!</v>
      </c>
      <c r="AD67" s="274" t="e">
        <f t="shared" si="65"/>
        <v>#DIV/0!</v>
      </c>
      <c r="AE67" s="274" t="e">
        <f t="shared" si="65"/>
        <v>#DIV/0!</v>
      </c>
      <c r="AF67" s="274" t="e">
        <f t="shared" si="65"/>
        <v>#DIV/0!</v>
      </c>
      <c r="AG67" s="274" t="e">
        <f t="shared" si="65"/>
        <v>#DIV/0!</v>
      </c>
      <c r="AH67" s="274" t="e">
        <f t="shared" si="65"/>
        <v>#DIV/0!</v>
      </c>
      <c r="AI67" s="274" t="e">
        <f t="shared" si="65"/>
        <v>#DIV/0!</v>
      </c>
      <c r="AJ67" s="274" t="e">
        <f t="shared" si="65"/>
        <v>#DIV/0!</v>
      </c>
      <c r="AK67" s="274" t="e">
        <f t="shared" ref="AK67" si="67">AK43/AK41*100</f>
        <v>#DIV/0!</v>
      </c>
      <c r="AL67" s="18"/>
      <c r="AM67" s="301" t="e">
        <f>AM43/AM41*100</f>
        <v>#DIV/0!</v>
      </c>
    </row>
    <row r="68" spans="3:49" x14ac:dyDescent="0.25">
      <c r="C68" s="15"/>
      <c r="D68" s="74" t="s">
        <v>111</v>
      </c>
      <c r="E68" s="126">
        <v>70</v>
      </c>
      <c r="F68" s="69" t="s">
        <v>25</v>
      </c>
      <c r="G68" s="274" t="e">
        <f>G46/(G46+G47)*100</f>
        <v>#DIV/0!</v>
      </c>
      <c r="H68" s="274" t="e">
        <f>H46/(H46+H47)*100</f>
        <v>#DIV/0!</v>
      </c>
      <c r="I68" s="274" t="e">
        <f>I46/(I46+I47)*100</f>
        <v>#DIV/0!</v>
      </c>
      <c r="J68" s="274" t="e">
        <f>J46/(J46+J47)*100</f>
        <v>#DIV/0!</v>
      </c>
      <c r="K68" s="274" t="e">
        <f>K46/(K46+K47)*100</f>
        <v>#DIV/0!</v>
      </c>
      <c r="L68" s="274" t="e">
        <f t="shared" ref="L68:R68" si="68">L46/(L46+L47)*100</f>
        <v>#DIV/0!</v>
      </c>
      <c r="M68" s="274" t="e">
        <f t="shared" si="68"/>
        <v>#DIV/0!</v>
      </c>
      <c r="N68" s="274" t="e">
        <f t="shared" si="68"/>
        <v>#DIV/0!</v>
      </c>
      <c r="O68" s="274" t="e">
        <f t="shared" si="68"/>
        <v>#DIV/0!</v>
      </c>
      <c r="P68" s="274" t="e">
        <f t="shared" si="68"/>
        <v>#DIV/0!</v>
      </c>
      <c r="Q68" s="274" t="e">
        <f t="shared" si="68"/>
        <v>#DIV/0!</v>
      </c>
      <c r="R68" s="274" t="e">
        <f t="shared" si="68"/>
        <v>#DIV/0!</v>
      </c>
      <c r="S68" s="274" t="e">
        <f t="shared" ref="S68:AJ68" si="69">S46/(S46+S47)*100</f>
        <v>#DIV/0!</v>
      </c>
      <c r="T68" s="274" t="e">
        <f t="shared" ref="T68" si="70">T46/(T46+T47)*100</f>
        <v>#DIV/0!</v>
      </c>
      <c r="U68" s="274">
        <f t="shared" si="69"/>
        <v>70.330437905219441</v>
      </c>
      <c r="V68" s="274">
        <f t="shared" si="69"/>
        <v>70.514485944571931</v>
      </c>
      <c r="W68" s="274">
        <f t="shared" si="69"/>
        <v>69.772865874948209</v>
      </c>
      <c r="X68" s="274">
        <f t="shared" si="69"/>
        <v>67.092626353841879</v>
      </c>
      <c r="Y68" s="274">
        <f t="shared" si="69"/>
        <v>55.869035274303457</v>
      </c>
      <c r="Z68" s="274">
        <f t="shared" si="69"/>
        <v>87.692127789716764</v>
      </c>
      <c r="AA68" s="274">
        <f t="shared" si="69"/>
        <v>69.596011506066901</v>
      </c>
      <c r="AB68" s="274">
        <f t="shared" si="69"/>
        <v>73.904106496844946</v>
      </c>
      <c r="AC68" s="274">
        <f t="shared" si="69"/>
        <v>71.330348173591091</v>
      </c>
      <c r="AD68" s="274">
        <f t="shared" si="69"/>
        <v>71.044719731515656</v>
      </c>
      <c r="AE68" s="274">
        <f t="shared" si="69"/>
        <v>66.169041266958047</v>
      </c>
      <c r="AF68" s="274">
        <f t="shared" si="69"/>
        <v>70.423837441425547</v>
      </c>
      <c r="AG68" s="274">
        <f t="shared" si="69"/>
        <v>68.360345695322579</v>
      </c>
      <c r="AH68" s="274">
        <f t="shared" si="69"/>
        <v>71.624786140717617</v>
      </c>
      <c r="AI68" s="274">
        <f t="shared" si="69"/>
        <v>72.694603968840624</v>
      </c>
      <c r="AJ68" s="274">
        <f t="shared" si="69"/>
        <v>70.72109455591837</v>
      </c>
      <c r="AK68" s="274">
        <f t="shared" ref="AK68" si="71">AK46/(AK46+AK47)*100</f>
        <v>69.900017997707664</v>
      </c>
      <c r="AL68" s="18"/>
      <c r="AM68" s="1502">
        <f>AM46/(AM46+AM47)*100</f>
        <v>70.41610397546475</v>
      </c>
      <c r="AW68" s="3"/>
    </row>
    <row r="69" spans="3:49" x14ac:dyDescent="0.25">
      <c r="C69" s="15"/>
      <c r="D69" s="74" t="s">
        <v>62</v>
      </c>
      <c r="E69" s="126">
        <v>30</v>
      </c>
      <c r="F69" s="69" t="s">
        <v>25</v>
      </c>
      <c r="G69" s="274" t="e">
        <f>G47/(G47+G46)*100</f>
        <v>#DIV/0!</v>
      </c>
      <c r="H69" s="274" t="e">
        <f>H47/(H47+H46)*100</f>
        <v>#DIV/0!</v>
      </c>
      <c r="I69" s="274" t="e">
        <f>I47/(I47+I46)*100</f>
        <v>#DIV/0!</v>
      </c>
      <c r="J69" s="274" t="e">
        <f>J47/(J47+J46)*100</f>
        <v>#DIV/0!</v>
      </c>
      <c r="K69" s="274" t="e">
        <f>K47/(K47+K46)*100</f>
        <v>#DIV/0!</v>
      </c>
      <c r="L69" s="274" t="e">
        <f t="shared" ref="L69:R69" si="72">L47/(L47+L46)*100</f>
        <v>#DIV/0!</v>
      </c>
      <c r="M69" s="274" t="e">
        <f t="shared" si="72"/>
        <v>#DIV/0!</v>
      </c>
      <c r="N69" s="274" t="e">
        <f t="shared" si="72"/>
        <v>#DIV/0!</v>
      </c>
      <c r="O69" s="274" t="e">
        <f t="shared" si="72"/>
        <v>#DIV/0!</v>
      </c>
      <c r="P69" s="274" t="e">
        <f t="shared" si="72"/>
        <v>#DIV/0!</v>
      </c>
      <c r="Q69" s="274" t="e">
        <f t="shared" si="72"/>
        <v>#DIV/0!</v>
      </c>
      <c r="R69" s="274" t="e">
        <f t="shared" si="72"/>
        <v>#DIV/0!</v>
      </c>
      <c r="S69" s="274" t="e">
        <f t="shared" ref="S69:AJ69" si="73">S47/(S47+S46)*100</f>
        <v>#DIV/0!</v>
      </c>
      <c r="T69" s="274" t="e">
        <f t="shared" ref="T69" si="74">T47/(T47+T46)*100</f>
        <v>#DIV/0!</v>
      </c>
      <c r="U69" s="274">
        <f t="shared" si="73"/>
        <v>29.669562094780566</v>
      </c>
      <c r="V69" s="274">
        <f t="shared" si="73"/>
        <v>29.485514055428062</v>
      </c>
      <c r="W69" s="274">
        <f t="shared" si="73"/>
        <v>30.227134125051791</v>
      </c>
      <c r="X69" s="274">
        <f t="shared" si="73"/>
        <v>32.907373646158128</v>
      </c>
      <c r="Y69" s="274">
        <f t="shared" si="73"/>
        <v>44.130964725696543</v>
      </c>
      <c r="Z69" s="274">
        <f t="shared" si="73"/>
        <v>12.307872210283232</v>
      </c>
      <c r="AA69" s="274">
        <f t="shared" si="73"/>
        <v>30.403988493933102</v>
      </c>
      <c r="AB69" s="274">
        <f t="shared" si="73"/>
        <v>26.095893503155061</v>
      </c>
      <c r="AC69" s="274">
        <f t="shared" si="73"/>
        <v>28.669651826408902</v>
      </c>
      <c r="AD69" s="274">
        <f t="shared" si="73"/>
        <v>28.955280268484341</v>
      </c>
      <c r="AE69" s="274">
        <f t="shared" si="73"/>
        <v>33.830958733041946</v>
      </c>
      <c r="AF69" s="274">
        <f t="shared" si="73"/>
        <v>29.57616255857446</v>
      </c>
      <c r="AG69" s="274">
        <f t="shared" si="73"/>
        <v>31.639654304677421</v>
      </c>
      <c r="AH69" s="274">
        <f t="shared" si="73"/>
        <v>28.375213859282393</v>
      </c>
      <c r="AI69" s="274">
        <f t="shared" si="73"/>
        <v>27.305396031159379</v>
      </c>
      <c r="AJ69" s="274">
        <f t="shared" si="73"/>
        <v>29.278905444081627</v>
      </c>
      <c r="AK69" s="274">
        <f t="shared" ref="AK69" si="75">AK47/(AK47+AK46)*100</f>
        <v>30.099982002292343</v>
      </c>
      <c r="AL69" s="18"/>
      <c r="AM69" s="301">
        <f>AM47/AM45*100</f>
        <v>29.583896024535257</v>
      </c>
    </row>
    <row r="70" spans="3:49" x14ac:dyDescent="0.25">
      <c r="C70" s="15"/>
      <c r="D70" s="74" t="s">
        <v>818</v>
      </c>
      <c r="E70" s="126">
        <v>70</v>
      </c>
      <c r="F70" s="69" t="s">
        <v>25</v>
      </c>
      <c r="G70" s="274" t="e">
        <f>G51/(G51+G52)*100</f>
        <v>#DIV/0!</v>
      </c>
      <c r="H70" s="274" t="e">
        <f>H51/(H51+H52)*100</f>
        <v>#DIV/0!</v>
      </c>
      <c r="I70" s="274" t="e">
        <f>I51/(I51+I52)*100</f>
        <v>#DIV/0!</v>
      </c>
      <c r="J70" s="274" t="e">
        <f>J51/(J51+J52)*100</f>
        <v>#DIV/0!</v>
      </c>
      <c r="K70" s="274" t="e">
        <v>#DIV/0!</v>
      </c>
      <c r="L70" s="274" t="e">
        <f t="shared" ref="L70:R70" si="76">L51/(L51+L52)*100</f>
        <v>#DIV/0!</v>
      </c>
      <c r="M70" s="274" t="e">
        <f t="shared" si="76"/>
        <v>#DIV/0!</v>
      </c>
      <c r="N70" s="274" t="e">
        <f t="shared" si="76"/>
        <v>#DIV/0!</v>
      </c>
      <c r="O70" s="274" t="e">
        <f t="shared" si="76"/>
        <v>#DIV/0!</v>
      </c>
      <c r="P70" s="274" t="e">
        <f t="shared" si="76"/>
        <v>#DIV/0!</v>
      </c>
      <c r="Q70" s="274" t="e">
        <f t="shared" si="76"/>
        <v>#DIV/0!</v>
      </c>
      <c r="R70" s="274" t="e">
        <f t="shared" si="76"/>
        <v>#DIV/0!</v>
      </c>
      <c r="S70" s="274" t="e">
        <f t="shared" ref="S70:AJ70" si="77">S51/(S51+S52)*100</f>
        <v>#DIV/0!</v>
      </c>
      <c r="T70" s="274" t="e">
        <f t="shared" ref="T70" si="78">T51/(T51+T52)*100</f>
        <v>#DIV/0!</v>
      </c>
      <c r="U70" s="274" t="e">
        <f t="shared" si="77"/>
        <v>#DIV/0!</v>
      </c>
      <c r="V70" s="274" t="e">
        <f t="shared" si="77"/>
        <v>#DIV/0!</v>
      </c>
      <c r="W70" s="274" t="e">
        <f t="shared" si="77"/>
        <v>#DIV/0!</v>
      </c>
      <c r="X70" s="274" t="e">
        <f t="shared" si="77"/>
        <v>#DIV/0!</v>
      </c>
      <c r="Y70" s="274" t="e">
        <f t="shared" si="77"/>
        <v>#DIV/0!</v>
      </c>
      <c r="Z70" s="274" t="e">
        <f t="shared" si="77"/>
        <v>#DIV/0!</v>
      </c>
      <c r="AA70" s="274" t="e">
        <f t="shared" si="77"/>
        <v>#DIV/0!</v>
      </c>
      <c r="AB70" s="274" t="e">
        <f t="shared" si="77"/>
        <v>#DIV/0!</v>
      </c>
      <c r="AC70" s="274" t="e">
        <f t="shared" si="77"/>
        <v>#DIV/0!</v>
      </c>
      <c r="AD70" s="274" t="e">
        <f t="shared" si="77"/>
        <v>#DIV/0!</v>
      </c>
      <c r="AE70" s="274" t="e">
        <f t="shared" si="77"/>
        <v>#DIV/0!</v>
      </c>
      <c r="AF70" s="274" t="e">
        <f t="shared" si="77"/>
        <v>#DIV/0!</v>
      </c>
      <c r="AG70" s="274" t="e">
        <f t="shared" si="77"/>
        <v>#DIV/0!</v>
      </c>
      <c r="AH70" s="274" t="e">
        <f t="shared" si="77"/>
        <v>#DIV/0!</v>
      </c>
      <c r="AI70" s="274" t="e">
        <f t="shared" si="77"/>
        <v>#DIV/0!</v>
      </c>
      <c r="AJ70" s="274" t="e">
        <f t="shared" si="77"/>
        <v>#DIV/0!</v>
      </c>
      <c r="AK70" s="274" t="e">
        <f t="shared" ref="AK70" si="79">AK51/(AK51+AK52)*100</f>
        <v>#DIV/0!</v>
      </c>
      <c r="AL70" s="18"/>
      <c r="AM70" s="1502" t="e">
        <f>AM51/(AM51+AM52)*100</f>
        <v>#DIV/0!</v>
      </c>
    </row>
    <row r="71" spans="3:49" x14ac:dyDescent="0.25">
      <c r="C71" s="15"/>
      <c r="D71" s="74" t="s">
        <v>62</v>
      </c>
      <c r="E71" s="126">
        <v>30</v>
      </c>
      <c r="F71" s="69" t="s">
        <v>25</v>
      </c>
      <c r="G71" s="274" t="e">
        <f>G52/(G51+G52)*100</f>
        <v>#DIV/0!</v>
      </c>
      <c r="H71" s="274" t="e">
        <f>H52/(H51+H52)*100</f>
        <v>#DIV/0!</v>
      </c>
      <c r="I71" s="274" t="e">
        <f>I52/(I51+I52)*100</f>
        <v>#DIV/0!</v>
      </c>
      <c r="J71" s="274" t="e">
        <f>J52/(J51+J52)*100</f>
        <v>#DIV/0!</v>
      </c>
      <c r="K71" s="274" t="e">
        <v>#DIV/0!</v>
      </c>
      <c r="L71" s="274" t="e">
        <f t="shared" ref="L71:R71" si="80">L52/(L51+L52)*100</f>
        <v>#DIV/0!</v>
      </c>
      <c r="M71" s="274" t="e">
        <f t="shared" si="80"/>
        <v>#DIV/0!</v>
      </c>
      <c r="N71" s="274" t="e">
        <f t="shared" si="80"/>
        <v>#DIV/0!</v>
      </c>
      <c r="O71" s="274" t="e">
        <f t="shared" si="80"/>
        <v>#DIV/0!</v>
      </c>
      <c r="P71" s="274" t="e">
        <f t="shared" si="80"/>
        <v>#DIV/0!</v>
      </c>
      <c r="Q71" s="274" t="e">
        <f t="shared" si="80"/>
        <v>#DIV/0!</v>
      </c>
      <c r="R71" s="274" t="e">
        <f t="shared" si="80"/>
        <v>#DIV/0!</v>
      </c>
      <c r="S71" s="274" t="e">
        <f t="shared" ref="S71:AJ71" si="81">S52/(S51+S52)*100</f>
        <v>#DIV/0!</v>
      </c>
      <c r="T71" s="274" t="e">
        <f t="shared" ref="T71" si="82">T52/(T51+T52)*100</f>
        <v>#DIV/0!</v>
      </c>
      <c r="U71" s="274" t="e">
        <f t="shared" si="81"/>
        <v>#DIV/0!</v>
      </c>
      <c r="V71" s="274" t="e">
        <f t="shared" si="81"/>
        <v>#DIV/0!</v>
      </c>
      <c r="W71" s="274" t="e">
        <f t="shared" si="81"/>
        <v>#DIV/0!</v>
      </c>
      <c r="X71" s="274" t="e">
        <f t="shared" si="81"/>
        <v>#DIV/0!</v>
      </c>
      <c r="Y71" s="274" t="e">
        <f t="shared" si="81"/>
        <v>#DIV/0!</v>
      </c>
      <c r="Z71" s="274" t="e">
        <f t="shared" si="81"/>
        <v>#DIV/0!</v>
      </c>
      <c r="AA71" s="274" t="e">
        <f t="shared" si="81"/>
        <v>#DIV/0!</v>
      </c>
      <c r="AB71" s="274" t="e">
        <f t="shared" si="81"/>
        <v>#DIV/0!</v>
      </c>
      <c r="AC71" s="274" t="e">
        <f t="shared" si="81"/>
        <v>#DIV/0!</v>
      </c>
      <c r="AD71" s="274" t="e">
        <f t="shared" si="81"/>
        <v>#DIV/0!</v>
      </c>
      <c r="AE71" s="274" t="e">
        <f t="shared" si="81"/>
        <v>#DIV/0!</v>
      </c>
      <c r="AF71" s="274" t="e">
        <f t="shared" si="81"/>
        <v>#DIV/0!</v>
      </c>
      <c r="AG71" s="274" t="e">
        <f t="shared" si="81"/>
        <v>#DIV/0!</v>
      </c>
      <c r="AH71" s="274" t="e">
        <f t="shared" si="81"/>
        <v>#DIV/0!</v>
      </c>
      <c r="AI71" s="274" t="e">
        <f t="shared" si="81"/>
        <v>#DIV/0!</v>
      </c>
      <c r="AJ71" s="274" t="e">
        <f t="shared" si="81"/>
        <v>#DIV/0!</v>
      </c>
      <c r="AK71" s="274" t="e">
        <f t="shared" ref="AK71" si="83">AK52/(AK51+AK52)*100</f>
        <v>#DIV/0!</v>
      </c>
      <c r="AL71" s="18"/>
      <c r="AM71" s="1502" t="e">
        <f>AM52/(AM51+AM52)*100</f>
        <v>#DIV/0!</v>
      </c>
    </row>
    <row r="72" spans="3:49" x14ac:dyDescent="0.25">
      <c r="C72" s="15"/>
      <c r="D72" s="74" t="s">
        <v>61</v>
      </c>
      <c r="E72" s="126">
        <v>60</v>
      </c>
      <c r="F72" s="69" t="s">
        <v>25</v>
      </c>
      <c r="G72" s="274" t="e">
        <f t="shared" ref="G72:R72" si="84">G56/(G56+G57)*100</f>
        <v>#DIV/0!</v>
      </c>
      <c r="H72" s="274" t="e">
        <f t="shared" si="84"/>
        <v>#DIV/0!</v>
      </c>
      <c r="I72" s="274" t="e">
        <f t="shared" si="84"/>
        <v>#DIV/0!</v>
      </c>
      <c r="J72" s="274" t="e">
        <f t="shared" si="84"/>
        <v>#DIV/0!</v>
      </c>
      <c r="K72" s="274" t="e">
        <f t="shared" si="84"/>
        <v>#DIV/0!</v>
      </c>
      <c r="L72" s="274" t="e">
        <f t="shared" si="84"/>
        <v>#DIV/0!</v>
      </c>
      <c r="M72" s="274" t="e">
        <f t="shared" si="84"/>
        <v>#DIV/0!</v>
      </c>
      <c r="N72" s="274" t="e">
        <f t="shared" si="84"/>
        <v>#DIV/0!</v>
      </c>
      <c r="O72" s="274" t="e">
        <f t="shared" si="84"/>
        <v>#DIV/0!</v>
      </c>
      <c r="P72" s="274" t="e">
        <f t="shared" si="84"/>
        <v>#DIV/0!</v>
      </c>
      <c r="Q72" s="274" t="e">
        <f t="shared" si="84"/>
        <v>#DIV/0!</v>
      </c>
      <c r="R72" s="274" t="e">
        <f t="shared" si="84"/>
        <v>#DIV/0!</v>
      </c>
      <c r="S72" s="274" t="e">
        <f t="shared" ref="S72:AJ72" si="85">S56/(S56+S57)*100</f>
        <v>#DIV/0!</v>
      </c>
      <c r="T72" s="274" t="e">
        <f t="shared" ref="T72" si="86">T56/(T56+T57)*100</f>
        <v>#DIV/0!</v>
      </c>
      <c r="U72" s="274" t="e">
        <f t="shared" si="85"/>
        <v>#DIV/0!</v>
      </c>
      <c r="V72" s="274" t="e">
        <f t="shared" si="85"/>
        <v>#DIV/0!</v>
      </c>
      <c r="W72" s="274" t="e">
        <f t="shared" si="85"/>
        <v>#DIV/0!</v>
      </c>
      <c r="X72" s="274" t="e">
        <f t="shared" si="85"/>
        <v>#DIV/0!</v>
      </c>
      <c r="Y72" s="274" t="e">
        <f t="shared" si="85"/>
        <v>#DIV/0!</v>
      </c>
      <c r="Z72" s="274" t="e">
        <f t="shared" si="85"/>
        <v>#DIV/0!</v>
      </c>
      <c r="AA72" s="274" t="e">
        <f t="shared" si="85"/>
        <v>#DIV/0!</v>
      </c>
      <c r="AB72" s="274" t="e">
        <f t="shared" si="85"/>
        <v>#DIV/0!</v>
      </c>
      <c r="AC72" s="274" t="e">
        <f t="shared" si="85"/>
        <v>#DIV/0!</v>
      </c>
      <c r="AD72" s="274" t="e">
        <f t="shared" si="85"/>
        <v>#DIV/0!</v>
      </c>
      <c r="AE72" s="274" t="e">
        <f t="shared" si="85"/>
        <v>#DIV/0!</v>
      </c>
      <c r="AF72" s="274" t="e">
        <f t="shared" si="85"/>
        <v>#DIV/0!</v>
      </c>
      <c r="AG72" s="274" t="e">
        <f t="shared" si="85"/>
        <v>#DIV/0!</v>
      </c>
      <c r="AH72" s="274" t="e">
        <f t="shared" si="85"/>
        <v>#DIV/0!</v>
      </c>
      <c r="AI72" s="274" t="e">
        <f t="shared" si="85"/>
        <v>#DIV/0!</v>
      </c>
      <c r="AJ72" s="274" t="e">
        <f t="shared" si="85"/>
        <v>#DIV/0!</v>
      </c>
      <c r="AK72" s="274" t="e">
        <f t="shared" ref="AK72" si="87">AK56/(AK56+AK57)*100</f>
        <v>#DIV/0!</v>
      </c>
      <c r="AL72" s="62"/>
      <c r="AM72" s="1502" t="e">
        <f>AM56/(AM55+AM51)*100</f>
        <v>#DIV/0!</v>
      </c>
    </row>
    <row r="73" spans="3:49" ht="15.75" thickBot="1" x14ac:dyDescent="0.3">
      <c r="C73" s="19"/>
      <c r="D73" s="74" t="s">
        <v>60</v>
      </c>
      <c r="E73" s="126">
        <v>40</v>
      </c>
      <c r="F73" s="69" t="s">
        <v>25</v>
      </c>
      <c r="G73" s="274" t="e">
        <f>G57/G55*100</f>
        <v>#DIV/0!</v>
      </c>
      <c r="H73" s="274" t="e">
        <f>H57/H55*100</f>
        <v>#DIV/0!</v>
      </c>
      <c r="I73" s="274" t="e">
        <f>I57/I55*100</f>
        <v>#DIV/0!</v>
      </c>
      <c r="J73" s="274" t="e">
        <f>J57/J55*100</f>
        <v>#DIV/0!</v>
      </c>
      <c r="K73" s="274" t="e">
        <v>#DIV/0!</v>
      </c>
      <c r="L73" s="274" t="e">
        <f t="shared" ref="L73:R73" si="88">L57/L55*100</f>
        <v>#DIV/0!</v>
      </c>
      <c r="M73" s="274" t="e">
        <f t="shared" si="88"/>
        <v>#DIV/0!</v>
      </c>
      <c r="N73" s="274" t="e">
        <f t="shared" si="88"/>
        <v>#DIV/0!</v>
      </c>
      <c r="O73" s="274" t="e">
        <f t="shared" si="88"/>
        <v>#DIV/0!</v>
      </c>
      <c r="P73" s="274" t="e">
        <f t="shared" si="88"/>
        <v>#DIV/0!</v>
      </c>
      <c r="Q73" s="274" t="e">
        <f t="shared" si="88"/>
        <v>#DIV/0!</v>
      </c>
      <c r="R73" s="274" t="e">
        <f t="shared" si="88"/>
        <v>#DIV/0!</v>
      </c>
      <c r="S73" s="274" t="e">
        <f t="shared" ref="S73:AJ73" si="89">S57/S55*100</f>
        <v>#DIV/0!</v>
      </c>
      <c r="T73" s="274" t="e">
        <f t="shared" ref="T73" si="90">T57/T55*100</f>
        <v>#DIV/0!</v>
      </c>
      <c r="U73" s="274" t="e">
        <f t="shared" si="89"/>
        <v>#DIV/0!</v>
      </c>
      <c r="V73" s="274" t="e">
        <f t="shared" si="89"/>
        <v>#DIV/0!</v>
      </c>
      <c r="W73" s="274" t="e">
        <f t="shared" si="89"/>
        <v>#DIV/0!</v>
      </c>
      <c r="X73" s="274" t="e">
        <f t="shared" si="89"/>
        <v>#DIV/0!</v>
      </c>
      <c r="Y73" s="274" t="e">
        <f t="shared" si="89"/>
        <v>#DIV/0!</v>
      </c>
      <c r="Z73" s="274" t="e">
        <f t="shared" si="89"/>
        <v>#DIV/0!</v>
      </c>
      <c r="AA73" s="274" t="e">
        <f t="shared" si="89"/>
        <v>#DIV/0!</v>
      </c>
      <c r="AB73" s="274" t="e">
        <f t="shared" si="89"/>
        <v>#DIV/0!</v>
      </c>
      <c r="AC73" s="274" t="e">
        <f t="shared" si="89"/>
        <v>#DIV/0!</v>
      </c>
      <c r="AD73" s="274" t="e">
        <f t="shared" si="89"/>
        <v>#DIV/0!</v>
      </c>
      <c r="AE73" s="274" t="e">
        <f t="shared" si="89"/>
        <v>#DIV/0!</v>
      </c>
      <c r="AF73" s="274" t="e">
        <f t="shared" si="89"/>
        <v>#DIV/0!</v>
      </c>
      <c r="AG73" s="274" t="e">
        <f t="shared" si="89"/>
        <v>#DIV/0!</v>
      </c>
      <c r="AH73" s="274" t="e">
        <f t="shared" si="89"/>
        <v>#DIV/0!</v>
      </c>
      <c r="AI73" s="274" t="e">
        <f t="shared" si="89"/>
        <v>#DIV/0!</v>
      </c>
      <c r="AJ73" s="274" t="e">
        <f t="shared" si="89"/>
        <v>#DIV/0!</v>
      </c>
      <c r="AK73" s="274" t="e">
        <f t="shared" ref="AK73" si="91">AK57/AK55*100</f>
        <v>#DIV/0!</v>
      </c>
      <c r="AL73" s="18"/>
      <c r="AM73" s="301" t="e">
        <f>AM57/AM55*100</f>
        <v>#DIV/0!</v>
      </c>
    </row>
    <row r="74" spans="3:49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63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129</v>
      </c>
      <c r="AW74" s="3">
        <f>AW68-AW69-AW70-AW71-AW72-AW73</f>
        <v>0</v>
      </c>
    </row>
    <row r="75" spans="3:49" x14ac:dyDescent="0.25">
      <c r="C75" s="8"/>
      <c r="D75" s="235" t="s">
        <v>58</v>
      </c>
      <c r="E75" s="252">
        <v>9</v>
      </c>
      <c r="F75" s="236" t="s">
        <v>56</v>
      </c>
      <c r="G75" s="275">
        <v>0</v>
      </c>
      <c r="H75" s="275">
        <v>0</v>
      </c>
      <c r="I75" s="275">
        <v>0</v>
      </c>
      <c r="J75" s="275">
        <v>0</v>
      </c>
      <c r="K75" s="275">
        <v>0</v>
      </c>
      <c r="L75" s="275">
        <v>0</v>
      </c>
      <c r="M75" s="275">
        <v>3421</v>
      </c>
      <c r="N75" s="2108">
        <v>12321</v>
      </c>
      <c r="O75" s="275">
        <v>13316</v>
      </c>
      <c r="P75" s="275">
        <v>18514.2</v>
      </c>
      <c r="Q75" s="2144">
        <v>21847.1</v>
      </c>
      <c r="R75" s="2147">
        <v>18084.900000000001</v>
      </c>
      <c r="S75" s="2148">
        <v>17935</v>
      </c>
      <c r="T75" s="2171">
        <v>17455</v>
      </c>
      <c r="U75" s="2026">
        <v>13350</v>
      </c>
      <c r="V75" s="275">
        <v>9630</v>
      </c>
      <c r="W75" s="2062">
        <v>12565</v>
      </c>
      <c r="X75" s="275">
        <v>5600</v>
      </c>
      <c r="Y75" s="275">
        <v>11450</v>
      </c>
      <c r="Z75" s="275">
        <v>11460</v>
      </c>
      <c r="AA75" s="275">
        <v>10435</v>
      </c>
      <c r="AB75" s="275">
        <v>10860</v>
      </c>
      <c r="AC75" s="275">
        <v>9175</v>
      </c>
      <c r="AD75" s="275">
        <v>8120</v>
      </c>
      <c r="AE75" s="275">
        <v>6220</v>
      </c>
      <c r="AF75" s="275">
        <v>11550</v>
      </c>
      <c r="AG75" s="275">
        <v>5450</v>
      </c>
      <c r="AH75" s="275">
        <v>4680</v>
      </c>
      <c r="AI75" s="275">
        <v>4140</v>
      </c>
      <c r="AJ75" s="275">
        <v>6470</v>
      </c>
      <c r="AK75" s="275">
        <v>7345</v>
      </c>
      <c r="AM75" s="82">
        <f>SUM(G75:AK75)</f>
        <v>271394.19999999995</v>
      </c>
      <c r="AP75" s="3"/>
      <c r="AU75" s="1">
        <f>123328+148066</f>
        <v>271394</v>
      </c>
    </row>
    <row r="76" spans="3:49" x14ac:dyDescent="0.25">
      <c r="C76" s="15"/>
      <c r="D76" s="21"/>
      <c r="E76" s="254"/>
      <c r="F76" s="20" t="s">
        <v>25</v>
      </c>
      <c r="G76" s="276" t="e">
        <f t="shared" ref="G76:AJ76" si="92">G75/(G11)*100</f>
        <v>#DIV/0!</v>
      </c>
      <c r="H76" s="276" t="e">
        <f t="shared" si="92"/>
        <v>#DIV/0!</v>
      </c>
      <c r="I76" s="276" t="e">
        <f t="shared" si="92"/>
        <v>#DIV/0!</v>
      </c>
      <c r="J76" s="276" t="e">
        <f t="shared" si="92"/>
        <v>#DIV/0!</v>
      </c>
      <c r="K76" s="276" t="e">
        <f t="shared" si="92"/>
        <v>#DIV/0!</v>
      </c>
      <c r="L76" s="276" t="e">
        <f t="shared" si="92"/>
        <v>#DIV/0!</v>
      </c>
      <c r="M76" s="276">
        <f t="shared" si="92"/>
        <v>1.1515455484904689</v>
      </c>
      <c r="N76" s="276">
        <f>N75/(N11)*1000</f>
        <v>8.1190557619201069</v>
      </c>
      <c r="O76" s="276">
        <f>O75/(O11)*1000</f>
        <v>8.8939294056041902</v>
      </c>
      <c r="P76" s="276">
        <f t="shared" ref="P76:V76" si="93">P75/(P11)*1000</f>
        <v>10.004376935172727</v>
      </c>
      <c r="Q76" s="276">
        <f t="shared" si="93"/>
        <v>13.008477174981586</v>
      </c>
      <c r="R76" s="276">
        <f t="shared" si="93"/>
        <v>13.054654441350099</v>
      </c>
      <c r="S76" s="276">
        <f t="shared" si="93"/>
        <v>11.073988568507144</v>
      </c>
      <c r="T76" s="276">
        <f t="shared" si="93"/>
        <v>8.835053524075331</v>
      </c>
      <c r="U76" s="276">
        <f t="shared" si="93"/>
        <v>6.9753334444510049</v>
      </c>
      <c r="V76" s="276">
        <f t="shared" si="93"/>
        <v>6.8137145994625437</v>
      </c>
      <c r="W76" s="276">
        <f t="shared" si="92"/>
        <v>0.94247136769734696</v>
      </c>
      <c r="X76" s="276">
        <f t="shared" si="92"/>
        <v>0.62667720081199463</v>
      </c>
      <c r="Y76" s="276">
        <f t="shared" si="92"/>
        <v>0.62601933169565949</v>
      </c>
      <c r="Z76" s="276">
        <f t="shared" si="92"/>
        <v>0.60598273107850642</v>
      </c>
      <c r="AA76" s="276">
        <f t="shared" si="92"/>
        <v>0.61814033059104523</v>
      </c>
      <c r="AB76" s="276">
        <f t="shared" si="92"/>
        <v>0.58639942116005572</v>
      </c>
      <c r="AC76" s="276">
        <f t="shared" si="92"/>
        <v>0.69753562753498133</v>
      </c>
      <c r="AD76" s="276">
        <f t="shared" si="92"/>
        <v>0.61795619360293574</v>
      </c>
      <c r="AE76" s="276">
        <f t="shared" si="92"/>
        <v>0.61649836855897966</v>
      </c>
      <c r="AF76" s="276">
        <f t="shared" si="92"/>
        <v>0.60600400434853785</v>
      </c>
      <c r="AG76" s="276">
        <f t="shared" si="92"/>
        <v>0.63843196423843851</v>
      </c>
      <c r="AH76" s="276">
        <f t="shared" si="92"/>
        <v>0.66193692929155767</v>
      </c>
      <c r="AI76" s="276">
        <f t="shared" si="92"/>
        <v>0.58342317204642014</v>
      </c>
      <c r="AJ76" s="276">
        <f t="shared" si="92"/>
        <v>0.62496256986154231</v>
      </c>
      <c r="AK76" s="276">
        <f t="shared" ref="AK76" si="94">AK75/(AK11)*100</f>
        <v>0.68018706301801179</v>
      </c>
      <c r="AM76" s="302">
        <f>AM75/(AM11)*1000</f>
        <v>7.8514122328021827</v>
      </c>
    </row>
    <row r="77" spans="3:49" x14ac:dyDescent="0.25">
      <c r="C77" s="15"/>
      <c r="D77" s="235" t="s">
        <v>1059</v>
      </c>
      <c r="E77" s="1783">
        <v>40000</v>
      </c>
      <c r="F77" s="236" t="s">
        <v>56</v>
      </c>
      <c r="G77" s="1921"/>
      <c r="H77" s="1921"/>
      <c r="I77" s="1921"/>
      <c r="J77" s="1921"/>
      <c r="K77" s="1921"/>
      <c r="L77" s="1921"/>
      <c r="M77" s="1921"/>
      <c r="N77" s="1921"/>
      <c r="O77" s="1921"/>
      <c r="P77" s="1921"/>
      <c r="Q77" s="1921"/>
      <c r="R77" s="1921"/>
      <c r="S77" s="1971"/>
      <c r="T77" s="1921"/>
      <c r="U77" s="1921"/>
      <c r="V77" s="1922">
        <v>0</v>
      </c>
      <c r="W77" s="1922">
        <v>0</v>
      </c>
      <c r="X77" s="1922">
        <v>0</v>
      </c>
      <c r="Y77" s="1922">
        <v>0</v>
      </c>
      <c r="Z77" s="1922"/>
      <c r="AA77" s="1922">
        <v>0</v>
      </c>
      <c r="AB77" s="1922">
        <v>0</v>
      </c>
      <c r="AC77" s="1922">
        <v>0</v>
      </c>
      <c r="AD77" s="1922">
        <v>0</v>
      </c>
      <c r="AE77" s="1922">
        <v>0</v>
      </c>
      <c r="AF77" s="1922">
        <v>0</v>
      </c>
      <c r="AG77" s="1922">
        <v>0</v>
      </c>
      <c r="AH77" s="1922"/>
      <c r="AI77" s="1922"/>
      <c r="AJ77" s="1922"/>
      <c r="AK77" s="1922"/>
      <c r="AM77" s="82">
        <f>SUM(G77:AJ77)</f>
        <v>0</v>
      </c>
    </row>
    <row r="78" spans="3:49" x14ac:dyDescent="0.25">
      <c r="C78" s="15"/>
      <c r="D78" s="21"/>
      <c r="E78" s="254"/>
      <c r="F78" s="20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1968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M78" s="1920"/>
      <c r="AW78" s="16"/>
    </row>
    <row r="79" spans="3:49" x14ac:dyDescent="0.25">
      <c r="C79" s="15"/>
      <c r="D79" s="235" t="s">
        <v>1060</v>
      </c>
      <c r="E79" s="1783">
        <v>40000</v>
      </c>
      <c r="F79" s="236" t="s">
        <v>56</v>
      </c>
      <c r="G79" s="1921"/>
      <c r="H79" s="1921"/>
      <c r="I79" s="1921"/>
      <c r="J79" s="1921"/>
      <c r="K79" s="1921"/>
      <c r="L79" s="1921"/>
      <c r="M79" s="1921"/>
      <c r="N79" s="1921"/>
      <c r="O79" s="1921"/>
      <c r="P79" s="1921"/>
      <c r="Q79" s="1921"/>
      <c r="R79" s="1921"/>
      <c r="S79" s="1971"/>
      <c r="T79" s="1921"/>
      <c r="U79" s="1921"/>
      <c r="V79" s="1921">
        <v>0</v>
      </c>
      <c r="W79" s="1922">
        <v>0</v>
      </c>
      <c r="X79" s="1922">
        <v>0</v>
      </c>
      <c r="Y79" s="1922">
        <v>0</v>
      </c>
      <c r="Z79" s="1922">
        <v>0</v>
      </c>
      <c r="AA79" s="1922">
        <v>0</v>
      </c>
      <c r="AB79" s="1922">
        <v>0</v>
      </c>
      <c r="AC79" s="1922">
        <v>0</v>
      </c>
      <c r="AD79" s="1922">
        <v>0</v>
      </c>
      <c r="AE79" s="1922">
        <v>0</v>
      </c>
      <c r="AF79" s="1922">
        <v>0</v>
      </c>
      <c r="AG79" s="1922">
        <v>0</v>
      </c>
      <c r="AH79" s="1922"/>
      <c r="AI79" s="1922"/>
      <c r="AJ79" s="1922"/>
      <c r="AK79" s="1922"/>
      <c r="AM79" s="82">
        <f>SUM(G79:AJ79)</f>
        <v>0</v>
      </c>
    </row>
    <row r="80" spans="3:49" x14ac:dyDescent="0.25">
      <c r="C80" s="15"/>
      <c r="D80" s="21"/>
      <c r="E80" s="254"/>
      <c r="F80" s="20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1968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M80" s="1920"/>
    </row>
    <row r="81" spans="3:61 15027:15040" s="1" customFormat="1" x14ac:dyDescent="0.25">
      <c r="C81" s="8"/>
      <c r="D81" s="237" t="s">
        <v>57</v>
      </c>
      <c r="E81" s="257">
        <v>18</v>
      </c>
      <c r="F81" s="238" t="s">
        <v>56</v>
      </c>
      <c r="G81" s="277">
        <v>0</v>
      </c>
      <c r="H81" s="277">
        <v>0</v>
      </c>
      <c r="I81" s="277">
        <v>0</v>
      </c>
      <c r="J81" s="277">
        <v>0</v>
      </c>
      <c r="K81" s="277">
        <v>0</v>
      </c>
      <c r="L81" s="277">
        <v>0</v>
      </c>
      <c r="M81" s="277">
        <v>0</v>
      </c>
      <c r="N81" s="277">
        <v>0</v>
      </c>
      <c r="O81" s="277">
        <v>0</v>
      </c>
      <c r="P81" s="277">
        <v>0</v>
      </c>
      <c r="Q81" s="277">
        <v>0</v>
      </c>
      <c r="R81" s="277">
        <v>0</v>
      </c>
      <c r="S81" s="1969">
        <v>0</v>
      </c>
      <c r="T81" s="277">
        <v>0</v>
      </c>
      <c r="U81" s="277">
        <v>0</v>
      </c>
      <c r="V81" s="277">
        <v>0</v>
      </c>
      <c r="W81" s="277">
        <v>0</v>
      </c>
      <c r="X81" s="277">
        <v>0</v>
      </c>
      <c r="Y81" s="277">
        <v>0</v>
      </c>
      <c r="Z81" s="277">
        <v>0</v>
      </c>
      <c r="AA81" s="277">
        <v>0</v>
      </c>
      <c r="AB81" s="277">
        <v>0</v>
      </c>
      <c r="AC81" s="277">
        <v>0</v>
      </c>
      <c r="AD81" s="277">
        <v>0</v>
      </c>
      <c r="AE81" s="277">
        <v>0</v>
      </c>
      <c r="AF81" s="277">
        <v>0</v>
      </c>
      <c r="AG81" s="277">
        <v>0</v>
      </c>
      <c r="AH81" s="277">
        <v>0</v>
      </c>
      <c r="AI81" s="277"/>
      <c r="AJ81" s="277">
        <v>0</v>
      </c>
      <c r="AK81" s="277">
        <v>0</v>
      </c>
      <c r="AM81" s="82">
        <f>SUM(G81:AJ81)</f>
        <v>0</v>
      </c>
      <c r="BI81" s="141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x14ac:dyDescent="0.25">
      <c r="C82" s="15"/>
      <c r="D82" s="22"/>
      <c r="E82" s="258"/>
      <c r="F82" s="23" t="s">
        <v>25</v>
      </c>
      <c r="G82" s="278" t="e">
        <f>G81/(G12)*100</f>
        <v>#DIV/0!</v>
      </c>
      <c r="H82" s="278" t="e">
        <f>H81/(H12)*100</f>
        <v>#DIV/0!</v>
      </c>
      <c r="I82" s="278" t="e">
        <f>I81/(I12)*100</f>
        <v>#DIV/0!</v>
      </c>
      <c r="J82" s="278" t="e">
        <f>J81/(J12)*100</f>
        <v>#DIV/0!</v>
      </c>
      <c r="K82" s="278" t="e">
        <v>#DIV/0!</v>
      </c>
      <c r="L82" s="278" t="e">
        <f t="shared" ref="L82:R82" si="95">L81/(L12)*100</f>
        <v>#DIV/0!</v>
      </c>
      <c r="M82" s="278" t="e">
        <f t="shared" si="95"/>
        <v>#DIV/0!</v>
      </c>
      <c r="N82" s="278" t="e">
        <f t="shared" si="95"/>
        <v>#DIV/0!</v>
      </c>
      <c r="O82" s="278" t="e">
        <f t="shared" si="95"/>
        <v>#DIV/0!</v>
      </c>
      <c r="P82" s="278" t="e">
        <f t="shared" si="95"/>
        <v>#DIV/0!</v>
      </c>
      <c r="Q82" s="278" t="e">
        <f t="shared" si="95"/>
        <v>#DIV/0!</v>
      </c>
      <c r="R82" s="278" t="e">
        <f t="shared" si="95"/>
        <v>#DIV/0!</v>
      </c>
      <c r="S82" s="1970" t="e">
        <v>#DIV/0!</v>
      </c>
      <c r="T82" s="278" t="e">
        <f>T81/(T12)*100</f>
        <v>#DIV/0!</v>
      </c>
      <c r="U82" s="278" t="e">
        <f>U81/(U12)*100</f>
        <v>#DIV/0!</v>
      </c>
      <c r="V82" s="278" t="e">
        <f>V81/(V12)*100</f>
        <v>#DIV/0!</v>
      </c>
      <c r="W82" s="278" t="e">
        <f>W81/(W12)*100</f>
        <v>#DIV/0!</v>
      </c>
      <c r="X82" s="278" t="e">
        <v>#DIV/0!</v>
      </c>
      <c r="Y82" s="278" t="e">
        <f>Y81/(Y12)*100</f>
        <v>#DIV/0!</v>
      </c>
      <c r="Z82" s="278" t="e">
        <f>Z81/(Z12)*100</f>
        <v>#DIV/0!</v>
      </c>
      <c r="AA82" s="278" t="e">
        <f>AA81/(AA12)*100</f>
        <v>#DIV/0!</v>
      </c>
      <c r="AB82" s="278" t="e">
        <f>AB81/(AB12)*100</f>
        <v>#DIV/0!</v>
      </c>
      <c r="AC82" s="278" t="e">
        <v>#DIV/0!</v>
      </c>
      <c r="AD82" s="278" t="e">
        <f t="shared" ref="AD82:AJ82" si="96">AD81/(AD12)*100</f>
        <v>#DIV/0!</v>
      </c>
      <c r="AE82" s="278" t="e">
        <f t="shared" si="96"/>
        <v>#DIV/0!</v>
      </c>
      <c r="AF82" s="278" t="e">
        <f t="shared" si="96"/>
        <v>#DIV/0!</v>
      </c>
      <c r="AG82" s="278" t="e">
        <f t="shared" si="96"/>
        <v>#DIV/0!</v>
      </c>
      <c r="AH82" s="278" t="e">
        <f t="shared" si="96"/>
        <v>#DIV/0!</v>
      </c>
      <c r="AI82" s="278" t="e">
        <f t="shared" si="96"/>
        <v>#DIV/0!</v>
      </c>
      <c r="AJ82" s="278" t="e">
        <f t="shared" si="96"/>
        <v>#DIV/0!</v>
      </c>
      <c r="AK82" s="278" t="e">
        <f t="shared" ref="AK82" si="97">AK81/(AK12)*100</f>
        <v>#DIV/0!</v>
      </c>
      <c r="AM82" s="302" t="e">
        <f>AM81/(AM12)*100</f>
        <v>#DIV/0!</v>
      </c>
      <c r="AW82" s="62"/>
      <c r="BI82" s="141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x14ac:dyDescent="0.25">
      <c r="C83" s="15"/>
      <c r="D83" s="235" t="s">
        <v>55</v>
      </c>
      <c r="E83" s="252">
        <v>0.6</v>
      </c>
      <c r="F83" s="236" t="s">
        <v>14</v>
      </c>
      <c r="G83" s="275">
        <v>0</v>
      </c>
      <c r="H83" s="275">
        <v>0</v>
      </c>
      <c r="I83" s="275">
        <v>0</v>
      </c>
      <c r="J83" s="1504">
        <v>0</v>
      </c>
      <c r="K83" s="1504">
        <v>0</v>
      </c>
      <c r="L83" s="1504">
        <v>0</v>
      </c>
      <c r="M83" s="1504">
        <v>155.6</v>
      </c>
      <c r="N83" s="2109">
        <v>700.96</v>
      </c>
      <c r="O83" s="245">
        <v>803.27</v>
      </c>
      <c r="P83" s="245">
        <v>874.69</v>
      </c>
      <c r="Q83" s="2145">
        <v>813.28</v>
      </c>
      <c r="R83" s="2149">
        <v>681.2</v>
      </c>
      <c r="S83" s="2150">
        <v>775.47</v>
      </c>
      <c r="T83" s="2172">
        <v>844.48</v>
      </c>
      <c r="U83" s="2028">
        <v>840.32</v>
      </c>
      <c r="V83" s="245">
        <v>647.91999999999996</v>
      </c>
      <c r="W83" s="2063">
        <v>670.8</v>
      </c>
      <c r="X83" s="1504">
        <v>413.92</v>
      </c>
      <c r="Y83" s="1504">
        <v>856.96</v>
      </c>
      <c r="Z83" s="1504">
        <v>928.42</v>
      </c>
      <c r="AA83" s="1504">
        <v>799.07</v>
      </c>
      <c r="AB83" s="1504">
        <v>861.81</v>
      </c>
      <c r="AC83" s="1958">
        <v>634</v>
      </c>
      <c r="AD83" s="1958">
        <v>634.4</v>
      </c>
      <c r="AE83" s="1958">
        <v>497.12</v>
      </c>
      <c r="AF83" s="1958">
        <v>957.77</v>
      </c>
      <c r="AG83" s="1958">
        <v>433.68</v>
      </c>
      <c r="AH83" s="1958">
        <v>374.4</v>
      </c>
      <c r="AI83" s="245">
        <v>286</v>
      </c>
      <c r="AJ83" s="245">
        <v>520</v>
      </c>
      <c r="AK83" s="245">
        <v>501.19</v>
      </c>
      <c r="AL83" s="306"/>
      <c r="AM83" s="962">
        <f>SUM(G83:AK83)</f>
        <v>16506.73</v>
      </c>
      <c r="AN83" s="306"/>
      <c r="AO83" s="306"/>
      <c r="AP83" s="306"/>
    </row>
    <row r="84" spans="3:61 15027:15040" ht="15.75" thickBot="1" x14ac:dyDescent="0.3">
      <c r="C84" s="19"/>
      <c r="D84" s="24"/>
      <c r="E84" s="254"/>
      <c r="F84" s="25" t="s">
        <v>25</v>
      </c>
      <c r="G84" s="279" t="e">
        <f>G83/(G9)*100</f>
        <v>#DIV/0!</v>
      </c>
      <c r="H84" s="279" t="e">
        <f>H83/(H9)*100</f>
        <v>#DIV/0!</v>
      </c>
      <c r="I84" s="279" t="e">
        <f>I83/(I9)*100</f>
        <v>#DIV/0!</v>
      </c>
      <c r="J84" s="1636" t="e">
        <f>J83/(J9)*1000</f>
        <v>#DIV/0!</v>
      </c>
      <c r="K84" s="1636" t="e">
        <f>K83/(K9)*1000</f>
        <v>#DIV/0!</v>
      </c>
      <c r="L84" s="279" t="e">
        <f>L83/(L9)*100</f>
        <v>#DIV/0!</v>
      </c>
      <c r="M84" s="279">
        <f>M83/(M9)*100</f>
        <v>5.2376640556888905E-2</v>
      </c>
      <c r="N84" s="279">
        <f>N83/(N9)*100</f>
        <v>4.619051478675041E-2</v>
      </c>
      <c r="O84" s="279">
        <f>O83/(O9)*100</f>
        <v>5.3651446933310892E-2</v>
      </c>
      <c r="P84" s="279">
        <f>P83/(P9)*100</f>
        <v>4.7264955879412734E-2</v>
      </c>
      <c r="Q84" s="34">
        <f t="shared" ref="Q84:AF84" si="98">Q83/(Q9)*1000</f>
        <v>0.48425348521629985</v>
      </c>
      <c r="R84" s="34">
        <f t="shared" si="98"/>
        <v>0.49172683318390964</v>
      </c>
      <c r="S84" s="34">
        <f t="shared" si="98"/>
        <v>0.47881493812212078</v>
      </c>
      <c r="T84" s="34">
        <f t="shared" si="98"/>
        <v>0.42744348324326187</v>
      </c>
      <c r="U84" s="34">
        <f t="shared" si="98"/>
        <v>0.4390645842727392</v>
      </c>
      <c r="V84" s="34">
        <f t="shared" si="98"/>
        <v>0.45843634094327845</v>
      </c>
      <c r="W84" s="34">
        <f t="shared" si="98"/>
        <v>0.50315144723547989</v>
      </c>
      <c r="X84" s="34">
        <f>X83/(X9)*1000</f>
        <v>0.46320397671446573</v>
      </c>
      <c r="Y84" s="34">
        <f t="shared" si="98"/>
        <v>0.46853583099555668</v>
      </c>
      <c r="Z84" s="34">
        <f t="shared" si="98"/>
        <v>0.49093061709241448</v>
      </c>
      <c r="AA84" s="34">
        <f t="shared" si="98"/>
        <v>0.47334680782499911</v>
      </c>
      <c r="AB84" s="34">
        <f t="shared" si="98"/>
        <v>0.46534519811229058</v>
      </c>
      <c r="AC84" s="34">
        <f t="shared" si="98"/>
        <v>0.48200282055278271</v>
      </c>
      <c r="AD84" s="34">
        <f t="shared" si="98"/>
        <v>0.48279730199717047</v>
      </c>
      <c r="AE84" s="34">
        <f t="shared" si="98"/>
        <v>0.49272294047916398</v>
      </c>
      <c r="AF84" s="34">
        <f t="shared" si="98"/>
        <v>0.50252160627263986</v>
      </c>
      <c r="AG84" s="279">
        <f>AG83/(AG9)*100</f>
        <v>5.0802784266224962E-2</v>
      </c>
      <c r="AH84" s="279">
        <f>AH83/(AH9)*100</f>
        <v>5.2954954343324617E-2</v>
      </c>
      <c r="AI84" s="279">
        <f>AI83/(AI9)*100</f>
        <v>4.0304112851515986E-2</v>
      </c>
      <c r="AJ84" s="279">
        <f>AJ83/(AJ9)*100</f>
        <v>5.0228830962596914E-2</v>
      </c>
      <c r="AK84" s="279">
        <f>AK83/(AK9)*100</f>
        <v>4.6412927721442794E-2</v>
      </c>
      <c r="AM84" s="1947">
        <f>AM83/AM9*1000</f>
        <v>0.47753836244681269</v>
      </c>
    </row>
    <row r="85" spans="3:61 15027:15040" s="137" customFormat="1" x14ac:dyDescent="0.25">
      <c r="C85" s="138">
        <v>3</v>
      </c>
      <c r="D85" s="239" t="s">
        <v>168</v>
      </c>
      <c r="E85" s="240">
        <v>0.7</v>
      </c>
      <c r="F85" s="241" t="s">
        <v>25</v>
      </c>
      <c r="G85" s="280" t="e">
        <f t="shared" ref="G85:L85" si="99">((SUM(G20:G21))-(SUM(G9)))/(SUM(G9))*100</f>
        <v>#DIV/0!</v>
      </c>
      <c r="H85" s="280" t="e">
        <f t="shared" si="99"/>
        <v>#DIV/0!</v>
      </c>
      <c r="I85" s="280" t="e">
        <f t="shared" si="99"/>
        <v>#DIV/0!</v>
      </c>
      <c r="J85" s="280" t="e">
        <f t="shared" si="99"/>
        <v>#DIV/0!</v>
      </c>
      <c r="K85" s="280" t="e">
        <f t="shared" si="99"/>
        <v>#DIV/0!</v>
      </c>
      <c r="L85" s="280" t="e">
        <f t="shared" si="99"/>
        <v>#DIV/0!</v>
      </c>
      <c r="M85" s="280">
        <f>((SUM(M18:M21))-(SUM(M9)))/(SUM(M9))*100</f>
        <v>5.9810218830681352</v>
      </c>
      <c r="N85" s="280">
        <f>((SUM(N18:N21))-(SUM(N9)))/(SUM(N9))*100</f>
        <v>-2.0008685103071353</v>
      </c>
      <c r="O85" s="280">
        <f>((SUM(O19:O21))-(SUM(O9)))/(SUM(O9))*100</f>
        <v>9.5283799569997623</v>
      </c>
      <c r="P85" s="280">
        <f>((SUM(P18:P21))-(SUM(P9)))/(SUM(P9))*100</f>
        <v>-5.2890128119917215</v>
      </c>
      <c r="Q85" s="280">
        <f>((SUM(Q18:Q21))-(SUM(Q9)))/(SUM(Q9))*100</f>
        <v>-1.1080406632881816</v>
      </c>
      <c r="R85" s="280">
        <f t="shared" ref="R85:S85" si="100">((SUM(R18:R21))-(SUM(R9)))/(SUM(R9))*100</f>
        <v>2.9281279009501038</v>
      </c>
      <c r="S85" s="280">
        <f t="shared" si="100"/>
        <v>-4.1006173895271623</v>
      </c>
      <c r="T85" s="280">
        <f>((SUM(T18:T21))-(SUM(T9)))/(SUM(T9))*100</f>
        <v>-2.3847811331240862</v>
      </c>
      <c r="U85" s="280">
        <f>((SUM(U18:U21))-(SUM(U9)))/(SUM(U9))*100</f>
        <v>-2.7158865701057584</v>
      </c>
      <c r="V85" s="280">
        <f>((SUM(V18:V21))-(SUM(V9)))/(SUM(V9))*100</f>
        <v>5.2815840082189105</v>
      </c>
      <c r="W85" s="280">
        <f>((SUM(W18:W21))-(SUM(W9)))/(SUM(W9))*100</f>
        <v>3.68475176586806</v>
      </c>
      <c r="X85" s="280">
        <f t="shared" ref="X85:AJ85" si="101">((SUM(X20:X21))-(SUM(X9)))/(SUM(X9))*100</f>
        <v>0.99451433636003495</v>
      </c>
      <c r="Y85" s="280">
        <f t="shared" si="101"/>
        <v>-3.0414151426695324</v>
      </c>
      <c r="Z85" s="280">
        <f t="shared" si="101"/>
        <v>2.5273604375766401</v>
      </c>
      <c r="AA85" s="280">
        <f t="shared" si="101"/>
        <v>-3.9846504530462146</v>
      </c>
      <c r="AB85" s="280">
        <f t="shared" si="101"/>
        <v>2.458773852849383</v>
      </c>
      <c r="AC85" s="280">
        <f t="shared" si="101"/>
        <v>15.474951438595957</v>
      </c>
      <c r="AD85" s="280">
        <f t="shared" si="101"/>
        <v>3.9196839595466999</v>
      </c>
      <c r="AE85" s="280">
        <f t="shared" si="101"/>
        <v>7.8873136133147792</v>
      </c>
      <c r="AF85" s="280">
        <f t="shared" si="101"/>
        <v>-7.0691547634538141</v>
      </c>
      <c r="AG85" s="280">
        <f t="shared" si="101"/>
        <v>3.4852528073434903</v>
      </c>
      <c r="AH85" s="280">
        <f t="shared" si="101"/>
        <v>-1.202660194394469</v>
      </c>
      <c r="AI85" s="280">
        <f t="shared" si="101"/>
        <v>-3.0190035301329616</v>
      </c>
      <c r="AJ85" s="280">
        <f t="shared" si="101"/>
        <v>-5.6334531741723346</v>
      </c>
      <c r="AK85" s="280">
        <f t="shared" ref="AK85" si="102">((SUM(AK20:AK21))-(SUM(AK9)))/(SUM(AK9))*100</f>
        <v>-4.5037736722692969</v>
      </c>
      <c r="AM85" s="304">
        <f>((SUM(AM20:AM21))-(SUM(AM9)))/(SUM(AM9))*100</f>
        <v>-0.78085901666453017</v>
      </c>
      <c r="AW85" s="1"/>
      <c r="BI85" s="147"/>
    </row>
    <row r="86" spans="3:61 15027:15040" s="137" customFormat="1" x14ac:dyDescent="0.25">
      <c r="C86" s="138"/>
      <c r="D86" s="309"/>
      <c r="E86" s="310"/>
      <c r="F86" s="311" t="s">
        <v>14</v>
      </c>
      <c r="G86" s="312" t="e">
        <f t="shared" ref="G86:AJ86" si="103">G85%*G9</f>
        <v>#DIV/0!</v>
      </c>
      <c r="H86" s="312" t="e">
        <f t="shared" si="103"/>
        <v>#DIV/0!</v>
      </c>
      <c r="I86" s="312" t="e">
        <f t="shared" si="103"/>
        <v>#DIV/0!</v>
      </c>
      <c r="J86" s="312" t="e">
        <f t="shared" si="103"/>
        <v>#DIV/0!</v>
      </c>
      <c r="K86" s="312" t="e">
        <f t="shared" si="103"/>
        <v>#DIV/0!</v>
      </c>
      <c r="L86" s="312" t="e">
        <f t="shared" si="103"/>
        <v>#DIV/0!</v>
      </c>
      <c r="M86" s="312">
        <f t="shared" si="103"/>
        <v>17768.359999999986</v>
      </c>
      <c r="N86" s="312">
        <f t="shared" si="103"/>
        <v>-30364.000000000004</v>
      </c>
      <c r="O86" s="312">
        <f t="shared" si="103"/>
        <v>142659</v>
      </c>
      <c r="P86" s="312">
        <f t="shared" si="103"/>
        <v>-97879</v>
      </c>
      <c r="Q86" s="312">
        <f t="shared" si="103"/>
        <v>-18608.999999999996</v>
      </c>
      <c r="R86" s="312">
        <f t="shared" si="103"/>
        <v>40564</v>
      </c>
      <c r="S86" s="312">
        <f t="shared" si="103"/>
        <v>-66412</v>
      </c>
      <c r="T86" s="312">
        <f t="shared" si="103"/>
        <v>-47115</v>
      </c>
      <c r="U86" s="312">
        <f t="shared" si="103"/>
        <v>-51979</v>
      </c>
      <c r="V86" s="312">
        <f t="shared" si="103"/>
        <v>74646</v>
      </c>
      <c r="W86" s="312">
        <f t="shared" si="103"/>
        <v>49125</v>
      </c>
      <c r="X86" s="312">
        <f t="shared" si="103"/>
        <v>8887</v>
      </c>
      <c r="Y86" s="312">
        <f t="shared" si="103"/>
        <v>-55628.000000000007</v>
      </c>
      <c r="Z86" s="312">
        <f t="shared" si="103"/>
        <v>47796</v>
      </c>
      <c r="AA86" s="312">
        <f t="shared" si="103"/>
        <v>-67266</v>
      </c>
      <c r="AB86" s="312">
        <f t="shared" si="103"/>
        <v>45536</v>
      </c>
      <c r="AC86" s="312">
        <f t="shared" si="103"/>
        <v>203549</v>
      </c>
      <c r="AD86" s="312">
        <f t="shared" si="103"/>
        <v>51504.999999999993</v>
      </c>
      <c r="AE86" s="312">
        <f t="shared" si="103"/>
        <v>79577</v>
      </c>
      <c r="AF86" s="312">
        <f t="shared" si="103"/>
        <v>-134733</v>
      </c>
      <c r="AG86" s="312">
        <f t="shared" si="103"/>
        <v>29752</v>
      </c>
      <c r="AH86" s="312">
        <f t="shared" si="103"/>
        <v>-8503</v>
      </c>
      <c r="AI86" s="312">
        <f t="shared" si="103"/>
        <v>-21423.000000000004</v>
      </c>
      <c r="AJ86" s="312">
        <f t="shared" si="103"/>
        <v>-58320.999999999993</v>
      </c>
      <c r="AK86" s="312">
        <f t="shared" ref="AK86" si="104">AK85%*AK9</f>
        <v>-48634</v>
      </c>
      <c r="AM86" s="313">
        <f>AM85%*AM9</f>
        <v>-269914</v>
      </c>
      <c r="AW86" s="62"/>
      <c r="BI86" s="147"/>
    </row>
    <row r="87" spans="3:61 15027:15040" s="62" customFormat="1" x14ac:dyDescent="0.25">
      <c r="C87" s="68"/>
      <c r="D87" s="235" t="s">
        <v>54</v>
      </c>
      <c r="E87" s="259">
        <v>22</v>
      </c>
      <c r="F87" s="236" t="s">
        <v>25</v>
      </c>
      <c r="G87" s="281"/>
      <c r="H87" s="281"/>
      <c r="I87" s="281"/>
      <c r="J87" s="281">
        <v>0</v>
      </c>
      <c r="K87" s="281">
        <v>0</v>
      </c>
      <c r="L87" s="281">
        <v>0</v>
      </c>
      <c r="M87" s="281">
        <v>0</v>
      </c>
      <c r="N87" s="281">
        <v>22.61</v>
      </c>
      <c r="O87" s="281">
        <v>22.44</v>
      </c>
      <c r="P87" s="281">
        <v>22.66</v>
      </c>
      <c r="Q87" s="2146">
        <v>21.99</v>
      </c>
      <c r="R87" s="2151">
        <v>21.98</v>
      </c>
      <c r="S87" s="2151">
        <v>21.98</v>
      </c>
      <c r="T87" s="281">
        <v>21.96</v>
      </c>
      <c r="U87" s="281">
        <v>22.03</v>
      </c>
      <c r="V87" s="281">
        <v>22.05</v>
      </c>
      <c r="W87" s="281">
        <v>22.16</v>
      </c>
      <c r="X87" s="281">
        <v>22.08</v>
      </c>
      <c r="Y87" s="281">
        <v>20.95</v>
      </c>
      <c r="Z87" s="281">
        <v>20.62</v>
      </c>
      <c r="AA87" s="281">
        <v>20.94</v>
      </c>
      <c r="AB87" s="281">
        <v>21.19</v>
      </c>
      <c r="AC87" s="245">
        <v>21.16</v>
      </c>
      <c r="AD87" s="245">
        <v>21.2</v>
      </c>
      <c r="AE87" s="245">
        <v>21.32</v>
      </c>
      <c r="AF87" s="245">
        <v>21.62</v>
      </c>
      <c r="AG87" s="245">
        <v>21.83</v>
      </c>
      <c r="AH87" s="245">
        <v>21.18</v>
      </c>
      <c r="AI87" s="245">
        <v>21.06</v>
      </c>
      <c r="AJ87" s="281">
        <v>21.16</v>
      </c>
      <c r="AK87" s="281">
        <v>21.21</v>
      </c>
      <c r="AM87" s="307">
        <f>AVERAGE(N87:AK87)</f>
        <v>21.640833333333333</v>
      </c>
      <c r="AN87" s="810"/>
      <c r="AW87" s="16"/>
      <c r="BI87" s="143"/>
    </row>
    <row r="88" spans="3:61 15027:15040" s="62" customFormat="1" ht="15.75" thickBot="1" x14ac:dyDescent="0.3">
      <c r="C88" s="85"/>
      <c r="D88" s="86" t="s">
        <v>53</v>
      </c>
      <c r="E88" s="254"/>
      <c r="F88" s="87" t="s">
        <v>14</v>
      </c>
      <c r="G88" s="276"/>
      <c r="H88" s="276"/>
      <c r="I88" s="276"/>
      <c r="J88" s="276"/>
      <c r="K88" s="276"/>
      <c r="L88" s="276"/>
      <c r="M88" s="276"/>
      <c r="N88" s="961">
        <f>SUM(N75,N81)+(N87%*SUM(N75,N81))/N6</f>
        <v>15106.7781</v>
      </c>
      <c r="O88" s="961">
        <f>SUM(O75,O81)+(O87%*SUM(O75,O81))/O6</f>
        <v>16304.1104</v>
      </c>
      <c r="P88" s="961">
        <f>SUM(P75,P81)+(P87%*SUM(P75,P81))/P6</f>
        <v>22709.51772</v>
      </c>
      <c r="Q88" s="276">
        <f>SUM(Q75,Q81)+(Q87%*SUM(Q75,Q81))</f>
        <v>26651.277289999998</v>
      </c>
      <c r="R88" s="276">
        <f t="shared" ref="R88:U88" si="105">SUM(R75,R81)+(R87%*SUM(R75,R81))</f>
        <v>22059.961020000002</v>
      </c>
      <c r="S88" s="276">
        <f t="shared" si="105"/>
        <v>21877.113000000001</v>
      </c>
      <c r="T88" s="276">
        <f t="shared" si="105"/>
        <v>21288.118000000002</v>
      </c>
      <c r="U88" s="276">
        <f t="shared" si="105"/>
        <v>16291.005000000001</v>
      </c>
      <c r="V88" s="276">
        <f>SUM(V75,V81)+(V87%*SUM(V75,V81))</f>
        <v>11753.415000000001</v>
      </c>
      <c r="W88" s="276">
        <f>SUM(W75,W81)+(W87%*SUM(W75,W81))</f>
        <v>15349.404</v>
      </c>
      <c r="X88" s="276">
        <f>SUM(X75,X81)+(X87%*SUM(X75,X81))</f>
        <v>6836.48</v>
      </c>
      <c r="Y88" s="276">
        <f t="shared" ref="Y88:Z88" si="106">SUM(Y75,Y81)+(Y87%*SUM(Y75,Y81))</f>
        <v>13848.775</v>
      </c>
      <c r="Z88" s="276">
        <f t="shared" si="106"/>
        <v>13823.052</v>
      </c>
      <c r="AA88" s="276">
        <f t="shared" ref="AA88:AJ88" si="107">SUM(AA75,AA81)+(AA87%*SUM(AA75,AA81))</f>
        <v>12620.089</v>
      </c>
      <c r="AB88" s="276">
        <f t="shared" si="107"/>
        <v>13161.234</v>
      </c>
      <c r="AC88" s="276">
        <f t="shared" si="107"/>
        <v>11116.43</v>
      </c>
      <c r="AD88" s="276">
        <f t="shared" si="107"/>
        <v>9841.44</v>
      </c>
      <c r="AE88" s="276">
        <f t="shared" si="107"/>
        <v>7546.1040000000003</v>
      </c>
      <c r="AF88" s="276">
        <f t="shared" si="107"/>
        <v>14047.11</v>
      </c>
      <c r="AG88" s="276">
        <f t="shared" si="107"/>
        <v>6639.7349999999997</v>
      </c>
      <c r="AH88" s="276">
        <f t="shared" si="107"/>
        <v>5671.2240000000002</v>
      </c>
      <c r="AI88" s="276">
        <f t="shared" si="107"/>
        <v>5011.884</v>
      </c>
      <c r="AJ88" s="276">
        <f t="shared" si="107"/>
        <v>7839.0519999999997</v>
      </c>
      <c r="AK88" s="276">
        <f t="shared" ref="AK88" si="108">SUM(AK75,AK81)+(AK87%*SUM(AK75,AK81))</f>
        <v>8902.8744999999999</v>
      </c>
      <c r="AM88" s="961">
        <f>SUM(AM75,AM81)+(AM87%*SUM(AM75,AM81))/AM6</f>
        <v>273743.47865993326</v>
      </c>
      <c r="AW88" s="1"/>
      <c r="BI88" s="143"/>
    </row>
    <row r="89" spans="3:61 15027:15040" ht="15" hidden="1" customHeight="1" x14ac:dyDescent="0.25">
      <c r="C89" s="8">
        <v>4</v>
      </c>
      <c r="D89" s="47" t="s">
        <v>52</v>
      </c>
      <c r="E89" s="48"/>
      <c r="F89" s="49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1963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3"/>
      <c r="AM89" s="78" t="s">
        <v>130</v>
      </c>
    </row>
    <row r="90" spans="3:61 15027:15040" s="2" customFormat="1" ht="15" hidden="1" customHeight="1" x14ac:dyDescent="0.25">
      <c r="C90" s="8"/>
      <c r="D90" s="26" t="s">
        <v>51</v>
      </c>
      <c r="E90" s="88"/>
      <c r="F90" s="12" t="s">
        <v>14</v>
      </c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197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7"/>
      <c r="AM90" s="89">
        <v>0</v>
      </c>
      <c r="AW90" s="1"/>
      <c r="BI90" s="146"/>
    </row>
    <row r="91" spans="3:61 15027:15040" s="1" customFormat="1" ht="15" hidden="1" customHeight="1" x14ac:dyDescent="0.25">
      <c r="C91" s="15"/>
      <c r="D91" s="28" t="s">
        <v>46</v>
      </c>
      <c r="E91" s="90"/>
      <c r="F91" s="20" t="s">
        <v>14</v>
      </c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197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"/>
      <c r="AM91" s="89">
        <v>0</v>
      </c>
      <c r="BI91" s="142"/>
    </row>
    <row r="92" spans="3:61 15027:15040" s="1" customFormat="1" ht="15" hidden="1" customHeight="1" x14ac:dyDescent="0.25">
      <c r="C92" s="15"/>
      <c r="D92" s="30" t="s">
        <v>39</v>
      </c>
      <c r="E92" s="60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1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>
        <v>0</v>
      </c>
      <c r="AK92" s="34">
        <v>0</v>
      </c>
      <c r="AM92" s="58">
        <v>0</v>
      </c>
      <c r="AW92" s="16"/>
      <c r="BI92" s="142"/>
    </row>
    <row r="93" spans="3:61 15027:15040" s="1" customFormat="1" ht="15" hidden="1" customHeight="1" x14ac:dyDescent="0.25">
      <c r="C93" s="15"/>
      <c r="D93" s="30" t="s">
        <v>38</v>
      </c>
      <c r="E93" s="60"/>
      <c r="F93" s="20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1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>
        <v>0</v>
      </c>
      <c r="AK93" s="34">
        <v>0</v>
      </c>
      <c r="AM93" s="58">
        <v>0</v>
      </c>
      <c r="BI93" s="142"/>
    </row>
    <row r="94" spans="3:61 15027:15040" s="1" customFormat="1" ht="15" hidden="1" customHeight="1" x14ac:dyDescent="0.25">
      <c r="C94" s="15"/>
      <c r="D94" s="30" t="s">
        <v>50</v>
      </c>
      <c r="E94" s="60"/>
      <c r="F94" s="13" t="s">
        <v>14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1961">
        <v>0</v>
      </c>
      <c r="T94" s="34">
        <v>0</v>
      </c>
      <c r="U94" s="34">
        <v>0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/>
      <c r="AJ94" s="34">
        <v>0</v>
      </c>
      <c r="AK94" s="34">
        <v>0</v>
      </c>
      <c r="AM94" s="58">
        <v>0</v>
      </c>
      <c r="BI94" s="142"/>
    </row>
    <row r="95" spans="3:61 15027:15040" s="1" customFormat="1" ht="15" hidden="1" customHeight="1" x14ac:dyDescent="0.25">
      <c r="C95" s="15"/>
      <c r="D95" s="30" t="s">
        <v>29</v>
      </c>
      <c r="E95" s="60"/>
      <c r="F95" s="1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0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63" t="s">
        <v>29</v>
      </c>
      <c r="BI95" s="142"/>
    </row>
    <row r="96" spans="3:61 15027:15040" s="16" customFormat="1" ht="15" hidden="1" customHeight="1" x14ac:dyDescent="0.2">
      <c r="C96" s="17"/>
      <c r="D96" s="31" t="s">
        <v>49</v>
      </c>
      <c r="E96" s="53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0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4">
        <v>0</v>
      </c>
      <c r="AW96" s="1"/>
      <c r="BI96" s="148"/>
    </row>
    <row r="97" spans="3:61 15027:15419" s="16" customFormat="1" ht="15" hidden="1" customHeight="1" x14ac:dyDescent="0.2">
      <c r="C97" s="17"/>
      <c r="D97" s="31" t="s">
        <v>48</v>
      </c>
      <c r="E97" s="53"/>
      <c r="F97" s="32" t="s">
        <v>31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0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54">
        <v>0</v>
      </c>
      <c r="AW97" s="1">
        <v>37542</v>
      </c>
      <c r="BI97" s="148"/>
    </row>
    <row r="98" spans="3:61 15027:15419" s="1" customFormat="1" ht="15" hidden="1" customHeight="1" x14ac:dyDescent="0.25">
      <c r="C98" s="15"/>
      <c r="D98" s="30" t="s">
        <v>28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60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28</v>
      </c>
      <c r="BI98" s="142"/>
    </row>
    <row r="99" spans="3:61 15027:15419" s="1" customFormat="1" ht="15" hidden="1" customHeight="1" x14ac:dyDescent="0.25">
      <c r="C99" s="15"/>
      <c r="D99" s="14" t="s">
        <v>49</v>
      </c>
      <c r="E99" s="60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0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>
        <v>0</v>
      </c>
      <c r="AK99" s="33">
        <v>0</v>
      </c>
      <c r="AM99" s="54">
        <v>0</v>
      </c>
      <c r="BI99" s="142"/>
    </row>
    <row r="100" spans="3:61 15027:15419" s="1" customFormat="1" ht="15" hidden="1" customHeight="1" x14ac:dyDescent="0.25">
      <c r="C100" s="15"/>
      <c r="D100" s="14" t="s">
        <v>48</v>
      </c>
      <c r="E100" s="60"/>
      <c r="F100" s="20" t="s">
        <v>28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1960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0</v>
      </c>
      <c r="AG100" s="33">
        <v>0</v>
      </c>
      <c r="AH100" s="33">
        <v>0</v>
      </c>
      <c r="AI100" s="33"/>
      <c r="AJ100" s="33">
        <v>0</v>
      </c>
      <c r="AK100" s="33">
        <v>0</v>
      </c>
      <c r="AM100" s="54">
        <v>0</v>
      </c>
      <c r="BI100" s="142"/>
    </row>
    <row r="101" spans="3:61 15027:15419" s="1" customFormat="1" ht="15" hidden="1" customHeight="1" x14ac:dyDescent="0.25">
      <c r="C101" s="15"/>
      <c r="D101" s="30" t="s">
        <v>36</v>
      </c>
      <c r="E101" s="60"/>
      <c r="F101" s="20" t="s">
        <v>35</v>
      </c>
      <c r="G101" s="284">
        <v>0</v>
      </c>
      <c r="H101" s="284">
        <v>0</v>
      </c>
      <c r="I101" s="284">
        <v>0</v>
      </c>
      <c r="J101" s="284">
        <v>0</v>
      </c>
      <c r="K101" s="284">
        <v>0</v>
      </c>
      <c r="L101" s="284">
        <v>0</v>
      </c>
      <c r="M101" s="284">
        <v>0</v>
      </c>
      <c r="N101" s="284">
        <v>0</v>
      </c>
      <c r="O101" s="284">
        <v>0</v>
      </c>
      <c r="P101" s="284">
        <v>0</v>
      </c>
      <c r="Q101" s="284">
        <v>0</v>
      </c>
      <c r="R101" s="284">
        <v>0</v>
      </c>
      <c r="S101" s="1974">
        <v>0</v>
      </c>
      <c r="T101" s="284">
        <v>0</v>
      </c>
      <c r="U101" s="284">
        <v>0</v>
      </c>
      <c r="V101" s="284">
        <v>0</v>
      </c>
      <c r="W101" s="284">
        <v>0</v>
      </c>
      <c r="X101" s="284">
        <v>0</v>
      </c>
      <c r="Y101" s="284">
        <v>0</v>
      </c>
      <c r="Z101" s="284">
        <v>0</v>
      </c>
      <c r="AA101" s="284">
        <v>0</v>
      </c>
      <c r="AB101" s="284">
        <v>0</v>
      </c>
      <c r="AC101" s="284">
        <v>0</v>
      </c>
      <c r="AD101" s="284">
        <v>0</v>
      </c>
      <c r="AE101" s="284">
        <v>0</v>
      </c>
      <c r="AF101" s="284">
        <v>0</v>
      </c>
      <c r="AG101" s="284">
        <v>0</v>
      </c>
      <c r="AH101" s="284">
        <v>0</v>
      </c>
      <c r="AI101" s="284"/>
      <c r="AJ101" s="284">
        <v>0</v>
      </c>
      <c r="AK101" s="284">
        <v>0</v>
      </c>
      <c r="AM101" s="54">
        <v>0</v>
      </c>
      <c r="BI101" s="142"/>
    </row>
    <row r="102" spans="3:61 15027:15419" s="1" customFormat="1" ht="15" hidden="1" customHeight="1" x14ac:dyDescent="0.25">
      <c r="C102" s="15"/>
      <c r="D102" s="30" t="s">
        <v>34</v>
      </c>
      <c r="E102" s="60"/>
      <c r="F102" s="20" t="s">
        <v>33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60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>
        <v>0</v>
      </c>
      <c r="AK102" s="33">
        <v>0</v>
      </c>
      <c r="AM102" s="54">
        <v>0</v>
      </c>
      <c r="BI102" s="142"/>
    </row>
    <row r="103" spans="3:61 15027:15419" s="1" customFormat="1" ht="15" hidden="1" customHeight="1" x14ac:dyDescent="0.25">
      <c r="C103" s="8"/>
      <c r="D103" s="47" t="s">
        <v>32</v>
      </c>
      <c r="E103" s="48"/>
      <c r="F103" s="49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1963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3"/>
      <c r="AM103" s="78" t="s">
        <v>131</v>
      </c>
      <c r="BI103" s="141"/>
      <c r="VEY103" s="46"/>
      <c r="VEZ103" s="46"/>
      <c r="VFA103" s="46"/>
      <c r="VFB103" s="46"/>
      <c r="VFC103" s="46"/>
      <c r="VFD103" s="46"/>
      <c r="VFE103" s="46"/>
      <c r="VFF103" s="46"/>
      <c r="VFG103" s="46"/>
      <c r="VFH103" s="46"/>
      <c r="VFI103" s="46"/>
      <c r="VFJ103" s="46"/>
      <c r="VFK103" s="46"/>
      <c r="VFL103" s="46"/>
      <c r="VFM103" s="46"/>
      <c r="VFN103" s="46"/>
      <c r="VFO103" s="46"/>
      <c r="VFP103" s="46"/>
      <c r="VFQ103" s="46"/>
      <c r="VFR103" s="46"/>
      <c r="VFS103" s="46"/>
      <c r="VFT103" s="46"/>
      <c r="VFU103" s="46"/>
      <c r="VFV103" s="46"/>
      <c r="VFW103" s="46"/>
      <c r="VFX103" s="46"/>
      <c r="VFY103" s="46"/>
      <c r="VFZ103" s="46"/>
      <c r="VGA103" s="46"/>
      <c r="VGB103" s="46"/>
      <c r="VGC103" s="46"/>
      <c r="VGD103" s="46"/>
      <c r="VGE103" s="46"/>
      <c r="VGF103" s="46"/>
      <c r="VGG103" s="46"/>
      <c r="VGH103" s="46"/>
      <c r="VGI103" s="46"/>
      <c r="VGJ103" s="46"/>
      <c r="VGK103" s="46"/>
      <c r="VGL103" s="46"/>
      <c r="VGM103" s="46"/>
      <c r="VGN103" s="46"/>
      <c r="VGO103" s="46"/>
      <c r="VGP103" s="46"/>
      <c r="VGQ103" s="46"/>
      <c r="VGR103" s="46"/>
      <c r="VGS103" s="46"/>
      <c r="VGT103" s="46"/>
      <c r="VGU103" s="46"/>
      <c r="VGV103" s="46"/>
      <c r="VGW103" s="46"/>
      <c r="VGX103" s="46"/>
      <c r="VGY103" s="46"/>
      <c r="VGZ103" s="46"/>
      <c r="VHA103" s="46"/>
      <c r="VHB103" s="46"/>
      <c r="VHC103" s="46"/>
      <c r="VHD103" s="46"/>
      <c r="VHE103" s="46"/>
      <c r="VHF103" s="46"/>
      <c r="VHG103" s="46"/>
      <c r="VHH103" s="46"/>
      <c r="VHI103" s="46"/>
      <c r="VHJ103" s="46"/>
      <c r="VHK103" s="46"/>
      <c r="VHL103" s="46"/>
      <c r="VHM103" s="46"/>
      <c r="VHN103" s="46"/>
      <c r="VHO103" s="46"/>
      <c r="VHP103" s="46"/>
      <c r="VHQ103" s="46"/>
      <c r="VHR103" s="46"/>
      <c r="VHS103" s="46"/>
      <c r="VHT103" s="46"/>
      <c r="VHU103" s="46"/>
      <c r="VHV103" s="46"/>
      <c r="VHW103" s="46"/>
      <c r="VHX103" s="46"/>
      <c r="VHY103" s="46"/>
      <c r="VHZ103" s="46"/>
      <c r="VIA103" s="46"/>
      <c r="VIB103" s="46"/>
      <c r="VIC103" s="46"/>
      <c r="VID103" s="46"/>
      <c r="VIE103" s="46"/>
      <c r="VIF103" s="46"/>
      <c r="VIG103" s="46"/>
      <c r="VIH103" s="46"/>
      <c r="VII103" s="46"/>
      <c r="VIJ103" s="46"/>
      <c r="VIK103" s="46"/>
      <c r="VIL103" s="46"/>
      <c r="VIM103" s="46"/>
      <c r="VIN103" s="46"/>
      <c r="VIO103" s="46"/>
      <c r="VIP103" s="46"/>
      <c r="VIQ103" s="46"/>
      <c r="VIR103" s="46"/>
      <c r="VIS103" s="46"/>
      <c r="VIT103" s="46"/>
      <c r="VIU103" s="46"/>
      <c r="VIV103" s="46"/>
      <c r="VIW103" s="46"/>
      <c r="VIX103" s="46"/>
      <c r="VIY103" s="46"/>
      <c r="VIZ103" s="46"/>
      <c r="VJA103" s="46"/>
      <c r="VJB103" s="46"/>
      <c r="VJC103" s="46"/>
      <c r="VJD103" s="46"/>
      <c r="VJE103" s="46"/>
      <c r="VJF103" s="46"/>
      <c r="VJG103" s="46"/>
      <c r="VJH103" s="46"/>
      <c r="VJI103" s="46"/>
      <c r="VJJ103" s="46"/>
      <c r="VJK103" s="46"/>
      <c r="VJL103" s="46"/>
      <c r="VJM103" s="46"/>
      <c r="VJN103" s="46"/>
      <c r="VJO103" s="46"/>
      <c r="VJP103" s="46"/>
      <c r="VJQ103" s="46"/>
      <c r="VJR103" s="46"/>
      <c r="VJS103" s="46"/>
      <c r="VJT103" s="46"/>
      <c r="VJU103" s="46"/>
      <c r="VJV103" s="46"/>
      <c r="VJW103" s="46"/>
      <c r="VJX103" s="46"/>
      <c r="VJY103" s="46"/>
      <c r="VJZ103" s="46"/>
      <c r="VKA103" s="46"/>
      <c r="VKB103" s="46"/>
      <c r="VKC103" s="46"/>
      <c r="VKD103" s="46"/>
      <c r="VKE103" s="46"/>
      <c r="VKF103" s="46"/>
      <c r="VKG103" s="46"/>
      <c r="VKH103" s="46"/>
      <c r="VKI103" s="46"/>
      <c r="VKJ103" s="46"/>
      <c r="VKK103" s="46"/>
      <c r="VKL103" s="46"/>
      <c r="VKM103" s="46"/>
      <c r="VKN103" s="46"/>
      <c r="VKO103" s="46"/>
      <c r="VKP103" s="46"/>
      <c r="VKQ103" s="46"/>
      <c r="VKR103" s="46"/>
      <c r="VKS103" s="46"/>
      <c r="VKT103" s="46"/>
      <c r="VKU103" s="46"/>
      <c r="VKV103" s="46"/>
      <c r="VKW103" s="46"/>
      <c r="VKX103" s="46"/>
      <c r="VKY103" s="46"/>
      <c r="VKZ103" s="46"/>
      <c r="VLA103" s="46"/>
      <c r="VLB103" s="46"/>
      <c r="VLC103" s="46"/>
      <c r="VLD103" s="46"/>
      <c r="VLE103" s="46"/>
      <c r="VLF103" s="46"/>
      <c r="VLG103" s="46"/>
      <c r="VLH103" s="46"/>
      <c r="VLI103" s="46"/>
      <c r="VLJ103" s="46"/>
      <c r="VLK103" s="46"/>
      <c r="VLL103" s="46"/>
      <c r="VLM103" s="46"/>
      <c r="VLN103" s="46"/>
      <c r="VLO103" s="46"/>
      <c r="VLP103" s="46"/>
      <c r="VLQ103" s="46"/>
      <c r="VLR103" s="46"/>
      <c r="VLS103" s="46"/>
      <c r="VLT103" s="46"/>
      <c r="VLU103" s="46"/>
      <c r="VLV103" s="46"/>
      <c r="VLW103" s="46"/>
      <c r="VLX103" s="46"/>
      <c r="VLY103" s="46"/>
      <c r="VLZ103" s="46"/>
      <c r="VMA103" s="46"/>
      <c r="VMB103" s="46"/>
      <c r="VMC103" s="46"/>
      <c r="VMD103" s="46"/>
      <c r="VME103" s="46"/>
      <c r="VMF103" s="46"/>
      <c r="VMG103" s="46"/>
      <c r="VMH103" s="46"/>
      <c r="VMI103" s="46"/>
      <c r="VMJ103" s="46"/>
      <c r="VMK103" s="46"/>
      <c r="VML103" s="46"/>
      <c r="VMM103" s="46"/>
      <c r="VMN103" s="46"/>
      <c r="VMO103" s="46"/>
      <c r="VMP103" s="46"/>
      <c r="VMQ103" s="46"/>
      <c r="VMR103" s="46"/>
      <c r="VMS103" s="46"/>
      <c r="VMT103" s="46"/>
      <c r="VMU103" s="46"/>
      <c r="VMV103" s="46"/>
      <c r="VMW103" s="46"/>
      <c r="VMX103" s="46"/>
      <c r="VMY103" s="46"/>
      <c r="VMZ103" s="46"/>
      <c r="VNA103" s="46"/>
      <c r="VNB103" s="46"/>
      <c r="VNC103" s="46"/>
      <c r="VND103" s="46"/>
      <c r="VNE103" s="46"/>
      <c r="VNF103" s="46"/>
      <c r="VNG103" s="46"/>
      <c r="VNH103" s="46"/>
      <c r="VNI103" s="46"/>
      <c r="VNJ103" s="46"/>
      <c r="VNK103" s="46"/>
      <c r="VNL103" s="46"/>
      <c r="VNM103" s="46"/>
      <c r="VNN103" s="46"/>
      <c r="VNO103" s="46"/>
      <c r="VNP103" s="46"/>
      <c r="VNQ103" s="46"/>
      <c r="VNR103" s="46"/>
      <c r="VNS103" s="46"/>
      <c r="VNT103" s="46"/>
      <c r="VNU103" s="46"/>
      <c r="VNV103" s="46"/>
      <c r="VNW103" s="46"/>
      <c r="VNX103" s="46"/>
      <c r="VNY103" s="46"/>
      <c r="VNZ103" s="46"/>
      <c r="VOA103" s="46"/>
      <c r="VOB103" s="46"/>
      <c r="VOC103" s="46"/>
      <c r="VOD103" s="46"/>
      <c r="VOE103" s="46"/>
      <c r="VOF103" s="46"/>
      <c r="VOG103" s="46"/>
      <c r="VOH103" s="46"/>
      <c r="VOI103" s="46"/>
      <c r="VOJ103" s="46"/>
      <c r="VOK103" s="46"/>
      <c r="VOL103" s="46"/>
      <c r="VOM103" s="46"/>
      <c r="VON103" s="46"/>
      <c r="VOO103" s="46"/>
      <c r="VOP103" s="46"/>
      <c r="VOQ103" s="46"/>
      <c r="VOR103" s="46"/>
      <c r="VOS103" s="46"/>
      <c r="VOT103" s="46"/>
      <c r="VOU103" s="46"/>
      <c r="VOV103" s="46"/>
      <c r="VOW103" s="46"/>
      <c r="VOX103" s="46"/>
      <c r="VOY103" s="46"/>
      <c r="VOZ103" s="46"/>
      <c r="VPA103" s="46"/>
      <c r="VPB103" s="46"/>
      <c r="VPC103" s="46"/>
      <c r="VPD103" s="46"/>
      <c r="VPE103" s="46"/>
      <c r="VPF103" s="46"/>
      <c r="VPG103" s="46"/>
      <c r="VPH103" s="46"/>
      <c r="VPI103" s="46"/>
      <c r="VPJ103" s="46"/>
      <c r="VPK103" s="46"/>
      <c r="VPL103" s="46"/>
      <c r="VPM103" s="46"/>
      <c r="VPN103" s="46"/>
      <c r="VPO103" s="46"/>
      <c r="VPP103" s="46"/>
      <c r="VPQ103" s="46"/>
      <c r="VPR103" s="46"/>
      <c r="VPS103" s="46"/>
      <c r="VPT103" s="46"/>
      <c r="VPU103" s="46"/>
      <c r="VPV103" s="46"/>
      <c r="VPW103" s="46"/>
      <c r="VPX103" s="46"/>
      <c r="VPY103" s="46"/>
      <c r="VPZ103" s="46"/>
      <c r="VQA103" s="46"/>
      <c r="VQB103" s="46"/>
      <c r="VQC103" s="46"/>
      <c r="VQD103" s="46"/>
      <c r="VQE103" s="46"/>
      <c r="VQF103" s="46"/>
      <c r="VQG103" s="46"/>
      <c r="VQH103" s="46"/>
      <c r="VQI103" s="46"/>
      <c r="VQJ103" s="46"/>
      <c r="VQK103" s="46"/>
      <c r="VQL103" s="46"/>
      <c r="VQM103" s="46"/>
      <c r="VQN103" s="46"/>
      <c r="VQO103" s="46"/>
      <c r="VQP103" s="46"/>
      <c r="VQQ103" s="46"/>
      <c r="VQR103" s="46"/>
      <c r="VQS103" s="46"/>
      <c r="VQT103" s="46"/>
      <c r="VQU103" s="46"/>
      <c r="VQV103" s="46"/>
      <c r="VQW103" s="46"/>
      <c r="VQX103" s="46"/>
      <c r="VQY103" s="46"/>
      <c r="VQZ103" s="46"/>
      <c r="VRA103" s="46"/>
      <c r="VRB103" s="46"/>
      <c r="VRC103" s="46"/>
      <c r="VRD103" s="46"/>
      <c r="VRE103" s="46"/>
      <c r="VRF103" s="46"/>
      <c r="VRG103" s="46"/>
      <c r="VRH103" s="46"/>
      <c r="VRI103" s="46"/>
      <c r="VRJ103" s="46"/>
      <c r="VRK103" s="46"/>
      <c r="VRL103" s="46"/>
      <c r="VRM103" s="46"/>
      <c r="VRN103" s="46"/>
      <c r="VRO103" s="46"/>
      <c r="VRP103" s="46"/>
      <c r="VRQ103" s="46"/>
      <c r="VRR103" s="46"/>
      <c r="VRS103" s="46"/>
      <c r="VRT103" s="46"/>
      <c r="VRU103" s="46"/>
      <c r="VRV103" s="46"/>
      <c r="VRW103" s="46"/>
      <c r="VRX103" s="46"/>
      <c r="VRY103" s="46"/>
      <c r="VRZ103" s="46"/>
      <c r="VSA103" s="46"/>
      <c r="VSB103" s="46"/>
      <c r="VSC103" s="46"/>
      <c r="VSD103" s="46"/>
      <c r="VSE103" s="46"/>
      <c r="VSF103" s="46"/>
      <c r="VSG103" s="46"/>
      <c r="VSH103" s="46"/>
      <c r="VSI103" s="46"/>
      <c r="VSJ103" s="46"/>
      <c r="VSK103" s="46"/>
      <c r="VSL103" s="46"/>
      <c r="VSM103" s="46"/>
      <c r="VSN103" s="46"/>
      <c r="VSO103" s="46"/>
      <c r="VSP103" s="46"/>
      <c r="VSQ103" s="46"/>
      <c r="VSR103" s="46"/>
      <c r="VSS103" s="46"/>
      <c r="VST103" s="46"/>
      <c r="VSU103" s="46"/>
      <c r="VSV103" s="46"/>
      <c r="VSW103" s="46"/>
      <c r="VSX103" s="46"/>
      <c r="VSY103" s="46"/>
      <c r="VSZ103" s="46"/>
      <c r="VTA103" s="46"/>
      <c r="VTB103" s="46"/>
      <c r="VTC103" s="46"/>
      <c r="VTD103" s="46"/>
      <c r="VTE103" s="46"/>
      <c r="VTF103" s="46"/>
      <c r="VTG103" s="46"/>
      <c r="VTH103" s="46"/>
      <c r="VTI103" s="46"/>
      <c r="VTJ103" s="46"/>
      <c r="VTK103" s="46"/>
      <c r="VTL103" s="46"/>
      <c r="VTM103" s="46"/>
      <c r="VTN103" s="46"/>
      <c r="VTO103" s="46"/>
      <c r="VTP103" s="46"/>
      <c r="VTQ103" s="46"/>
      <c r="VTR103" s="46"/>
      <c r="VTS103" s="46"/>
      <c r="VTT103" s="46"/>
      <c r="VTU103" s="46"/>
      <c r="VTV103" s="46"/>
      <c r="VTW103" s="46"/>
      <c r="VTX103" s="46"/>
      <c r="VTY103" s="46"/>
      <c r="VTZ103" s="46"/>
      <c r="VUA103" s="46"/>
    </row>
    <row r="104" spans="3:61 15027:15419" s="1" customFormat="1" ht="15" hidden="1" customHeight="1" x14ac:dyDescent="0.25">
      <c r="C104" s="15"/>
      <c r="D104" s="30" t="s">
        <v>29</v>
      </c>
      <c r="E104" s="60"/>
      <c r="F104" s="1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0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63" t="s">
        <v>29</v>
      </c>
      <c r="BI104" s="142"/>
    </row>
    <row r="105" spans="3:61 15027:15419" s="1" customFormat="1" ht="15" hidden="1" customHeight="1" x14ac:dyDescent="0.25">
      <c r="C105" s="15"/>
      <c r="D105" s="14" t="s">
        <v>49</v>
      </c>
      <c r="E105" s="60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0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4">
        <v>0</v>
      </c>
      <c r="BI105" s="142"/>
    </row>
    <row r="106" spans="3:61 15027:15419" s="1" customFormat="1" ht="15" hidden="1" customHeight="1" x14ac:dyDescent="0.25">
      <c r="C106" s="15"/>
      <c r="D106" s="14" t="s">
        <v>48</v>
      </c>
      <c r="E106" s="60"/>
      <c r="F106" s="20" t="s">
        <v>31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0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54">
        <v>0</v>
      </c>
      <c r="BI106" s="142"/>
    </row>
    <row r="107" spans="3:61 15027:15419" s="1" customFormat="1" ht="15" hidden="1" customHeight="1" x14ac:dyDescent="0.25">
      <c r="C107" s="15"/>
      <c r="D107" s="30" t="s">
        <v>28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60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28</v>
      </c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I107" s="142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0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>
        <v>0</v>
      </c>
      <c r="AK108" s="33">
        <v>0</v>
      </c>
      <c r="AM108" s="54">
        <v>0</v>
      </c>
      <c r="AQ108" s="146"/>
      <c r="AR108" s="142"/>
      <c r="AS108" s="142"/>
      <c r="AT108" s="142"/>
      <c r="AU108" s="149"/>
      <c r="AV108" s="142"/>
      <c r="AW108" s="142"/>
      <c r="AX108" s="142"/>
      <c r="AY108" s="142"/>
      <c r="AZ108" s="142"/>
      <c r="BI108" s="142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28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1960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/>
      <c r="AJ109" s="33">
        <v>0</v>
      </c>
      <c r="AK109" s="33">
        <v>0</v>
      </c>
      <c r="AM109" s="54">
        <v>0</v>
      </c>
      <c r="AQ109" s="141"/>
      <c r="AR109" s="142"/>
      <c r="AS109" s="142"/>
      <c r="AT109" s="142"/>
      <c r="AU109" s="142"/>
      <c r="AV109" s="142"/>
      <c r="AW109" s="142"/>
      <c r="AX109" s="142"/>
      <c r="AY109" s="142"/>
      <c r="AZ109" s="142"/>
      <c r="BI109" s="142"/>
    </row>
    <row r="110" spans="3:61 15027:15419" ht="15" hidden="1" customHeight="1" x14ac:dyDescent="0.25">
      <c r="C110" s="8"/>
      <c r="D110" s="47" t="s">
        <v>30</v>
      </c>
      <c r="E110" s="48"/>
      <c r="F110" s="49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1963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3"/>
      <c r="AM110" s="78" t="s">
        <v>131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</row>
    <row r="111" spans="3:61 15027:15419" s="1" customFormat="1" ht="15" hidden="1" customHeight="1" x14ac:dyDescent="0.25">
      <c r="C111" s="15"/>
      <c r="D111" s="30" t="s">
        <v>29</v>
      </c>
      <c r="E111" s="60"/>
      <c r="F111" s="1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60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M111" s="63" t="s">
        <v>29</v>
      </c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I111" s="142"/>
    </row>
    <row r="112" spans="3:61 15027:15419" s="1" customFormat="1" ht="15" hidden="1" customHeight="1" x14ac:dyDescent="0.25">
      <c r="C112" s="15"/>
      <c r="D112" s="14" t="s">
        <v>49</v>
      </c>
      <c r="E112" s="126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1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 t="e">
        <v>#DIV/0!</v>
      </c>
      <c r="AK112" s="34" t="e">
        <v>#DIV/0!</v>
      </c>
      <c r="AM112" s="58" t="e">
        <v>#DIV/0!</v>
      </c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I112" s="142"/>
    </row>
    <row r="113" spans="3:61 15027:15419" s="1" customFormat="1" ht="15" hidden="1" customHeight="1" x14ac:dyDescent="0.25">
      <c r="C113" s="15"/>
      <c r="D113" s="14" t="s">
        <v>48</v>
      </c>
      <c r="E113" s="126">
        <v>0.3</v>
      </c>
      <c r="F113" s="20" t="s">
        <v>25</v>
      </c>
      <c r="G113" s="34" t="e">
        <v>#DIV/0!</v>
      </c>
      <c r="H113" s="34" t="e">
        <v>#DIV/0!</v>
      </c>
      <c r="I113" s="34" t="e">
        <v>#DIV/0!</v>
      </c>
      <c r="J113" s="34" t="e">
        <v>#DIV/0!</v>
      </c>
      <c r="K113" s="34" t="e">
        <v>#DIV/0!</v>
      </c>
      <c r="L113" s="34" t="e">
        <v>#DIV/0!</v>
      </c>
      <c r="M113" s="34" t="e">
        <v>#DIV/0!</v>
      </c>
      <c r="N113" s="34" t="e">
        <v>#DIV/0!</v>
      </c>
      <c r="O113" s="34" t="e">
        <v>#DIV/0!</v>
      </c>
      <c r="P113" s="34" t="e">
        <v>#DIV/0!</v>
      </c>
      <c r="Q113" s="34" t="e">
        <v>#DIV/0!</v>
      </c>
      <c r="R113" s="34" t="e">
        <v>#DIV/0!</v>
      </c>
      <c r="S113" s="1961" t="e">
        <v>#DIV/0!</v>
      </c>
      <c r="T113" s="34" t="e">
        <v>#DIV/0!</v>
      </c>
      <c r="U113" s="34" t="e">
        <v>#DIV/0!</v>
      </c>
      <c r="V113" s="34" t="e">
        <v>#DIV/0!</v>
      </c>
      <c r="W113" s="34" t="e">
        <v>#DIV/0!</v>
      </c>
      <c r="X113" s="34" t="e">
        <v>#DIV/0!</v>
      </c>
      <c r="Y113" s="34" t="e">
        <v>#DIV/0!</v>
      </c>
      <c r="Z113" s="34" t="e">
        <v>#DIV/0!</v>
      </c>
      <c r="AA113" s="34" t="e">
        <v>#DIV/0!</v>
      </c>
      <c r="AB113" s="34" t="e">
        <v>#DIV/0!</v>
      </c>
      <c r="AC113" s="34" t="e">
        <v>#DIV/0!</v>
      </c>
      <c r="AD113" s="34" t="e">
        <v>#DIV/0!</v>
      </c>
      <c r="AE113" s="34" t="e">
        <v>#DIV/0!</v>
      </c>
      <c r="AF113" s="34" t="e">
        <v>#DIV/0!</v>
      </c>
      <c r="AG113" s="34" t="e">
        <v>#DIV/0!</v>
      </c>
      <c r="AH113" s="34" t="e">
        <v>#DIV/0!</v>
      </c>
      <c r="AI113" s="34"/>
      <c r="AJ113" s="34" t="e">
        <v>#DIV/0!</v>
      </c>
      <c r="AK113" s="34" t="e">
        <v>#DIV/0!</v>
      </c>
      <c r="AM113" s="58" t="e">
        <v>#DIV/0!</v>
      </c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I113" s="142"/>
    </row>
    <row r="114" spans="3:61 15027:15419" s="1" customFormat="1" ht="15" hidden="1" customHeight="1" x14ac:dyDescent="0.25">
      <c r="C114" s="15"/>
      <c r="D114" s="30" t="s">
        <v>28</v>
      </c>
      <c r="E114" s="126"/>
      <c r="F114" s="1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1961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M114" s="63" t="s">
        <v>28</v>
      </c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I114" s="142"/>
    </row>
    <row r="115" spans="3:61 15027:15419" s="1" customFormat="1" ht="15" hidden="1" customHeight="1" x14ac:dyDescent="0.25">
      <c r="C115" s="15"/>
      <c r="D115" s="14" t="s">
        <v>49</v>
      </c>
      <c r="E115" s="126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1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 t="e">
        <v>#DIV/0!</v>
      </c>
      <c r="AK115" s="34" t="e">
        <v>#DIV/0!</v>
      </c>
      <c r="AM115" s="58" t="e">
        <v>#DIV/0!</v>
      </c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I115" s="142"/>
    </row>
    <row r="116" spans="3:61 15027:15419" s="1" customFormat="1" ht="15.75" hidden="1" customHeight="1" thickBot="1" x14ac:dyDescent="0.3">
      <c r="C116" s="19"/>
      <c r="D116" s="14" t="s">
        <v>48</v>
      </c>
      <c r="E116" s="126">
        <v>0.5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61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K116" s="34" t="e">
        <v>#DIV/0!</v>
      </c>
      <c r="AM116" s="58" t="e">
        <v>#DIV/0!</v>
      </c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I116" s="142"/>
    </row>
    <row r="117" spans="3:61 15027:15419" s="1" customFormat="1" ht="15" hidden="1" customHeight="1" x14ac:dyDescent="0.25">
      <c r="C117" s="8">
        <v>5</v>
      </c>
      <c r="D117" s="47" t="s">
        <v>47</v>
      </c>
      <c r="E117" s="48"/>
      <c r="F117" s="49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1963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3"/>
      <c r="AM117" s="78" t="s">
        <v>130</v>
      </c>
      <c r="AQ117" s="141"/>
      <c r="AR117" s="141"/>
      <c r="AS117" s="142"/>
      <c r="AT117" s="142"/>
      <c r="AU117" s="141"/>
      <c r="AV117" s="142"/>
      <c r="AW117" s="141"/>
      <c r="AX117" s="141"/>
      <c r="AY117" s="141"/>
      <c r="AZ117" s="141"/>
      <c r="BI117" s="141"/>
      <c r="VEY117" s="46"/>
      <c r="VEZ117" s="46"/>
      <c r="VFA117" s="46"/>
      <c r="VFB117" s="46"/>
      <c r="VFC117" s="46"/>
      <c r="VFD117" s="46"/>
      <c r="VFE117" s="46"/>
      <c r="VFF117" s="46"/>
      <c r="VFG117" s="46"/>
      <c r="VFH117" s="46"/>
      <c r="VFI117" s="46"/>
      <c r="VFJ117" s="46"/>
      <c r="VFK117" s="46"/>
      <c r="VFL117" s="46"/>
      <c r="VFM117" s="46"/>
      <c r="VFN117" s="46"/>
      <c r="VFO117" s="46"/>
      <c r="VFP117" s="46"/>
      <c r="VFQ117" s="46"/>
      <c r="VFR117" s="46"/>
      <c r="VFS117" s="46"/>
      <c r="VFT117" s="46"/>
      <c r="VFU117" s="46"/>
      <c r="VFV117" s="46"/>
      <c r="VFW117" s="46"/>
      <c r="VFX117" s="46"/>
      <c r="VFY117" s="46"/>
      <c r="VFZ117" s="46"/>
      <c r="VGA117" s="46"/>
      <c r="VGB117" s="46"/>
      <c r="VGC117" s="46"/>
      <c r="VGD117" s="46"/>
      <c r="VGE117" s="46"/>
      <c r="VGF117" s="46"/>
      <c r="VGG117" s="46"/>
      <c r="VGH117" s="46"/>
      <c r="VGI117" s="46"/>
      <c r="VGJ117" s="46"/>
      <c r="VGK117" s="46"/>
      <c r="VGL117" s="46"/>
      <c r="VGM117" s="46"/>
      <c r="VGN117" s="46"/>
      <c r="VGO117" s="46"/>
      <c r="VGP117" s="46"/>
      <c r="VGQ117" s="46"/>
      <c r="VGR117" s="46"/>
      <c r="VGS117" s="46"/>
      <c r="VGT117" s="46"/>
      <c r="VGU117" s="46"/>
      <c r="VGV117" s="46"/>
      <c r="VGW117" s="46"/>
      <c r="VGX117" s="46"/>
      <c r="VGY117" s="46"/>
      <c r="VGZ117" s="46"/>
      <c r="VHA117" s="46"/>
      <c r="VHB117" s="46"/>
      <c r="VHC117" s="46"/>
      <c r="VHD117" s="46"/>
      <c r="VHE117" s="46"/>
      <c r="VHF117" s="46"/>
      <c r="VHG117" s="46"/>
      <c r="VHH117" s="46"/>
      <c r="VHI117" s="46"/>
      <c r="VHJ117" s="46"/>
      <c r="VHK117" s="46"/>
      <c r="VHL117" s="46"/>
      <c r="VHM117" s="46"/>
      <c r="VHN117" s="46"/>
      <c r="VHO117" s="46"/>
      <c r="VHP117" s="46"/>
      <c r="VHQ117" s="46"/>
      <c r="VHR117" s="46"/>
      <c r="VHS117" s="46"/>
      <c r="VHT117" s="46"/>
      <c r="VHU117" s="46"/>
      <c r="VHV117" s="46"/>
      <c r="VHW117" s="46"/>
      <c r="VHX117" s="46"/>
      <c r="VHY117" s="46"/>
      <c r="VHZ117" s="46"/>
      <c r="VIA117" s="46"/>
      <c r="VIB117" s="46"/>
      <c r="VIC117" s="46"/>
      <c r="VID117" s="46"/>
      <c r="VIE117" s="46"/>
      <c r="VIF117" s="46"/>
      <c r="VIG117" s="46"/>
      <c r="VIH117" s="46"/>
      <c r="VII117" s="46"/>
      <c r="VIJ117" s="46"/>
      <c r="VIK117" s="46"/>
      <c r="VIL117" s="46"/>
      <c r="VIM117" s="46"/>
      <c r="VIN117" s="46"/>
      <c r="VIO117" s="46"/>
      <c r="VIP117" s="46"/>
      <c r="VIQ117" s="46"/>
      <c r="VIR117" s="46"/>
      <c r="VIS117" s="46"/>
      <c r="VIT117" s="46"/>
      <c r="VIU117" s="46"/>
      <c r="VIV117" s="46"/>
      <c r="VIW117" s="46"/>
      <c r="VIX117" s="46"/>
      <c r="VIY117" s="46"/>
      <c r="VIZ117" s="46"/>
      <c r="VJA117" s="46"/>
      <c r="VJB117" s="46"/>
      <c r="VJC117" s="46"/>
      <c r="VJD117" s="46"/>
      <c r="VJE117" s="46"/>
      <c r="VJF117" s="46"/>
      <c r="VJG117" s="46"/>
      <c r="VJH117" s="46"/>
      <c r="VJI117" s="46"/>
      <c r="VJJ117" s="46"/>
      <c r="VJK117" s="46"/>
      <c r="VJL117" s="46"/>
      <c r="VJM117" s="46"/>
      <c r="VJN117" s="46"/>
      <c r="VJO117" s="46"/>
      <c r="VJP117" s="46"/>
      <c r="VJQ117" s="46"/>
      <c r="VJR117" s="46"/>
      <c r="VJS117" s="46"/>
      <c r="VJT117" s="46"/>
      <c r="VJU117" s="46"/>
      <c r="VJV117" s="46"/>
      <c r="VJW117" s="46"/>
      <c r="VJX117" s="46"/>
      <c r="VJY117" s="46"/>
      <c r="VJZ117" s="46"/>
      <c r="VKA117" s="46"/>
      <c r="VKB117" s="46"/>
      <c r="VKC117" s="46"/>
      <c r="VKD117" s="46"/>
      <c r="VKE117" s="46"/>
      <c r="VKF117" s="46"/>
      <c r="VKG117" s="46"/>
      <c r="VKH117" s="46"/>
      <c r="VKI117" s="46"/>
      <c r="VKJ117" s="46"/>
      <c r="VKK117" s="46"/>
      <c r="VKL117" s="46"/>
      <c r="VKM117" s="46"/>
      <c r="VKN117" s="46"/>
      <c r="VKO117" s="46"/>
      <c r="VKP117" s="46"/>
      <c r="VKQ117" s="46"/>
      <c r="VKR117" s="46"/>
      <c r="VKS117" s="46"/>
      <c r="VKT117" s="46"/>
      <c r="VKU117" s="46"/>
      <c r="VKV117" s="46"/>
      <c r="VKW117" s="46"/>
      <c r="VKX117" s="46"/>
      <c r="VKY117" s="46"/>
      <c r="VKZ117" s="46"/>
      <c r="VLA117" s="46"/>
      <c r="VLB117" s="46"/>
      <c r="VLC117" s="46"/>
      <c r="VLD117" s="46"/>
      <c r="VLE117" s="46"/>
      <c r="VLF117" s="46"/>
      <c r="VLG117" s="46"/>
      <c r="VLH117" s="46"/>
      <c r="VLI117" s="46"/>
      <c r="VLJ117" s="46"/>
      <c r="VLK117" s="46"/>
      <c r="VLL117" s="46"/>
      <c r="VLM117" s="46"/>
      <c r="VLN117" s="46"/>
      <c r="VLO117" s="46"/>
      <c r="VLP117" s="46"/>
      <c r="VLQ117" s="46"/>
      <c r="VLR117" s="46"/>
      <c r="VLS117" s="46"/>
      <c r="VLT117" s="46"/>
      <c r="VLU117" s="46"/>
      <c r="VLV117" s="46"/>
      <c r="VLW117" s="46"/>
      <c r="VLX117" s="46"/>
      <c r="VLY117" s="46"/>
      <c r="VLZ117" s="46"/>
      <c r="VMA117" s="46"/>
      <c r="VMB117" s="46"/>
      <c r="VMC117" s="46"/>
      <c r="VMD117" s="46"/>
      <c r="VME117" s="46"/>
      <c r="VMF117" s="46"/>
      <c r="VMG117" s="46"/>
      <c r="VMH117" s="46"/>
      <c r="VMI117" s="46"/>
      <c r="VMJ117" s="46"/>
      <c r="VMK117" s="46"/>
      <c r="VML117" s="46"/>
      <c r="VMM117" s="46"/>
      <c r="VMN117" s="46"/>
      <c r="VMO117" s="46"/>
      <c r="VMP117" s="46"/>
      <c r="VMQ117" s="46"/>
      <c r="VMR117" s="46"/>
      <c r="VMS117" s="46"/>
      <c r="VMT117" s="46"/>
      <c r="VMU117" s="46"/>
      <c r="VMV117" s="46"/>
      <c r="VMW117" s="46"/>
      <c r="VMX117" s="46"/>
      <c r="VMY117" s="46"/>
      <c r="VMZ117" s="46"/>
      <c r="VNA117" s="46"/>
      <c r="VNB117" s="46"/>
      <c r="VNC117" s="46"/>
      <c r="VND117" s="46"/>
      <c r="VNE117" s="46"/>
      <c r="VNF117" s="46"/>
      <c r="VNG117" s="46"/>
      <c r="VNH117" s="46"/>
      <c r="VNI117" s="46"/>
      <c r="VNJ117" s="46"/>
      <c r="VNK117" s="46"/>
      <c r="VNL117" s="46"/>
      <c r="VNM117" s="46"/>
      <c r="VNN117" s="46"/>
      <c r="VNO117" s="46"/>
      <c r="VNP117" s="46"/>
      <c r="VNQ117" s="46"/>
      <c r="VNR117" s="46"/>
      <c r="VNS117" s="46"/>
      <c r="VNT117" s="46"/>
      <c r="VNU117" s="46"/>
      <c r="VNV117" s="46"/>
      <c r="VNW117" s="46"/>
      <c r="VNX117" s="46"/>
      <c r="VNY117" s="46"/>
      <c r="VNZ117" s="46"/>
      <c r="VOA117" s="46"/>
      <c r="VOB117" s="46"/>
      <c r="VOC117" s="46"/>
      <c r="VOD117" s="46"/>
      <c r="VOE117" s="46"/>
      <c r="VOF117" s="46"/>
      <c r="VOG117" s="46"/>
      <c r="VOH117" s="46"/>
      <c r="VOI117" s="46"/>
      <c r="VOJ117" s="46"/>
      <c r="VOK117" s="46"/>
      <c r="VOL117" s="46"/>
      <c r="VOM117" s="46"/>
      <c r="VON117" s="46"/>
      <c r="VOO117" s="46"/>
      <c r="VOP117" s="46"/>
      <c r="VOQ117" s="46"/>
      <c r="VOR117" s="46"/>
      <c r="VOS117" s="46"/>
      <c r="VOT117" s="46"/>
      <c r="VOU117" s="46"/>
      <c r="VOV117" s="46"/>
      <c r="VOW117" s="46"/>
      <c r="VOX117" s="46"/>
      <c r="VOY117" s="46"/>
      <c r="VOZ117" s="46"/>
      <c r="VPA117" s="46"/>
      <c r="VPB117" s="46"/>
      <c r="VPC117" s="46"/>
      <c r="VPD117" s="46"/>
      <c r="VPE117" s="46"/>
      <c r="VPF117" s="46"/>
      <c r="VPG117" s="46"/>
      <c r="VPH117" s="46"/>
      <c r="VPI117" s="46"/>
      <c r="VPJ117" s="46"/>
      <c r="VPK117" s="46"/>
      <c r="VPL117" s="46"/>
      <c r="VPM117" s="46"/>
      <c r="VPN117" s="46"/>
      <c r="VPO117" s="46"/>
      <c r="VPP117" s="46"/>
      <c r="VPQ117" s="46"/>
      <c r="VPR117" s="46"/>
      <c r="VPS117" s="46"/>
      <c r="VPT117" s="46"/>
      <c r="VPU117" s="46"/>
      <c r="VPV117" s="46"/>
      <c r="VPW117" s="46"/>
      <c r="VPX117" s="46"/>
      <c r="VPY117" s="46"/>
      <c r="VPZ117" s="46"/>
      <c r="VQA117" s="46"/>
      <c r="VQB117" s="46"/>
      <c r="VQC117" s="46"/>
      <c r="VQD117" s="46"/>
      <c r="VQE117" s="46"/>
      <c r="VQF117" s="46"/>
      <c r="VQG117" s="46"/>
      <c r="VQH117" s="46"/>
      <c r="VQI117" s="46"/>
      <c r="VQJ117" s="46"/>
      <c r="VQK117" s="46"/>
      <c r="VQL117" s="46"/>
      <c r="VQM117" s="46"/>
      <c r="VQN117" s="46"/>
      <c r="VQO117" s="46"/>
      <c r="VQP117" s="46"/>
      <c r="VQQ117" s="46"/>
      <c r="VQR117" s="46"/>
      <c r="VQS117" s="46"/>
      <c r="VQT117" s="46"/>
      <c r="VQU117" s="46"/>
      <c r="VQV117" s="46"/>
      <c r="VQW117" s="46"/>
      <c r="VQX117" s="46"/>
      <c r="VQY117" s="46"/>
      <c r="VQZ117" s="46"/>
      <c r="VRA117" s="46"/>
      <c r="VRB117" s="46"/>
      <c r="VRC117" s="46"/>
      <c r="VRD117" s="46"/>
      <c r="VRE117" s="46"/>
      <c r="VRF117" s="46"/>
      <c r="VRG117" s="46"/>
      <c r="VRH117" s="46"/>
      <c r="VRI117" s="46"/>
      <c r="VRJ117" s="46"/>
      <c r="VRK117" s="46"/>
      <c r="VRL117" s="46"/>
      <c r="VRM117" s="46"/>
      <c r="VRN117" s="46"/>
      <c r="VRO117" s="46"/>
      <c r="VRP117" s="46"/>
      <c r="VRQ117" s="46"/>
      <c r="VRR117" s="46"/>
      <c r="VRS117" s="46"/>
      <c r="VRT117" s="46"/>
      <c r="VRU117" s="46"/>
      <c r="VRV117" s="46"/>
      <c r="VRW117" s="46"/>
      <c r="VRX117" s="46"/>
      <c r="VRY117" s="46"/>
      <c r="VRZ117" s="46"/>
      <c r="VSA117" s="46"/>
      <c r="VSB117" s="46"/>
      <c r="VSC117" s="46"/>
      <c r="VSD117" s="46"/>
      <c r="VSE117" s="46"/>
      <c r="VSF117" s="46"/>
      <c r="VSG117" s="46"/>
      <c r="VSH117" s="46"/>
      <c r="VSI117" s="46"/>
      <c r="VSJ117" s="46"/>
      <c r="VSK117" s="46"/>
      <c r="VSL117" s="46"/>
      <c r="VSM117" s="46"/>
      <c r="VSN117" s="46"/>
      <c r="VSO117" s="46"/>
      <c r="VSP117" s="46"/>
      <c r="VSQ117" s="46"/>
      <c r="VSR117" s="46"/>
      <c r="VSS117" s="46"/>
      <c r="VST117" s="46"/>
      <c r="VSU117" s="46"/>
      <c r="VSV117" s="46"/>
      <c r="VSW117" s="46"/>
      <c r="VSX117" s="46"/>
      <c r="VSY117" s="46"/>
      <c r="VSZ117" s="46"/>
      <c r="VTA117" s="46"/>
      <c r="VTB117" s="46"/>
      <c r="VTC117" s="46"/>
      <c r="VTD117" s="46"/>
      <c r="VTE117" s="46"/>
      <c r="VTF117" s="46"/>
      <c r="VTG117" s="46"/>
      <c r="VTH117" s="46"/>
      <c r="VTI117" s="46"/>
      <c r="VTJ117" s="46"/>
      <c r="VTK117" s="46"/>
      <c r="VTL117" s="46"/>
      <c r="VTM117" s="46"/>
      <c r="VTN117" s="46"/>
      <c r="VTO117" s="46"/>
      <c r="VTP117" s="46"/>
      <c r="VTQ117" s="46"/>
      <c r="VTR117" s="46"/>
      <c r="VTS117" s="46"/>
      <c r="VTT117" s="46"/>
      <c r="VTU117" s="46"/>
      <c r="VTV117" s="46"/>
      <c r="VTW117" s="46"/>
      <c r="VTX117" s="46"/>
      <c r="VTY117" s="46"/>
      <c r="VTZ117" s="46"/>
      <c r="VUA117" s="46"/>
    </row>
    <row r="118" spans="3:61 15027:15419" s="1" customFormat="1" ht="15" hidden="1" customHeight="1" x14ac:dyDescent="0.25">
      <c r="C118" s="15"/>
      <c r="D118" s="28" t="s">
        <v>46</v>
      </c>
      <c r="E118" s="90"/>
      <c r="F118" s="20" t="s">
        <v>14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1961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"/>
      <c r="AM118" s="89">
        <v>0</v>
      </c>
      <c r="AQ118" s="141"/>
      <c r="AR118" s="142"/>
      <c r="AS118" s="142"/>
      <c r="AT118" s="142"/>
      <c r="AU118" s="141"/>
      <c r="AV118" s="142"/>
      <c r="AW118" s="142"/>
      <c r="AX118" s="142"/>
      <c r="AY118" s="142"/>
      <c r="AZ118" s="142"/>
      <c r="BI118" s="142"/>
    </row>
    <row r="119" spans="3:61 15027:15419" s="1" customFormat="1" ht="15" hidden="1" customHeight="1" x14ac:dyDescent="0.25">
      <c r="C119" s="15"/>
      <c r="D119" s="30" t="s">
        <v>39</v>
      </c>
      <c r="E119" s="60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1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>
        <v>0</v>
      </c>
      <c r="AK119" s="34">
        <v>0</v>
      </c>
      <c r="AM119" s="58">
        <v>0</v>
      </c>
      <c r="AQ119" s="150"/>
      <c r="AR119" s="146"/>
      <c r="AS119" s="146"/>
      <c r="AT119" s="146"/>
      <c r="AU119" s="146"/>
      <c r="AV119" s="146"/>
      <c r="AW119" s="142"/>
      <c r="AX119" s="142"/>
      <c r="AY119" s="142"/>
      <c r="AZ119" s="142"/>
      <c r="BI119" s="142"/>
    </row>
    <row r="120" spans="3:61 15027:15419" s="1" customFormat="1" ht="15" hidden="1" customHeight="1" x14ac:dyDescent="0.25">
      <c r="C120" s="15"/>
      <c r="D120" s="30" t="s">
        <v>38</v>
      </c>
      <c r="E120" s="60"/>
      <c r="F120" s="20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1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>
        <v>0</v>
      </c>
      <c r="AK120" s="34">
        <v>0</v>
      </c>
      <c r="AM120" s="58">
        <v>0</v>
      </c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I120" s="142"/>
    </row>
    <row r="121" spans="3:61 15027:15419" s="1" customFormat="1" ht="15" hidden="1" customHeight="1" x14ac:dyDescent="0.25">
      <c r="C121" s="15"/>
      <c r="D121" s="30" t="s">
        <v>50</v>
      </c>
      <c r="E121" s="60"/>
      <c r="F121" s="13" t="s">
        <v>14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1961">
        <v>0</v>
      </c>
      <c r="T121" s="34">
        <v>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/>
      <c r="AJ121" s="34">
        <v>0</v>
      </c>
      <c r="AK121" s="34">
        <v>0</v>
      </c>
      <c r="AM121" s="58">
        <v>0</v>
      </c>
      <c r="BI121" s="142"/>
    </row>
    <row r="122" spans="3:61 15027:15419" s="1" customFormat="1" ht="15" hidden="1" customHeight="1" x14ac:dyDescent="0.25">
      <c r="C122" s="15"/>
      <c r="D122" s="30" t="s">
        <v>29</v>
      </c>
      <c r="E122" s="60"/>
      <c r="F122" s="1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0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63" t="s">
        <v>29</v>
      </c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I122" s="142"/>
    </row>
    <row r="123" spans="3:61 15027:15419" s="16" customFormat="1" ht="15" hidden="1" customHeight="1" x14ac:dyDescent="0.25">
      <c r="C123" s="17"/>
      <c r="D123" s="11" t="s">
        <v>45</v>
      </c>
      <c r="E123" s="53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0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1">
        <v>0</v>
      </c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I123" s="148"/>
    </row>
    <row r="124" spans="3:61 15027:15419" s="16" customFormat="1" ht="15" hidden="1" customHeight="1" x14ac:dyDescent="0.25">
      <c r="C124" s="17"/>
      <c r="D124" s="11" t="s">
        <v>44</v>
      </c>
      <c r="E124" s="53"/>
      <c r="F124" s="32" t="s">
        <v>31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0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91">
        <v>0</v>
      </c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I124" s="148"/>
    </row>
    <row r="125" spans="3:61 15027:15419" s="1" customFormat="1" ht="15" hidden="1" customHeight="1" x14ac:dyDescent="0.25">
      <c r="C125" s="15"/>
      <c r="D125" s="30" t="s">
        <v>28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60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28</v>
      </c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I125" s="142"/>
    </row>
    <row r="126" spans="3:61 15027:15419" s="1" customFormat="1" ht="15" hidden="1" customHeight="1" x14ac:dyDescent="0.25">
      <c r="C126" s="15"/>
      <c r="D126" s="11" t="s">
        <v>45</v>
      </c>
      <c r="E126" s="60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0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>
        <v>0</v>
      </c>
      <c r="AK126" s="33">
        <v>0</v>
      </c>
      <c r="AM126" s="54">
        <v>0</v>
      </c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I126" s="142"/>
    </row>
    <row r="127" spans="3:61 15027:15419" s="1" customFormat="1" ht="15" hidden="1" customHeight="1" x14ac:dyDescent="0.25">
      <c r="C127" s="15"/>
      <c r="D127" s="11" t="s">
        <v>44</v>
      </c>
      <c r="E127" s="60"/>
      <c r="F127" s="20" t="s">
        <v>28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0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>
        <v>0</v>
      </c>
      <c r="AK127" s="33">
        <v>0</v>
      </c>
      <c r="AM127" s="54">
        <v>0</v>
      </c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I127" s="142"/>
    </row>
    <row r="128" spans="3:61 15027:15419" s="1" customFormat="1" ht="15" hidden="1" customHeight="1" x14ac:dyDescent="0.25">
      <c r="C128" s="15"/>
      <c r="D128" s="30" t="s">
        <v>36</v>
      </c>
      <c r="E128" s="60"/>
      <c r="F128" s="20" t="s">
        <v>35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0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>
        <v>0</v>
      </c>
      <c r="AK128" s="33">
        <v>0</v>
      </c>
      <c r="AM128" s="54">
        <v>0</v>
      </c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I128" s="142"/>
    </row>
    <row r="129" spans="3:61 15027:15419" s="1" customFormat="1" ht="15" hidden="1" customHeight="1" x14ac:dyDescent="0.25">
      <c r="C129" s="15"/>
      <c r="D129" s="30" t="s">
        <v>34</v>
      </c>
      <c r="E129" s="60"/>
      <c r="F129" s="20" t="s">
        <v>33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60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>
        <v>0</v>
      </c>
      <c r="AK129" s="33">
        <v>0</v>
      </c>
      <c r="AM129" s="54">
        <v>0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</row>
    <row r="130" spans="3:61 15027:15419" s="1" customFormat="1" ht="15" hidden="1" customHeight="1" x14ac:dyDescent="0.25">
      <c r="C130" s="8"/>
      <c r="D130" s="47" t="s">
        <v>32</v>
      </c>
      <c r="E130" s="48"/>
      <c r="F130" s="49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1963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3"/>
      <c r="AM130" s="78" t="s">
        <v>131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I130" s="141"/>
      <c r="VEY130" s="46"/>
      <c r="VEZ130" s="46"/>
      <c r="VFA130" s="46"/>
      <c r="VFB130" s="46"/>
      <c r="VFC130" s="46"/>
      <c r="VFD130" s="46"/>
      <c r="VFE130" s="46"/>
      <c r="VFF130" s="46"/>
      <c r="VFG130" s="46"/>
      <c r="VFH130" s="46"/>
      <c r="VFI130" s="46"/>
      <c r="VFJ130" s="46"/>
      <c r="VFK130" s="46"/>
      <c r="VFL130" s="46"/>
      <c r="VFM130" s="46"/>
      <c r="VFN130" s="46"/>
      <c r="VFO130" s="46"/>
      <c r="VFP130" s="46"/>
      <c r="VFQ130" s="46"/>
      <c r="VFR130" s="46"/>
      <c r="VFS130" s="46"/>
      <c r="VFT130" s="46"/>
      <c r="VFU130" s="46"/>
      <c r="VFV130" s="46"/>
      <c r="VFW130" s="46"/>
      <c r="VFX130" s="46"/>
      <c r="VFY130" s="46"/>
      <c r="VFZ130" s="46"/>
      <c r="VGA130" s="46"/>
      <c r="VGB130" s="46"/>
      <c r="VGC130" s="46"/>
      <c r="VGD130" s="46"/>
      <c r="VGE130" s="46"/>
      <c r="VGF130" s="46"/>
      <c r="VGG130" s="46"/>
      <c r="VGH130" s="46"/>
      <c r="VGI130" s="46"/>
      <c r="VGJ130" s="46"/>
      <c r="VGK130" s="46"/>
      <c r="VGL130" s="46"/>
      <c r="VGM130" s="46"/>
      <c r="VGN130" s="46"/>
      <c r="VGO130" s="46"/>
      <c r="VGP130" s="46"/>
      <c r="VGQ130" s="46"/>
      <c r="VGR130" s="46"/>
      <c r="VGS130" s="46"/>
      <c r="VGT130" s="46"/>
      <c r="VGU130" s="46"/>
      <c r="VGV130" s="46"/>
      <c r="VGW130" s="46"/>
      <c r="VGX130" s="46"/>
      <c r="VGY130" s="46"/>
      <c r="VGZ130" s="46"/>
      <c r="VHA130" s="46"/>
      <c r="VHB130" s="46"/>
      <c r="VHC130" s="46"/>
      <c r="VHD130" s="46"/>
      <c r="VHE130" s="46"/>
      <c r="VHF130" s="46"/>
      <c r="VHG130" s="46"/>
      <c r="VHH130" s="46"/>
      <c r="VHI130" s="46"/>
      <c r="VHJ130" s="46"/>
      <c r="VHK130" s="46"/>
      <c r="VHL130" s="46"/>
      <c r="VHM130" s="46"/>
      <c r="VHN130" s="46"/>
      <c r="VHO130" s="46"/>
      <c r="VHP130" s="46"/>
      <c r="VHQ130" s="46"/>
      <c r="VHR130" s="46"/>
      <c r="VHS130" s="46"/>
      <c r="VHT130" s="46"/>
      <c r="VHU130" s="46"/>
      <c r="VHV130" s="46"/>
      <c r="VHW130" s="46"/>
      <c r="VHX130" s="46"/>
      <c r="VHY130" s="46"/>
      <c r="VHZ130" s="46"/>
      <c r="VIA130" s="46"/>
      <c r="VIB130" s="46"/>
      <c r="VIC130" s="46"/>
      <c r="VID130" s="46"/>
      <c r="VIE130" s="46"/>
      <c r="VIF130" s="46"/>
      <c r="VIG130" s="46"/>
      <c r="VIH130" s="46"/>
      <c r="VII130" s="46"/>
      <c r="VIJ130" s="46"/>
      <c r="VIK130" s="46"/>
      <c r="VIL130" s="46"/>
      <c r="VIM130" s="46"/>
      <c r="VIN130" s="46"/>
      <c r="VIO130" s="46"/>
      <c r="VIP130" s="46"/>
      <c r="VIQ130" s="46"/>
      <c r="VIR130" s="46"/>
      <c r="VIS130" s="46"/>
      <c r="VIT130" s="46"/>
      <c r="VIU130" s="46"/>
      <c r="VIV130" s="46"/>
      <c r="VIW130" s="46"/>
      <c r="VIX130" s="46"/>
      <c r="VIY130" s="46"/>
      <c r="VIZ130" s="46"/>
      <c r="VJA130" s="46"/>
      <c r="VJB130" s="46"/>
      <c r="VJC130" s="46"/>
      <c r="VJD130" s="46"/>
      <c r="VJE130" s="46"/>
      <c r="VJF130" s="46"/>
      <c r="VJG130" s="46"/>
      <c r="VJH130" s="46"/>
      <c r="VJI130" s="46"/>
      <c r="VJJ130" s="46"/>
      <c r="VJK130" s="46"/>
      <c r="VJL130" s="46"/>
      <c r="VJM130" s="46"/>
      <c r="VJN130" s="46"/>
      <c r="VJO130" s="46"/>
      <c r="VJP130" s="46"/>
      <c r="VJQ130" s="46"/>
      <c r="VJR130" s="46"/>
      <c r="VJS130" s="46"/>
      <c r="VJT130" s="46"/>
      <c r="VJU130" s="46"/>
      <c r="VJV130" s="46"/>
      <c r="VJW130" s="46"/>
      <c r="VJX130" s="46"/>
      <c r="VJY130" s="46"/>
      <c r="VJZ130" s="46"/>
      <c r="VKA130" s="46"/>
      <c r="VKB130" s="46"/>
      <c r="VKC130" s="46"/>
      <c r="VKD130" s="46"/>
      <c r="VKE130" s="46"/>
      <c r="VKF130" s="46"/>
      <c r="VKG130" s="46"/>
      <c r="VKH130" s="46"/>
      <c r="VKI130" s="46"/>
      <c r="VKJ130" s="46"/>
      <c r="VKK130" s="46"/>
      <c r="VKL130" s="46"/>
      <c r="VKM130" s="46"/>
      <c r="VKN130" s="46"/>
      <c r="VKO130" s="46"/>
      <c r="VKP130" s="46"/>
      <c r="VKQ130" s="46"/>
      <c r="VKR130" s="46"/>
      <c r="VKS130" s="46"/>
      <c r="VKT130" s="46"/>
      <c r="VKU130" s="46"/>
      <c r="VKV130" s="46"/>
      <c r="VKW130" s="46"/>
      <c r="VKX130" s="46"/>
      <c r="VKY130" s="46"/>
      <c r="VKZ130" s="46"/>
      <c r="VLA130" s="46"/>
      <c r="VLB130" s="46"/>
      <c r="VLC130" s="46"/>
      <c r="VLD130" s="46"/>
      <c r="VLE130" s="46"/>
      <c r="VLF130" s="46"/>
      <c r="VLG130" s="46"/>
      <c r="VLH130" s="46"/>
      <c r="VLI130" s="46"/>
      <c r="VLJ130" s="46"/>
      <c r="VLK130" s="46"/>
      <c r="VLL130" s="46"/>
      <c r="VLM130" s="46"/>
      <c r="VLN130" s="46"/>
      <c r="VLO130" s="46"/>
      <c r="VLP130" s="46"/>
      <c r="VLQ130" s="46"/>
      <c r="VLR130" s="46"/>
      <c r="VLS130" s="46"/>
      <c r="VLT130" s="46"/>
      <c r="VLU130" s="46"/>
      <c r="VLV130" s="46"/>
      <c r="VLW130" s="46"/>
      <c r="VLX130" s="46"/>
      <c r="VLY130" s="46"/>
      <c r="VLZ130" s="46"/>
      <c r="VMA130" s="46"/>
      <c r="VMB130" s="46"/>
      <c r="VMC130" s="46"/>
      <c r="VMD130" s="46"/>
      <c r="VME130" s="46"/>
      <c r="VMF130" s="46"/>
      <c r="VMG130" s="46"/>
      <c r="VMH130" s="46"/>
      <c r="VMI130" s="46"/>
      <c r="VMJ130" s="46"/>
      <c r="VMK130" s="46"/>
      <c r="VML130" s="46"/>
      <c r="VMM130" s="46"/>
      <c r="VMN130" s="46"/>
      <c r="VMO130" s="46"/>
      <c r="VMP130" s="46"/>
      <c r="VMQ130" s="46"/>
      <c r="VMR130" s="46"/>
      <c r="VMS130" s="46"/>
      <c r="VMT130" s="46"/>
      <c r="VMU130" s="46"/>
      <c r="VMV130" s="46"/>
      <c r="VMW130" s="46"/>
      <c r="VMX130" s="46"/>
      <c r="VMY130" s="46"/>
      <c r="VMZ130" s="46"/>
      <c r="VNA130" s="46"/>
      <c r="VNB130" s="46"/>
      <c r="VNC130" s="46"/>
      <c r="VND130" s="46"/>
      <c r="VNE130" s="46"/>
      <c r="VNF130" s="46"/>
      <c r="VNG130" s="46"/>
      <c r="VNH130" s="46"/>
      <c r="VNI130" s="46"/>
      <c r="VNJ130" s="46"/>
      <c r="VNK130" s="46"/>
      <c r="VNL130" s="46"/>
      <c r="VNM130" s="46"/>
      <c r="VNN130" s="46"/>
      <c r="VNO130" s="46"/>
      <c r="VNP130" s="46"/>
      <c r="VNQ130" s="46"/>
      <c r="VNR130" s="46"/>
      <c r="VNS130" s="46"/>
      <c r="VNT130" s="46"/>
      <c r="VNU130" s="46"/>
      <c r="VNV130" s="46"/>
      <c r="VNW130" s="46"/>
      <c r="VNX130" s="46"/>
      <c r="VNY130" s="46"/>
      <c r="VNZ130" s="46"/>
      <c r="VOA130" s="46"/>
      <c r="VOB130" s="46"/>
      <c r="VOC130" s="46"/>
      <c r="VOD130" s="46"/>
      <c r="VOE130" s="46"/>
      <c r="VOF130" s="46"/>
      <c r="VOG130" s="46"/>
      <c r="VOH130" s="46"/>
      <c r="VOI130" s="46"/>
      <c r="VOJ130" s="46"/>
      <c r="VOK130" s="46"/>
      <c r="VOL130" s="46"/>
      <c r="VOM130" s="46"/>
      <c r="VON130" s="46"/>
      <c r="VOO130" s="46"/>
      <c r="VOP130" s="46"/>
      <c r="VOQ130" s="46"/>
      <c r="VOR130" s="46"/>
      <c r="VOS130" s="46"/>
      <c r="VOT130" s="46"/>
      <c r="VOU130" s="46"/>
      <c r="VOV130" s="46"/>
      <c r="VOW130" s="46"/>
      <c r="VOX130" s="46"/>
      <c r="VOY130" s="46"/>
      <c r="VOZ130" s="46"/>
      <c r="VPA130" s="46"/>
      <c r="VPB130" s="46"/>
      <c r="VPC130" s="46"/>
      <c r="VPD130" s="46"/>
      <c r="VPE130" s="46"/>
      <c r="VPF130" s="46"/>
      <c r="VPG130" s="46"/>
      <c r="VPH130" s="46"/>
      <c r="VPI130" s="46"/>
      <c r="VPJ130" s="46"/>
      <c r="VPK130" s="46"/>
      <c r="VPL130" s="46"/>
      <c r="VPM130" s="46"/>
      <c r="VPN130" s="46"/>
      <c r="VPO130" s="46"/>
      <c r="VPP130" s="46"/>
      <c r="VPQ130" s="46"/>
      <c r="VPR130" s="46"/>
      <c r="VPS130" s="46"/>
      <c r="VPT130" s="46"/>
      <c r="VPU130" s="46"/>
      <c r="VPV130" s="46"/>
      <c r="VPW130" s="46"/>
      <c r="VPX130" s="46"/>
      <c r="VPY130" s="46"/>
      <c r="VPZ130" s="46"/>
      <c r="VQA130" s="46"/>
      <c r="VQB130" s="46"/>
      <c r="VQC130" s="46"/>
      <c r="VQD130" s="46"/>
      <c r="VQE130" s="46"/>
      <c r="VQF130" s="46"/>
      <c r="VQG130" s="46"/>
      <c r="VQH130" s="46"/>
      <c r="VQI130" s="46"/>
      <c r="VQJ130" s="46"/>
      <c r="VQK130" s="46"/>
      <c r="VQL130" s="46"/>
      <c r="VQM130" s="46"/>
      <c r="VQN130" s="46"/>
      <c r="VQO130" s="46"/>
      <c r="VQP130" s="46"/>
      <c r="VQQ130" s="46"/>
      <c r="VQR130" s="46"/>
      <c r="VQS130" s="46"/>
      <c r="VQT130" s="46"/>
      <c r="VQU130" s="46"/>
      <c r="VQV130" s="46"/>
      <c r="VQW130" s="46"/>
      <c r="VQX130" s="46"/>
      <c r="VQY130" s="46"/>
      <c r="VQZ130" s="46"/>
      <c r="VRA130" s="46"/>
      <c r="VRB130" s="46"/>
      <c r="VRC130" s="46"/>
      <c r="VRD130" s="46"/>
      <c r="VRE130" s="46"/>
      <c r="VRF130" s="46"/>
      <c r="VRG130" s="46"/>
      <c r="VRH130" s="46"/>
      <c r="VRI130" s="46"/>
      <c r="VRJ130" s="46"/>
      <c r="VRK130" s="46"/>
      <c r="VRL130" s="46"/>
      <c r="VRM130" s="46"/>
      <c r="VRN130" s="46"/>
      <c r="VRO130" s="46"/>
      <c r="VRP130" s="46"/>
      <c r="VRQ130" s="46"/>
      <c r="VRR130" s="46"/>
      <c r="VRS130" s="46"/>
      <c r="VRT130" s="46"/>
      <c r="VRU130" s="46"/>
      <c r="VRV130" s="46"/>
      <c r="VRW130" s="46"/>
      <c r="VRX130" s="46"/>
      <c r="VRY130" s="46"/>
      <c r="VRZ130" s="46"/>
      <c r="VSA130" s="46"/>
      <c r="VSB130" s="46"/>
      <c r="VSC130" s="46"/>
      <c r="VSD130" s="46"/>
      <c r="VSE130" s="46"/>
      <c r="VSF130" s="46"/>
      <c r="VSG130" s="46"/>
      <c r="VSH130" s="46"/>
      <c r="VSI130" s="46"/>
      <c r="VSJ130" s="46"/>
      <c r="VSK130" s="46"/>
      <c r="VSL130" s="46"/>
      <c r="VSM130" s="46"/>
      <c r="VSN130" s="46"/>
      <c r="VSO130" s="46"/>
      <c r="VSP130" s="46"/>
      <c r="VSQ130" s="46"/>
      <c r="VSR130" s="46"/>
      <c r="VSS130" s="46"/>
      <c r="VST130" s="46"/>
      <c r="VSU130" s="46"/>
      <c r="VSV130" s="46"/>
      <c r="VSW130" s="46"/>
      <c r="VSX130" s="46"/>
      <c r="VSY130" s="46"/>
      <c r="VSZ130" s="46"/>
      <c r="VTA130" s="46"/>
      <c r="VTB130" s="46"/>
      <c r="VTC130" s="46"/>
      <c r="VTD130" s="46"/>
      <c r="VTE130" s="46"/>
      <c r="VTF130" s="46"/>
      <c r="VTG130" s="46"/>
      <c r="VTH130" s="46"/>
      <c r="VTI130" s="46"/>
      <c r="VTJ130" s="46"/>
      <c r="VTK130" s="46"/>
      <c r="VTL130" s="46"/>
      <c r="VTM130" s="46"/>
      <c r="VTN130" s="46"/>
      <c r="VTO130" s="46"/>
      <c r="VTP130" s="46"/>
      <c r="VTQ130" s="46"/>
      <c r="VTR130" s="46"/>
      <c r="VTS130" s="46"/>
      <c r="VTT130" s="46"/>
      <c r="VTU130" s="46"/>
      <c r="VTV130" s="46"/>
      <c r="VTW130" s="46"/>
      <c r="VTX130" s="46"/>
      <c r="VTY130" s="46"/>
      <c r="VTZ130" s="46"/>
      <c r="VUA130" s="46"/>
    </row>
    <row r="131" spans="3:61 15027:15419" s="1" customFormat="1" ht="15" hidden="1" customHeight="1" x14ac:dyDescent="0.25">
      <c r="C131" s="15"/>
      <c r="D131" s="30" t="s">
        <v>29</v>
      </c>
      <c r="E131" s="60"/>
      <c r="F131" s="1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0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63" t="s">
        <v>29</v>
      </c>
      <c r="BI131" s="142"/>
    </row>
    <row r="132" spans="3:61 15027:15419" s="1" customFormat="1" ht="15" hidden="1" customHeight="1" x14ac:dyDescent="0.25">
      <c r="C132" s="15"/>
      <c r="D132" s="11" t="s">
        <v>45</v>
      </c>
      <c r="E132" s="60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0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4">
        <v>0</v>
      </c>
      <c r="BI132" s="142"/>
    </row>
    <row r="133" spans="3:61 15027:15419" s="1" customFormat="1" ht="15" hidden="1" customHeight="1" x14ac:dyDescent="0.25">
      <c r="C133" s="15"/>
      <c r="D133" s="11" t="s">
        <v>44</v>
      </c>
      <c r="E133" s="60"/>
      <c r="F133" s="20" t="s">
        <v>31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0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54">
        <v>0</v>
      </c>
      <c r="BI133" s="142"/>
    </row>
    <row r="134" spans="3:61 15027:15419" s="1" customFormat="1" ht="15" hidden="1" customHeight="1" x14ac:dyDescent="0.25">
      <c r="C134" s="15"/>
      <c r="D134" s="30" t="s">
        <v>28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60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28</v>
      </c>
      <c r="BI134" s="142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0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>
        <v>0</v>
      </c>
      <c r="AK135" s="33">
        <v>0</v>
      </c>
      <c r="AM135" s="54">
        <v>0</v>
      </c>
      <c r="BI135" s="142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28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1960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  <c r="AI136" s="33"/>
      <c r="AJ136" s="33">
        <v>0</v>
      </c>
      <c r="AK136" s="33">
        <v>0</v>
      </c>
      <c r="AM136" s="54">
        <v>0</v>
      </c>
      <c r="BI136" s="142"/>
    </row>
    <row r="137" spans="3:61 15027:15419" s="1" customFormat="1" ht="15" hidden="1" customHeight="1" x14ac:dyDescent="0.25">
      <c r="C137" s="8"/>
      <c r="D137" s="47" t="s">
        <v>30</v>
      </c>
      <c r="E137" s="48"/>
      <c r="F137" s="49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1963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3"/>
      <c r="AM137" s="78" t="s">
        <v>131</v>
      </c>
      <c r="BI137" s="141"/>
      <c r="VEY137" s="46"/>
      <c r="VEZ137" s="46"/>
      <c r="VFA137" s="46"/>
      <c r="VFB137" s="46"/>
      <c r="VFC137" s="46"/>
      <c r="VFD137" s="46"/>
      <c r="VFE137" s="46"/>
      <c r="VFF137" s="46"/>
      <c r="VFG137" s="46"/>
      <c r="VFH137" s="46"/>
      <c r="VFI137" s="46"/>
      <c r="VFJ137" s="46"/>
      <c r="VFK137" s="46"/>
      <c r="VFL137" s="46"/>
      <c r="VFM137" s="46"/>
      <c r="VFN137" s="46"/>
      <c r="VFO137" s="46"/>
      <c r="VFP137" s="46"/>
      <c r="VFQ137" s="46"/>
      <c r="VFR137" s="46"/>
      <c r="VFS137" s="46"/>
      <c r="VFT137" s="46"/>
      <c r="VFU137" s="46"/>
      <c r="VFV137" s="46"/>
      <c r="VFW137" s="46"/>
      <c r="VFX137" s="46"/>
      <c r="VFY137" s="46"/>
      <c r="VFZ137" s="46"/>
      <c r="VGA137" s="46"/>
      <c r="VGB137" s="46"/>
      <c r="VGC137" s="46"/>
      <c r="VGD137" s="46"/>
      <c r="VGE137" s="46"/>
      <c r="VGF137" s="46"/>
      <c r="VGG137" s="46"/>
      <c r="VGH137" s="46"/>
      <c r="VGI137" s="46"/>
      <c r="VGJ137" s="46"/>
      <c r="VGK137" s="46"/>
      <c r="VGL137" s="46"/>
      <c r="VGM137" s="46"/>
      <c r="VGN137" s="46"/>
      <c r="VGO137" s="46"/>
      <c r="VGP137" s="46"/>
      <c r="VGQ137" s="46"/>
      <c r="VGR137" s="46"/>
      <c r="VGS137" s="46"/>
      <c r="VGT137" s="46"/>
      <c r="VGU137" s="46"/>
      <c r="VGV137" s="46"/>
      <c r="VGW137" s="46"/>
      <c r="VGX137" s="46"/>
      <c r="VGY137" s="46"/>
      <c r="VGZ137" s="46"/>
      <c r="VHA137" s="46"/>
      <c r="VHB137" s="46"/>
      <c r="VHC137" s="46"/>
      <c r="VHD137" s="46"/>
      <c r="VHE137" s="46"/>
      <c r="VHF137" s="46"/>
      <c r="VHG137" s="46"/>
      <c r="VHH137" s="46"/>
      <c r="VHI137" s="46"/>
      <c r="VHJ137" s="46"/>
      <c r="VHK137" s="46"/>
      <c r="VHL137" s="46"/>
      <c r="VHM137" s="46"/>
      <c r="VHN137" s="46"/>
      <c r="VHO137" s="46"/>
      <c r="VHP137" s="46"/>
      <c r="VHQ137" s="46"/>
      <c r="VHR137" s="46"/>
      <c r="VHS137" s="46"/>
      <c r="VHT137" s="46"/>
      <c r="VHU137" s="46"/>
      <c r="VHV137" s="46"/>
      <c r="VHW137" s="46"/>
      <c r="VHX137" s="46"/>
      <c r="VHY137" s="46"/>
      <c r="VHZ137" s="46"/>
      <c r="VIA137" s="46"/>
      <c r="VIB137" s="46"/>
      <c r="VIC137" s="46"/>
      <c r="VID137" s="46"/>
      <c r="VIE137" s="46"/>
      <c r="VIF137" s="46"/>
      <c r="VIG137" s="46"/>
      <c r="VIH137" s="46"/>
      <c r="VII137" s="46"/>
      <c r="VIJ137" s="46"/>
      <c r="VIK137" s="46"/>
      <c r="VIL137" s="46"/>
      <c r="VIM137" s="46"/>
      <c r="VIN137" s="46"/>
      <c r="VIO137" s="46"/>
      <c r="VIP137" s="46"/>
      <c r="VIQ137" s="46"/>
      <c r="VIR137" s="46"/>
      <c r="VIS137" s="46"/>
      <c r="VIT137" s="46"/>
      <c r="VIU137" s="46"/>
      <c r="VIV137" s="46"/>
      <c r="VIW137" s="46"/>
      <c r="VIX137" s="46"/>
      <c r="VIY137" s="46"/>
      <c r="VIZ137" s="46"/>
      <c r="VJA137" s="46"/>
      <c r="VJB137" s="46"/>
      <c r="VJC137" s="46"/>
      <c r="VJD137" s="46"/>
      <c r="VJE137" s="46"/>
      <c r="VJF137" s="46"/>
      <c r="VJG137" s="46"/>
      <c r="VJH137" s="46"/>
      <c r="VJI137" s="46"/>
      <c r="VJJ137" s="46"/>
      <c r="VJK137" s="46"/>
      <c r="VJL137" s="46"/>
      <c r="VJM137" s="46"/>
      <c r="VJN137" s="46"/>
      <c r="VJO137" s="46"/>
      <c r="VJP137" s="46"/>
      <c r="VJQ137" s="46"/>
      <c r="VJR137" s="46"/>
      <c r="VJS137" s="46"/>
      <c r="VJT137" s="46"/>
      <c r="VJU137" s="46"/>
      <c r="VJV137" s="46"/>
      <c r="VJW137" s="46"/>
      <c r="VJX137" s="46"/>
      <c r="VJY137" s="46"/>
      <c r="VJZ137" s="46"/>
      <c r="VKA137" s="46"/>
      <c r="VKB137" s="46"/>
      <c r="VKC137" s="46"/>
      <c r="VKD137" s="46"/>
      <c r="VKE137" s="46"/>
      <c r="VKF137" s="46"/>
      <c r="VKG137" s="46"/>
      <c r="VKH137" s="46"/>
      <c r="VKI137" s="46"/>
      <c r="VKJ137" s="46"/>
      <c r="VKK137" s="46"/>
      <c r="VKL137" s="46"/>
      <c r="VKM137" s="46"/>
      <c r="VKN137" s="46"/>
      <c r="VKO137" s="46"/>
      <c r="VKP137" s="46"/>
      <c r="VKQ137" s="46"/>
      <c r="VKR137" s="46"/>
      <c r="VKS137" s="46"/>
      <c r="VKT137" s="46"/>
      <c r="VKU137" s="46"/>
      <c r="VKV137" s="46"/>
      <c r="VKW137" s="46"/>
      <c r="VKX137" s="46"/>
      <c r="VKY137" s="46"/>
      <c r="VKZ137" s="46"/>
      <c r="VLA137" s="46"/>
      <c r="VLB137" s="46"/>
      <c r="VLC137" s="46"/>
      <c r="VLD137" s="46"/>
      <c r="VLE137" s="46"/>
      <c r="VLF137" s="46"/>
      <c r="VLG137" s="46"/>
      <c r="VLH137" s="46"/>
      <c r="VLI137" s="46"/>
      <c r="VLJ137" s="46"/>
      <c r="VLK137" s="46"/>
      <c r="VLL137" s="46"/>
      <c r="VLM137" s="46"/>
      <c r="VLN137" s="46"/>
      <c r="VLO137" s="46"/>
      <c r="VLP137" s="46"/>
      <c r="VLQ137" s="46"/>
      <c r="VLR137" s="46"/>
      <c r="VLS137" s="46"/>
      <c r="VLT137" s="46"/>
      <c r="VLU137" s="46"/>
      <c r="VLV137" s="46"/>
      <c r="VLW137" s="46"/>
      <c r="VLX137" s="46"/>
      <c r="VLY137" s="46"/>
      <c r="VLZ137" s="46"/>
      <c r="VMA137" s="46"/>
      <c r="VMB137" s="46"/>
      <c r="VMC137" s="46"/>
      <c r="VMD137" s="46"/>
      <c r="VME137" s="46"/>
      <c r="VMF137" s="46"/>
      <c r="VMG137" s="46"/>
      <c r="VMH137" s="46"/>
      <c r="VMI137" s="46"/>
      <c r="VMJ137" s="46"/>
      <c r="VMK137" s="46"/>
      <c r="VML137" s="46"/>
      <c r="VMM137" s="46"/>
      <c r="VMN137" s="46"/>
      <c r="VMO137" s="46"/>
      <c r="VMP137" s="46"/>
      <c r="VMQ137" s="46"/>
      <c r="VMR137" s="46"/>
      <c r="VMS137" s="46"/>
      <c r="VMT137" s="46"/>
      <c r="VMU137" s="46"/>
      <c r="VMV137" s="46"/>
      <c r="VMW137" s="46"/>
      <c r="VMX137" s="46"/>
      <c r="VMY137" s="46"/>
      <c r="VMZ137" s="46"/>
      <c r="VNA137" s="46"/>
      <c r="VNB137" s="46"/>
      <c r="VNC137" s="46"/>
      <c r="VND137" s="46"/>
      <c r="VNE137" s="46"/>
      <c r="VNF137" s="46"/>
      <c r="VNG137" s="46"/>
      <c r="VNH137" s="46"/>
      <c r="VNI137" s="46"/>
      <c r="VNJ137" s="46"/>
      <c r="VNK137" s="46"/>
      <c r="VNL137" s="46"/>
      <c r="VNM137" s="46"/>
      <c r="VNN137" s="46"/>
      <c r="VNO137" s="46"/>
      <c r="VNP137" s="46"/>
      <c r="VNQ137" s="46"/>
      <c r="VNR137" s="46"/>
      <c r="VNS137" s="46"/>
      <c r="VNT137" s="46"/>
      <c r="VNU137" s="46"/>
      <c r="VNV137" s="46"/>
      <c r="VNW137" s="46"/>
      <c r="VNX137" s="46"/>
      <c r="VNY137" s="46"/>
      <c r="VNZ137" s="46"/>
      <c r="VOA137" s="46"/>
      <c r="VOB137" s="46"/>
      <c r="VOC137" s="46"/>
      <c r="VOD137" s="46"/>
      <c r="VOE137" s="46"/>
      <c r="VOF137" s="46"/>
      <c r="VOG137" s="46"/>
      <c r="VOH137" s="46"/>
      <c r="VOI137" s="46"/>
      <c r="VOJ137" s="46"/>
      <c r="VOK137" s="46"/>
      <c r="VOL137" s="46"/>
      <c r="VOM137" s="46"/>
      <c r="VON137" s="46"/>
      <c r="VOO137" s="46"/>
      <c r="VOP137" s="46"/>
      <c r="VOQ137" s="46"/>
      <c r="VOR137" s="46"/>
      <c r="VOS137" s="46"/>
      <c r="VOT137" s="46"/>
      <c r="VOU137" s="46"/>
      <c r="VOV137" s="46"/>
      <c r="VOW137" s="46"/>
      <c r="VOX137" s="46"/>
      <c r="VOY137" s="46"/>
      <c r="VOZ137" s="46"/>
      <c r="VPA137" s="46"/>
      <c r="VPB137" s="46"/>
      <c r="VPC137" s="46"/>
      <c r="VPD137" s="46"/>
      <c r="VPE137" s="46"/>
      <c r="VPF137" s="46"/>
      <c r="VPG137" s="46"/>
      <c r="VPH137" s="46"/>
      <c r="VPI137" s="46"/>
      <c r="VPJ137" s="46"/>
      <c r="VPK137" s="46"/>
      <c r="VPL137" s="46"/>
      <c r="VPM137" s="46"/>
      <c r="VPN137" s="46"/>
      <c r="VPO137" s="46"/>
      <c r="VPP137" s="46"/>
      <c r="VPQ137" s="46"/>
      <c r="VPR137" s="46"/>
      <c r="VPS137" s="46"/>
      <c r="VPT137" s="46"/>
      <c r="VPU137" s="46"/>
      <c r="VPV137" s="46"/>
      <c r="VPW137" s="46"/>
      <c r="VPX137" s="46"/>
      <c r="VPY137" s="46"/>
      <c r="VPZ137" s="46"/>
      <c r="VQA137" s="46"/>
      <c r="VQB137" s="46"/>
      <c r="VQC137" s="46"/>
      <c r="VQD137" s="46"/>
      <c r="VQE137" s="46"/>
      <c r="VQF137" s="46"/>
      <c r="VQG137" s="46"/>
      <c r="VQH137" s="46"/>
      <c r="VQI137" s="46"/>
      <c r="VQJ137" s="46"/>
      <c r="VQK137" s="46"/>
      <c r="VQL137" s="46"/>
      <c r="VQM137" s="46"/>
      <c r="VQN137" s="46"/>
      <c r="VQO137" s="46"/>
      <c r="VQP137" s="46"/>
      <c r="VQQ137" s="46"/>
      <c r="VQR137" s="46"/>
      <c r="VQS137" s="46"/>
      <c r="VQT137" s="46"/>
      <c r="VQU137" s="46"/>
      <c r="VQV137" s="46"/>
      <c r="VQW137" s="46"/>
      <c r="VQX137" s="46"/>
      <c r="VQY137" s="46"/>
      <c r="VQZ137" s="46"/>
      <c r="VRA137" s="46"/>
      <c r="VRB137" s="46"/>
      <c r="VRC137" s="46"/>
      <c r="VRD137" s="46"/>
      <c r="VRE137" s="46"/>
      <c r="VRF137" s="46"/>
      <c r="VRG137" s="46"/>
      <c r="VRH137" s="46"/>
      <c r="VRI137" s="46"/>
      <c r="VRJ137" s="46"/>
      <c r="VRK137" s="46"/>
      <c r="VRL137" s="46"/>
      <c r="VRM137" s="46"/>
      <c r="VRN137" s="46"/>
      <c r="VRO137" s="46"/>
      <c r="VRP137" s="46"/>
      <c r="VRQ137" s="46"/>
      <c r="VRR137" s="46"/>
      <c r="VRS137" s="46"/>
      <c r="VRT137" s="46"/>
      <c r="VRU137" s="46"/>
      <c r="VRV137" s="46"/>
      <c r="VRW137" s="46"/>
      <c r="VRX137" s="46"/>
      <c r="VRY137" s="46"/>
      <c r="VRZ137" s="46"/>
      <c r="VSA137" s="46"/>
      <c r="VSB137" s="46"/>
      <c r="VSC137" s="46"/>
      <c r="VSD137" s="46"/>
      <c r="VSE137" s="46"/>
      <c r="VSF137" s="46"/>
      <c r="VSG137" s="46"/>
      <c r="VSH137" s="46"/>
      <c r="VSI137" s="46"/>
      <c r="VSJ137" s="46"/>
      <c r="VSK137" s="46"/>
      <c r="VSL137" s="46"/>
      <c r="VSM137" s="46"/>
      <c r="VSN137" s="46"/>
      <c r="VSO137" s="46"/>
      <c r="VSP137" s="46"/>
      <c r="VSQ137" s="46"/>
      <c r="VSR137" s="46"/>
      <c r="VSS137" s="46"/>
      <c r="VST137" s="46"/>
      <c r="VSU137" s="46"/>
      <c r="VSV137" s="46"/>
      <c r="VSW137" s="46"/>
      <c r="VSX137" s="46"/>
      <c r="VSY137" s="46"/>
      <c r="VSZ137" s="46"/>
      <c r="VTA137" s="46"/>
      <c r="VTB137" s="46"/>
      <c r="VTC137" s="46"/>
      <c r="VTD137" s="46"/>
      <c r="VTE137" s="46"/>
      <c r="VTF137" s="46"/>
      <c r="VTG137" s="46"/>
      <c r="VTH137" s="46"/>
      <c r="VTI137" s="46"/>
      <c r="VTJ137" s="46"/>
      <c r="VTK137" s="46"/>
      <c r="VTL137" s="46"/>
      <c r="VTM137" s="46"/>
      <c r="VTN137" s="46"/>
      <c r="VTO137" s="46"/>
      <c r="VTP137" s="46"/>
      <c r="VTQ137" s="46"/>
      <c r="VTR137" s="46"/>
      <c r="VTS137" s="46"/>
      <c r="VTT137" s="46"/>
      <c r="VTU137" s="46"/>
      <c r="VTV137" s="46"/>
      <c r="VTW137" s="46"/>
      <c r="VTX137" s="46"/>
      <c r="VTY137" s="46"/>
      <c r="VTZ137" s="46"/>
      <c r="VUA137" s="46"/>
    </row>
    <row r="138" spans="3:61 15027:15419" s="1" customFormat="1" ht="15" hidden="1" customHeight="1" x14ac:dyDescent="0.25">
      <c r="C138" s="15"/>
      <c r="D138" s="30" t="s">
        <v>29</v>
      </c>
      <c r="E138" s="60"/>
      <c r="F138" s="1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60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M138" s="63" t="s">
        <v>29</v>
      </c>
      <c r="BI138" s="142"/>
    </row>
    <row r="139" spans="3:61 15027:15419" s="1" customFormat="1" ht="15" hidden="1" customHeight="1" x14ac:dyDescent="0.25">
      <c r="C139" s="15"/>
      <c r="D139" s="11" t="s">
        <v>45</v>
      </c>
      <c r="E139" s="126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1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 t="e">
        <v>#DIV/0!</v>
      </c>
      <c r="AK139" s="34" t="e">
        <v>#DIV/0!</v>
      </c>
      <c r="AM139" s="58" t="e">
        <v>#DIV/0!</v>
      </c>
      <c r="BI139" s="142"/>
    </row>
    <row r="140" spans="3:61 15027:15419" s="1" customFormat="1" ht="15" hidden="1" customHeight="1" x14ac:dyDescent="0.25">
      <c r="C140" s="15"/>
      <c r="D140" s="11" t="s">
        <v>44</v>
      </c>
      <c r="E140" s="126">
        <v>0.3</v>
      </c>
      <c r="F140" s="20" t="s">
        <v>25</v>
      </c>
      <c r="G140" s="34" t="e">
        <v>#DIV/0!</v>
      </c>
      <c r="H140" s="34" t="e">
        <v>#DIV/0!</v>
      </c>
      <c r="I140" s="34" t="e">
        <v>#DIV/0!</v>
      </c>
      <c r="J140" s="34" t="e">
        <v>#DIV/0!</v>
      </c>
      <c r="K140" s="34" t="e">
        <v>#DIV/0!</v>
      </c>
      <c r="L140" s="34" t="e">
        <v>#DIV/0!</v>
      </c>
      <c r="M140" s="34" t="e">
        <v>#DIV/0!</v>
      </c>
      <c r="N140" s="34" t="e">
        <v>#DIV/0!</v>
      </c>
      <c r="O140" s="34" t="e">
        <v>#DIV/0!</v>
      </c>
      <c r="P140" s="34" t="e">
        <v>#DIV/0!</v>
      </c>
      <c r="Q140" s="34" t="e">
        <v>#DIV/0!</v>
      </c>
      <c r="R140" s="34" t="e">
        <v>#DIV/0!</v>
      </c>
      <c r="S140" s="1961" t="e">
        <v>#DIV/0!</v>
      </c>
      <c r="T140" s="34" t="e">
        <v>#DIV/0!</v>
      </c>
      <c r="U140" s="34" t="e">
        <v>#DIV/0!</v>
      </c>
      <c r="V140" s="34" t="e">
        <v>#DIV/0!</v>
      </c>
      <c r="W140" s="34" t="e">
        <v>#DIV/0!</v>
      </c>
      <c r="X140" s="34" t="e">
        <v>#DIV/0!</v>
      </c>
      <c r="Y140" s="34" t="e">
        <v>#DIV/0!</v>
      </c>
      <c r="Z140" s="34" t="e">
        <v>#DIV/0!</v>
      </c>
      <c r="AA140" s="34" t="e">
        <v>#DIV/0!</v>
      </c>
      <c r="AB140" s="34" t="e">
        <v>#DIV/0!</v>
      </c>
      <c r="AC140" s="34" t="e">
        <v>#DIV/0!</v>
      </c>
      <c r="AD140" s="34" t="e">
        <v>#DIV/0!</v>
      </c>
      <c r="AE140" s="34" t="e">
        <v>#DIV/0!</v>
      </c>
      <c r="AF140" s="34" t="e">
        <v>#DIV/0!</v>
      </c>
      <c r="AG140" s="34" t="e">
        <v>#DIV/0!</v>
      </c>
      <c r="AH140" s="34" t="e">
        <v>#DIV/0!</v>
      </c>
      <c r="AI140" s="34"/>
      <c r="AJ140" s="34" t="e">
        <v>#DIV/0!</v>
      </c>
      <c r="AK140" s="34" t="e">
        <v>#DIV/0!</v>
      </c>
      <c r="AM140" s="58" t="e">
        <v>#DIV/0!</v>
      </c>
      <c r="BI140" s="142"/>
    </row>
    <row r="141" spans="3:61 15027:15419" s="1" customFormat="1" ht="15" hidden="1" customHeight="1" x14ac:dyDescent="0.25">
      <c r="C141" s="15"/>
      <c r="D141" s="30" t="s">
        <v>28</v>
      </c>
      <c r="E141" s="126"/>
      <c r="F141" s="13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1961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M141" s="63" t="s">
        <v>28</v>
      </c>
      <c r="BI141" s="142"/>
    </row>
    <row r="142" spans="3:61 15027:15419" s="1" customFormat="1" ht="15" hidden="1" customHeight="1" x14ac:dyDescent="0.25">
      <c r="C142" s="15"/>
      <c r="D142" s="11" t="s">
        <v>45</v>
      </c>
      <c r="E142" s="126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1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 t="e">
        <v>#DIV/0!</v>
      </c>
      <c r="AK142" s="34" t="e">
        <v>#DIV/0!</v>
      </c>
      <c r="AM142" s="58" t="e">
        <v>#DIV/0!</v>
      </c>
      <c r="BI142" s="142"/>
    </row>
    <row r="143" spans="3:61 15027:15419" s="1" customFormat="1" ht="15" hidden="1" customHeight="1" x14ac:dyDescent="0.25">
      <c r="C143" s="15"/>
      <c r="D143" s="11" t="s">
        <v>44</v>
      </c>
      <c r="E143" s="126">
        <v>0.5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61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 t="e">
        <v>#DIV/0!</v>
      </c>
      <c r="AK143" s="34" t="e">
        <v>#DIV/0!</v>
      </c>
      <c r="AM143" s="58" t="e">
        <v>#DIV/0!</v>
      </c>
      <c r="BI143" s="142"/>
    </row>
    <row r="144" spans="3:61 15027:15419" s="1" customFormat="1" ht="15" hidden="1" customHeight="1" x14ac:dyDescent="0.25">
      <c r="C144" s="15"/>
      <c r="D144" s="47" t="s">
        <v>43</v>
      </c>
      <c r="E144" s="127"/>
      <c r="F144" s="92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197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  <c r="AL144" s="18"/>
      <c r="AM144" s="78" t="s">
        <v>130</v>
      </c>
    </row>
    <row r="145" spans="3:39" s="1" customFormat="1" ht="15" hidden="1" customHeight="1" x14ac:dyDescent="0.25">
      <c r="C145" s="15"/>
      <c r="D145" s="28" t="s">
        <v>114</v>
      </c>
      <c r="E145" s="126"/>
      <c r="F145" s="20" t="s">
        <v>14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196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35"/>
      <c r="AM145" s="89">
        <v>0</v>
      </c>
    </row>
    <row r="146" spans="3:39" s="1" customFormat="1" ht="15" hidden="1" customHeight="1" x14ac:dyDescent="0.25">
      <c r="C146" s="15"/>
      <c r="D146" s="28" t="s">
        <v>115</v>
      </c>
      <c r="E146" s="126"/>
      <c r="F146" s="20" t="s">
        <v>14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1961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93">
        <v>0</v>
      </c>
    </row>
    <row r="147" spans="3:39" s="1" customFormat="1" ht="15" hidden="1" customHeight="1" x14ac:dyDescent="0.25">
      <c r="C147" s="15"/>
      <c r="D147" s="30" t="s">
        <v>39</v>
      </c>
      <c r="E147" s="126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1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>
        <v>0</v>
      </c>
      <c r="AK147" s="34">
        <v>0</v>
      </c>
      <c r="AL147" s="18"/>
      <c r="AM147" s="58">
        <v>0</v>
      </c>
    </row>
    <row r="148" spans="3:39" s="1" customFormat="1" ht="15" hidden="1" customHeight="1" x14ac:dyDescent="0.25">
      <c r="C148" s="15"/>
      <c r="D148" s="30" t="s">
        <v>38</v>
      </c>
      <c r="E148" s="126"/>
      <c r="F148" s="20" t="s">
        <v>14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1961">
        <v>0</v>
      </c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/>
      <c r="AJ148" s="34">
        <v>0</v>
      </c>
      <c r="AK148" s="34">
        <v>0</v>
      </c>
      <c r="AL148" s="18"/>
      <c r="AM148" s="58">
        <v>0</v>
      </c>
    </row>
    <row r="149" spans="3:39" s="1" customFormat="1" ht="15" hidden="1" customHeight="1" x14ac:dyDescent="0.25">
      <c r="C149" s="15"/>
      <c r="D149" s="30" t="s">
        <v>29</v>
      </c>
      <c r="E149" s="126"/>
      <c r="F149" s="1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0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6"/>
      <c r="AM149" s="63" t="s">
        <v>29</v>
      </c>
    </row>
    <row r="150" spans="3:39" s="1" customFormat="1" ht="15" hidden="1" customHeight="1" x14ac:dyDescent="0.2">
      <c r="C150" s="15"/>
      <c r="D150" s="11" t="s">
        <v>42</v>
      </c>
      <c r="E150" s="126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0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1">
        <v>0</v>
      </c>
    </row>
    <row r="151" spans="3:39" s="1" customFormat="1" ht="15" hidden="1" customHeight="1" x14ac:dyDescent="0.2">
      <c r="C151" s="15"/>
      <c r="D151" s="11" t="s">
        <v>41</v>
      </c>
      <c r="E151" s="126"/>
      <c r="F151" s="32" t="s">
        <v>31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0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7"/>
      <c r="AM151" s="91">
        <v>0</v>
      </c>
    </row>
    <row r="152" spans="3:39" s="1" customFormat="1" ht="15" hidden="1" customHeight="1" x14ac:dyDescent="0.25">
      <c r="C152" s="15"/>
      <c r="D152" s="30" t="s">
        <v>28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60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28</v>
      </c>
    </row>
    <row r="153" spans="3:39" s="1" customFormat="1" ht="15" hidden="1" customHeight="1" x14ac:dyDescent="0.25">
      <c r="C153" s="15"/>
      <c r="D153" s="11" t="s">
        <v>42</v>
      </c>
      <c r="E153" s="126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0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>
        <v>0</v>
      </c>
      <c r="AK153" s="33">
        <v>0</v>
      </c>
      <c r="AL153" s="6"/>
      <c r="AM153" s="54">
        <v>0</v>
      </c>
    </row>
    <row r="154" spans="3:39" s="1" customFormat="1" ht="15" hidden="1" customHeight="1" x14ac:dyDescent="0.25">
      <c r="C154" s="15"/>
      <c r="D154" s="11" t="s">
        <v>41</v>
      </c>
      <c r="E154" s="126"/>
      <c r="F154" s="20" t="s">
        <v>28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0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>
        <v>0</v>
      </c>
      <c r="AK154" s="33">
        <v>0</v>
      </c>
      <c r="AL154" s="6"/>
      <c r="AM154" s="54">
        <v>0</v>
      </c>
    </row>
    <row r="155" spans="3:39" s="1" customFormat="1" ht="15" hidden="1" customHeight="1" x14ac:dyDescent="0.25">
      <c r="C155" s="15"/>
      <c r="D155" s="30" t="s">
        <v>36</v>
      </c>
      <c r="E155" s="126"/>
      <c r="F155" s="20" t="s">
        <v>35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0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>
        <v>0</v>
      </c>
      <c r="AK155" s="33">
        <v>0</v>
      </c>
      <c r="AL155" s="6"/>
      <c r="AM155" s="54">
        <v>0</v>
      </c>
    </row>
    <row r="156" spans="3:39" s="1" customFormat="1" ht="15" hidden="1" customHeight="1" x14ac:dyDescent="0.25">
      <c r="C156" s="15"/>
      <c r="D156" s="30" t="s">
        <v>34</v>
      </c>
      <c r="E156" s="126"/>
      <c r="F156" s="20" t="s">
        <v>33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60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>
        <v>0</v>
      </c>
      <c r="AK156" s="33">
        <v>0</v>
      </c>
      <c r="AL156" s="6"/>
      <c r="AM156" s="54">
        <v>0</v>
      </c>
    </row>
    <row r="157" spans="3:39" s="1" customFormat="1" ht="15" hidden="1" customHeight="1" x14ac:dyDescent="0.25">
      <c r="C157" s="15"/>
      <c r="D157" s="47" t="s">
        <v>32</v>
      </c>
      <c r="E157" s="127"/>
      <c r="F157" s="49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1963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18"/>
      <c r="AM157" s="78" t="s">
        <v>131</v>
      </c>
    </row>
    <row r="158" spans="3:39" s="1" customFormat="1" ht="15" hidden="1" customHeight="1" x14ac:dyDescent="0.25">
      <c r="C158" s="15"/>
      <c r="D158" s="30" t="s">
        <v>29</v>
      </c>
      <c r="E158" s="126"/>
      <c r="F158" s="1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0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63" t="s">
        <v>29</v>
      </c>
    </row>
    <row r="159" spans="3:39" s="1" customFormat="1" ht="15" hidden="1" customHeight="1" x14ac:dyDescent="0.25">
      <c r="C159" s="15"/>
      <c r="D159" s="11" t="s">
        <v>42</v>
      </c>
      <c r="E159" s="126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0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4">
        <v>0</v>
      </c>
    </row>
    <row r="160" spans="3:39" s="1" customFormat="1" ht="15" hidden="1" customHeight="1" x14ac:dyDescent="0.25">
      <c r="C160" s="15"/>
      <c r="D160" s="11" t="s">
        <v>41</v>
      </c>
      <c r="E160" s="126"/>
      <c r="F160" s="20" t="s">
        <v>31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0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54">
        <v>0</v>
      </c>
    </row>
    <row r="161" spans="3:61 15027:15419" s="1" customFormat="1" ht="15" hidden="1" customHeight="1" x14ac:dyDescent="0.25">
      <c r="C161" s="15"/>
      <c r="D161" s="30" t="s">
        <v>28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60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28</v>
      </c>
    </row>
    <row r="162" spans="3:61 15027:15419" s="1" customFormat="1" ht="15" hidden="1" customHeight="1" x14ac:dyDescent="0.25">
      <c r="C162" s="15"/>
      <c r="D162" s="11" t="s">
        <v>42</v>
      </c>
      <c r="E162" s="126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0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>
        <v>0</v>
      </c>
      <c r="AK162" s="33">
        <v>0</v>
      </c>
      <c r="AL162" s="18"/>
      <c r="AM162" s="54">
        <v>0</v>
      </c>
    </row>
    <row r="163" spans="3:61 15027:15419" s="1" customFormat="1" ht="15" hidden="1" customHeight="1" x14ac:dyDescent="0.25">
      <c r="C163" s="15"/>
      <c r="D163" s="11" t="s">
        <v>41</v>
      </c>
      <c r="E163" s="126"/>
      <c r="F163" s="20" t="s">
        <v>28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1960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/>
      <c r="AJ163" s="33">
        <v>0</v>
      </c>
      <c r="AK163" s="33">
        <v>0</v>
      </c>
      <c r="AL163" s="18"/>
      <c r="AM163" s="54">
        <v>0</v>
      </c>
    </row>
    <row r="164" spans="3:61 15027:15419" s="1" customFormat="1" ht="15" hidden="1" customHeight="1" x14ac:dyDescent="0.25">
      <c r="C164" s="15"/>
      <c r="D164" s="47" t="s">
        <v>30</v>
      </c>
      <c r="E164" s="127"/>
      <c r="F164" s="92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1963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18"/>
      <c r="AM164" s="95"/>
    </row>
    <row r="165" spans="3:61 15027:15419" s="1" customFormat="1" ht="15" hidden="1" customHeight="1" x14ac:dyDescent="0.25">
      <c r="C165" s="15"/>
      <c r="D165" s="30" t="s">
        <v>29</v>
      </c>
      <c r="E165" s="126"/>
      <c r="F165" s="20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60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18"/>
      <c r="AM165" s="54"/>
    </row>
    <row r="166" spans="3:61 15027:15419" s="1" customFormat="1" ht="15" hidden="1" customHeight="1" x14ac:dyDescent="0.25">
      <c r="C166" s="15"/>
      <c r="D166" s="11" t="s">
        <v>42</v>
      </c>
      <c r="E166" s="126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0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 t="e">
        <v>#DIV/0!</v>
      </c>
      <c r="AK166" s="33" t="e">
        <v>#DIV/0!</v>
      </c>
      <c r="AL166" s="37"/>
      <c r="AM166" s="54" t="e">
        <v>#DIV/0!</v>
      </c>
    </row>
    <row r="167" spans="3:61 15027:15419" s="1" customFormat="1" ht="15" hidden="1" customHeight="1" x14ac:dyDescent="0.25">
      <c r="C167" s="15"/>
      <c r="D167" s="11" t="s">
        <v>91</v>
      </c>
      <c r="E167" s="126"/>
      <c r="F167" s="20" t="s">
        <v>25</v>
      </c>
      <c r="G167" s="33" t="e">
        <v>#DIV/0!</v>
      </c>
      <c r="H167" s="33" t="e">
        <v>#DIV/0!</v>
      </c>
      <c r="I167" s="33" t="e">
        <v>#DIV/0!</v>
      </c>
      <c r="J167" s="33" t="e">
        <v>#DIV/0!</v>
      </c>
      <c r="K167" s="33" t="e">
        <v>#DIV/0!</v>
      </c>
      <c r="L167" s="33" t="e">
        <v>#DIV/0!</v>
      </c>
      <c r="M167" s="33" t="e">
        <v>#DIV/0!</v>
      </c>
      <c r="N167" s="33" t="e">
        <v>#DIV/0!</v>
      </c>
      <c r="O167" s="33" t="e">
        <v>#DIV/0!</v>
      </c>
      <c r="P167" s="33" t="e">
        <v>#DIV/0!</v>
      </c>
      <c r="Q167" s="33" t="e">
        <v>#DIV/0!</v>
      </c>
      <c r="R167" s="33" t="e">
        <v>#DIV/0!</v>
      </c>
      <c r="S167" s="1960" t="e">
        <v>#DIV/0!</v>
      </c>
      <c r="T167" s="33" t="e">
        <v>#DIV/0!</v>
      </c>
      <c r="U167" s="33" t="e">
        <v>#DIV/0!</v>
      </c>
      <c r="V167" s="33" t="e">
        <v>#DIV/0!</v>
      </c>
      <c r="W167" s="33" t="e">
        <v>#DIV/0!</v>
      </c>
      <c r="X167" s="33" t="e">
        <v>#DIV/0!</v>
      </c>
      <c r="Y167" s="33" t="e">
        <v>#DIV/0!</v>
      </c>
      <c r="Z167" s="33" t="e">
        <v>#DIV/0!</v>
      </c>
      <c r="AA167" s="33" t="e">
        <v>#DIV/0!</v>
      </c>
      <c r="AB167" s="33" t="e">
        <v>#DIV/0!</v>
      </c>
      <c r="AC167" s="33" t="e">
        <v>#DIV/0!</v>
      </c>
      <c r="AD167" s="33" t="e">
        <v>#DIV/0!</v>
      </c>
      <c r="AE167" s="33" t="e">
        <v>#DIV/0!</v>
      </c>
      <c r="AF167" s="33" t="e">
        <v>#DIV/0!</v>
      </c>
      <c r="AG167" s="33" t="e">
        <v>#DIV/0!</v>
      </c>
      <c r="AH167" s="33" t="e">
        <v>#DIV/0!</v>
      </c>
      <c r="AI167" s="33"/>
      <c r="AJ167" s="33" t="e">
        <v>#DIV/0!</v>
      </c>
      <c r="AK167" s="33" t="e">
        <v>#DIV/0!</v>
      </c>
      <c r="AL167" s="37"/>
      <c r="AM167" s="54" t="e">
        <v>#DIV/0!</v>
      </c>
    </row>
    <row r="168" spans="3:61 15027:15419" s="1" customFormat="1" ht="15" hidden="1" customHeight="1" x14ac:dyDescent="0.25">
      <c r="C168" s="15"/>
      <c r="D168" s="30" t="s">
        <v>28</v>
      </c>
      <c r="E168" s="126"/>
      <c r="F168" s="1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60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7"/>
      <c r="AM168" s="54"/>
    </row>
    <row r="169" spans="3:61 15027:15419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0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 t="e">
        <v>#DIV/0!</v>
      </c>
      <c r="AK169" s="33" t="e">
        <v>#DIV/0!</v>
      </c>
      <c r="AL169" s="37"/>
      <c r="AM169" s="54" t="e">
        <v>#DIV/0!</v>
      </c>
    </row>
    <row r="170" spans="3:61 15027:15419" s="1" customFormat="1" ht="15.75" hidden="1" customHeight="1" thickBot="1" x14ac:dyDescent="0.3">
      <c r="C170" s="19"/>
      <c r="D170" s="11" t="s">
        <v>91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60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 t="e">
        <v>#DIV/0!</v>
      </c>
      <c r="AK170" s="33" t="e">
        <v>#DIV/0!</v>
      </c>
      <c r="AL170" s="37"/>
      <c r="AM170" s="54" t="e">
        <v>#DIV/0!</v>
      </c>
    </row>
    <row r="171" spans="3:61 15027:15419" s="1" customFormat="1" ht="15" hidden="1" customHeight="1" x14ac:dyDescent="0.25">
      <c r="C171" s="8">
        <v>6</v>
      </c>
      <c r="D171" s="47" t="s">
        <v>40</v>
      </c>
      <c r="E171" s="48"/>
      <c r="F171" s="49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1963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3"/>
      <c r="AM171" s="78" t="s">
        <v>130</v>
      </c>
      <c r="BI171" s="141"/>
      <c r="VEY171" s="46"/>
      <c r="VEZ171" s="46"/>
      <c r="VFA171" s="46"/>
      <c r="VFB171" s="46"/>
      <c r="VFC171" s="46"/>
      <c r="VFD171" s="46"/>
      <c r="VFE171" s="46"/>
      <c r="VFF171" s="46"/>
      <c r="VFG171" s="46"/>
      <c r="VFH171" s="46"/>
      <c r="VFI171" s="46"/>
      <c r="VFJ171" s="46"/>
      <c r="VFK171" s="46"/>
      <c r="VFL171" s="46"/>
      <c r="VFM171" s="46"/>
      <c r="VFN171" s="46"/>
      <c r="VFO171" s="46"/>
      <c r="VFP171" s="46"/>
      <c r="VFQ171" s="46"/>
      <c r="VFR171" s="46"/>
      <c r="VFS171" s="46"/>
      <c r="VFT171" s="46"/>
      <c r="VFU171" s="46"/>
      <c r="VFV171" s="46"/>
      <c r="VFW171" s="46"/>
      <c r="VFX171" s="46"/>
      <c r="VFY171" s="46"/>
      <c r="VFZ171" s="46"/>
      <c r="VGA171" s="46"/>
      <c r="VGB171" s="46"/>
      <c r="VGC171" s="46"/>
      <c r="VGD171" s="46"/>
      <c r="VGE171" s="46"/>
      <c r="VGF171" s="46"/>
      <c r="VGG171" s="46"/>
      <c r="VGH171" s="46"/>
      <c r="VGI171" s="46"/>
      <c r="VGJ171" s="46"/>
      <c r="VGK171" s="46"/>
      <c r="VGL171" s="46"/>
      <c r="VGM171" s="46"/>
      <c r="VGN171" s="46"/>
      <c r="VGO171" s="46"/>
      <c r="VGP171" s="46"/>
      <c r="VGQ171" s="46"/>
      <c r="VGR171" s="46"/>
      <c r="VGS171" s="46"/>
      <c r="VGT171" s="46"/>
      <c r="VGU171" s="46"/>
      <c r="VGV171" s="46"/>
      <c r="VGW171" s="46"/>
      <c r="VGX171" s="46"/>
      <c r="VGY171" s="46"/>
      <c r="VGZ171" s="46"/>
      <c r="VHA171" s="46"/>
      <c r="VHB171" s="46"/>
      <c r="VHC171" s="46"/>
      <c r="VHD171" s="46"/>
      <c r="VHE171" s="46"/>
      <c r="VHF171" s="46"/>
      <c r="VHG171" s="46"/>
      <c r="VHH171" s="46"/>
      <c r="VHI171" s="46"/>
      <c r="VHJ171" s="46"/>
      <c r="VHK171" s="46"/>
      <c r="VHL171" s="46"/>
      <c r="VHM171" s="46"/>
      <c r="VHN171" s="46"/>
      <c r="VHO171" s="46"/>
      <c r="VHP171" s="46"/>
      <c r="VHQ171" s="46"/>
      <c r="VHR171" s="46"/>
      <c r="VHS171" s="46"/>
      <c r="VHT171" s="46"/>
      <c r="VHU171" s="46"/>
      <c r="VHV171" s="46"/>
      <c r="VHW171" s="46"/>
      <c r="VHX171" s="46"/>
      <c r="VHY171" s="46"/>
      <c r="VHZ171" s="46"/>
      <c r="VIA171" s="46"/>
      <c r="VIB171" s="46"/>
      <c r="VIC171" s="46"/>
      <c r="VID171" s="46"/>
      <c r="VIE171" s="46"/>
      <c r="VIF171" s="46"/>
      <c r="VIG171" s="46"/>
      <c r="VIH171" s="46"/>
      <c r="VII171" s="46"/>
      <c r="VIJ171" s="46"/>
      <c r="VIK171" s="46"/>
      <c r="VIL171" s="46"/>
      <c r="VIM171" s="46"/>
      <c r="VIN171" s="46"/>
      <c r="VIO171" s="46"/>
      <c r="VIP171" s="46"/>
      <c r="VIQ171" s="46"/>
      <c r="VIR171" s="46"/>
      <c r="VIS171" s="46"/>
      <c r="VIT171" s="46"/>
      <c r="VIU171" s="46"/>
      <c r="VIV171" s="46"/>
      <c r="VIW171" s="46"/>
      <c r="VIX171" s="46"/>
      <c r="VIY171" s="46"/>
      <c r="VIZ171" s="46"/>
      <c r="VJA171" s="46"/>
      <c r="VJB171" s="46"/>
      <c r="VJC171" s="46"/>
      <c r="VJD171" s="46"/>
      <c r="VJE171" s="46"/>
      <c r="VJF171" s="46"/>
      <c r="VJG171" s="46"/>
      <c r="VJH171" s="46"/>
      <c r="VJI171" s="46"/>
      <c r="VJJ171" s="46"/>
      <c r="VJK171" s="46"/>
      <c r="VJL171" s="46"/>
      <c r="VJM171" s="46"/>
      <c r="VJN171" s="46"/>
      <c r="VJO171" s="46"/>
      <c r="VJP171" s="46"/>
      <c r="VJQ171" s="46"/>
      <c r="VJR171" s="46"/>
      <c r="VJS171" s="46"/>
      <c r="VJT171" s="46"/>
      <c r="VJU171" s="46"/>
      <c r="VJV171" s="46"/>
      <c r="VJW171" s="46"/>
      <c r="VJX171" s="46"/>
      <c r="VJY171" s="46"/>
      <c r="VJZ171" s="46"/>
      <c r="VKA171" s="46"/>
      <c r="VKB171" s="46"/>
      <c r="VKC171" s="46"/>
      <c r="VKD171" s="46"/>
      <c r="VKE171" s="46"/>
      <c r="VKF171" s="46"/>
      <c r="VKG171" s="46"/>
      <c r="VKH171" s="46"/>
      <c r="VKI171" s="46"/>
      <c r="VKJ171" s="46"/>
      <c r="VKK171" s="46"/>
      <c r="VKL171" s="46"/>
      <c r="VKM171" s="46"/>
      <c r="VKN171" s="46"/>
      <c r="VKO171" s="46"/>
      <c r="VKP171" s="46"/>
      <c r="VKQ171" s="46"/>
      <c r="VKR171" s="46"/>
      <c r="VKS171" s="46"/>
      <c r="VKT171" s="46"/>
      <c r="VKU171" s="46"/>
      <c r="VKV171" s="46"/>
      <c r="VKW171" s="46"/>
      <c r="VKX171" s="46"/>
      <c r="VKY171" s="46"/>
      <c r="VKZ171" s="46"/>
      <c r="VLA171" s="46"/>
      <c r="VLB171" s="46"/>
      <c r="VLC171" s="46"/>
      <c r="VLD171" s="46"/>
      <c r="VLE171" s="46"/>
      <c r="VLF171" s="46"/>
      <c r="VLG171" s="46"/>
      <c r="VLH171" s="46"/>
      <c r="VLI171" s="46"/>
      <c r="VLJ171" s="46"/>
      <c r="VLK171" s="46"/>
      <c r="VLL171" s="46"/>
      <c r="VLM171" s="46"/>
      <c r="VLN171" s="46"/>
      <c r="VLO171" s="46"/>
      <c r="VLP171" s="46"/>
      <c r="VLQ171" s="46"/>
      <c r="VLR171" s="46"/>
      <c r="VLS171" s="46"/>
      <c r="VLT171" s="46"/>
      <c r="VLU171" s="46"/>
      <c r="VLV171" s="46"/>
      <c r="VLW171" s="46"/>
      <c r="VLX171" s="46"/>
      <c r="VLY171" s="46"/>
      <c r="VLZ171" s="46"/>
      <c r="VMA171" s="46"/>
      <c r="VMB171" s="46"/>
      <c r="VMC171" s="46"/>
      <c r="VMD171" s="46"/>
      <c r="VME171" s="46"/>
      <c r="VMF171" s="46"/>
      <c r="VMG171" s="46"/>
      <c r="VMH171" s="46"/>
      <c r="VMI171" s="46"/>
      <c r="VMJ171" s="46"/>
      <c r="VMK171" s="46"/>
      <c r="VML171" s="46"/>
      <c r="VMM171" s="46"/>
      <c r="VMN171" s="46"/>
      <c r="VMO171" s="46"/>
      <c r="VMP171" s="46"/>
      <c r="VMQ171" s="46"/>
      <c r="VMR171" s="46"/>
      <c r="VMS171" s="46"/>
      <c r="VMT171" s="46"/>
      <c r="VMU171" s="46"/>
      <c r="VMV171" s="46"/>
      <c r="VMW171" s="46"/>
      <c r="VMX171" s="46"/>
      <c r="VMY171" s="46"/>
      <c r="VMZ171" s="46"/>
      <c r="VNA171" s="46"/>
      <c r="VNB171" s="46"/>
      <c r="VNC171" s="46"/>
      <c r="VND171" s="46"/>
      <c r="VNE171" s="46"/>
      <c r="VNF171" s="46"/>
      <c r="VNG171" s="46"/>
      <c r="VNH171" s="46"/>
      <c r="VNI171" s="46"/>
      <c r="VNJ171" s="46"/>
      <c r="VNK171" s="46"/>
      <c r="VNL171" s="46"/>
      <c r="VNM171" s="46"/>
      <c r="VNN171" s="46"/>
      <c r="VNO171" s="46"/>
      <c r="VNP171" s="46"/>
      <c r="VNQ171" s="46"/>
      <c r="VNR171" s="46"/>
      <c r="VNS171" s="46"/>
      <c r="VNT171" s="46"/>
      <c r="VNU171" s="46"/>
      <c r="VNV171" s="46"/>
      <c r="VNW171" s="46"/>
      <c r="VNX171" s="46"/>
      <c r="VNY171" s="46"/>
      <c r="VNZ171" s="46"/>
      <c r="VOA171" s="46"/>
      <c r="VOB171" s="46"/>
      <c r="VOC171" s="46"/>
      <c r="VOD171" s="46"/>
      <c r="VOE171" s="46"/>
      <c r="VOF171" s="46"/>
      <c r="VOG171" s="46"/>
      <c r="VOH171" s="46"/>
      <c r="VOI171" s="46"/>
      <c r="VOJ171" s="46"/>
      <c r="VOK171" s="46"/>
      <c r="VOL171" s="46"/>
      <c r="VOM171" s="46"/>
      <c r="VON171" s="46"/>
      <c r="VOO171" s="46"/>
      <c r="VOP171" s="46"/>
      <c r="VOQ171" s="46"/>
      <c r="VOR171" s="46"/>
      <c r="VOS171" s="46"/>
      <c r="VOT171" s="46"/>
      <c r="VOU171" s="46"/>
      <c r="VOV171" s="46"/>
      <c r="VOW171" s="46"/>
      <c r="VOX171" s="46"/>
      <c r="VOY171" s="46"/>
      <c r="VOZ171" s="46"/>
      <c r="VPA171" s="46"/>
      <c r="VPB171" s="46"/>
      <c r="VPC171" s="46"/>
      <c r="VPD171" s="46"/>
      <c r="VPE171" s="46"/>
      <c r="VPF171" s="46"/>
      <c r="VPG171" s="46"/>
      <c r="VPH171" s="46"/>
      <c r="VPI171" s="46"/>
      <c r="VPJ171" s="46"/>
      <c r="VPK171" s="46"/>
      <c r="VPL171" s="46"/>
      <c r="VPM171" s="46"/>
      <c r="VPN171" s="46"/>
      <c r="VPO171" s="46"/>
      <c r="VPP171" s="46"/>
      <c r="VPQ171" s="46"/>
      <c r="VPR171" s="46"/>
      <c r="VPS171" s="46"/>
      <c r="VPT171" s="46"/>
      <c r="VPU171" s="46"/>
      <c r="VPV171" s="46"/>
      <c r="VPW171" s="46"/>
      <c r="VPX171" s="46"/>
      <c r="VPY171" s="46"/>
      <c r="VPZ171" s="46"/>
      <c r="VQA171" s="46"/>
      <c r="VQB171" s="46"/>
      <c r="VQC171" s="46"/>
      <c r="VQD171" s="46"/>
      <c r="VQE171" s="46"/>
      <c r="VQF171" s="46"/>
      <c r="VQG171" s="46"/>
      <c r="VQH171" s="46"/>
      <c r="VQI171" s="46"/>
      <c r="VQJ171" s="46"/>
      <c r="VQK171" s="46"/>
      <c r="VQL171" s="46"/>
      <c r="VQM171" s="46"/>
      <c r="VQN171" s="46"/>
      <c r="VQO171" s="46"/>
      <c r="VQP171" s="46"/>
      <c r="VQQ171" s="46"/>
      <c r="VQR171" s="46"/>
      <c r="VQS171" s="46"/>
      <c r="VQT171" s="46"/>
      <c r="VQU171" s="46"/>
      <c r="VQV171" s="46"/>
      <c r="VQW171" s="46"/>
      <c r="VQX171" s="46"/>
      <c r="VQY171" s="46"/>
      <c r="VQZ171" s="46"/>
      <c r="VRA171" s="46"/>
      <c r="VRB171" s="46"/>
      <c r="VRC171" s="46"/>
      <c r="VRD171" s="46"/>
      <c r="VRE171" s="46"/>
      <c r="VRF171" s="46"/>
      <c r="VRG171" s="46"/>
      <c r="VRH171" s="46"/>
      <c r="VRI171" s="46"/>
      <c r="VRJ171" s="46"/>
      <c r="VRK171" s="46"/>
      <c r="VRL171" s="46"/>
      <c r="VRM171" s="46"/>
      <c r="VRN171" s="46"/>
      <c r="VRO171" s="46"/>
      <c r="VRP171" s="46"/>
      <c r="VRQ171" s="46"/>
      <c r="VRR171" s="46"/>
      <c r="VRS171" s="46"/>
      <c r="VRT171" s="46"/>
      <c r="VRU171" s="46"/>
      <c r="VRV171" s="46"/>
      <c r="VRW171" s="46"/>
      <c r="VRX171" s="46"/>
      <c r="VRY171" s="46"/>
      <c r="VRZ171" s="46"/>
      <c r="VSA171" s="46"/>
      <c r="VSB171" s="46"/>
      <c r="VSC171" s="46"/>
      <c r="VSD171" s="46"/>
      <c r="VSE171" s="46"/>
      <c r="VSF171" s="46"/>
      <c r="VSG171" s="46"/>
      <c r="VSH171" s="46"/>
      <c r="VSI171" s="46"/>
      <c r="VSJ171" s="46"/>
      <c r="VSK171" s="46"/>
      <c r="VSL171" s="46"/>
      <c r="VSM171" s="46"/>
      <c r="VSN171" s="46"/>
      <c r="VSO171" s="46"/>
      <c r="VSP171" s="46"/>
      <c r="VSQ171" s="46"/>
      <c r="VSR171" s="46"/>
      <c r="VSS171" s="46"/>
      <c r="VST171" s="46"/>
      <c r="VSU171" s="46"/>
      <c r="VSV171" s="46"/>
      <c r="VSW171" s="46"/>
      <c r="VSX171" s="46"/>
      <c r="VSY171" s="46"/>
      <c r="VSZ171" s="46"/>
      <c r="VTA171" s="46"/>
      <c r="VTB171" s="46"/>
      <c r="VTC171" s="46"/>
      <c r="VTD171" s="46"/>
      <c r="VTE171" s="46"/>
      <c r="VTF171" s="46"/>
      <c r="VTG171" s="46"/>
      <c r="VTH171" s="46"/>
      <c r="VTI171" s="46"/>
      <c r="VTJ171" s="46"/>
      <c r="VTK171" s="46"/>
      <c r="VTL171" s="46"/>
      <c r="VTM171" s="46"/>
      <c r="VTN171" s="46"/>
      <c r="VTO171" s="46"/>
      <c r="VTP171" s="46"/>
      <c r="VTQ171" s="46"/>
      <c r="VTR171" s="46"/>
      <c r="VTS171" s="46"/>
      <c r="VTT171" s="46"/>
      <c r="VTU171" s="46"/>
      <c r="VTV171" s="46"/>
      <c r="VTW171" s="46"/>
      <c r="VTX171" s="46"/>
      <c r="VTY171" s="46"/>
      <c r="VTZ171" s="46"/>
      <c r="VUA171" s="46"/>
    </row>
    <row r="172" spans="3:61 15027:15419" s="1" customFormat="1" ht="15" hidden="1" customHeight="1" x14ac:dyDescent="0.25">
      <c r="C172" s="15"/>
      <c r="D172" s="28" t="s">
        <v>115</v>
      </c>
      <c r="E172" s="90"/>
      <c r="F172" s="20" t="s">
        <v>14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196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2"/>
      <c r="AM172" s="89">
        <v>0</v>
      </c>
      <c r="BI172" s="142"/>
    </row>
    <row r="173" spans="3:61 15027:15419" s="1" customFormat="1" ht="15" hidden="1" customHeight="1" x14ac:dyDescent="0.25">
      <c r="C173" s="15"/>
      <c r="D173" s="30" t="s">
        <v>39</v>
      </c>
      <c r="E173" s="60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1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>
        <v>0</v>
      </c>
      <c r="AK173" s="34">
        <v>0</v>
      </c>
      <c r="AM173" s="58">
        <v>0</v>
      </c>
      <c r="BI173" s="142"/>
    </row>
    <row r="174" spans="3:61 15027:15419" s="1" customFormat="1" ht="15" hidden="1" customHeight="1" x14ac:dyDescent="0.25">
      <c r="C174" s="15"/>
      <c r="D174" s="30" t="s">
        <v>38</v>
      </c>
      <c r="E174" s="60"/>
      <c r="F174" s="20" t="s">
        <v>14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1961">
        <v>0</v>
      </c>
      <c r="T174" s="34"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/>
      <c r="AJ174" s="34">
        <v>0</v>
      </c>
      <c r="AK174" s="34">
        <v>0</v>
      </c>
      <c r="AM174" s="58">
        <v>0</v>
      </c>
      <c r="BI174" s="142"/>
    </row>
    <row r="175" spans="3:61 15027:15419" s="1" customFormat="1" ht="15" hidden="1" customHeight="1" x14ac:dyDescent="0.25">
      <c r="C175" s="15"/>
      <c r="D175" s="30" t="s">
        <v>29</v>
      </c>
      <c r="E175" s="60"/>
      <c r="F175" s="1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0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63" t="s">
        <v>29</v>
      </c>
      <c r="BI175" s="142"/>
    </row>
    <row r="176" spans="3:61 15027:15419" s="1" customFormat="1" ht="15" hidden="1" customHeight="1" x14ac:dyDescent="0.2">
      <c r="C176" s="15"/>
      <c r="D176" s="11" t="s">
        <v>116</v>
      </c>
      <c r="E176" s="60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0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1">
        <v>0</v>
      </c>
      <c r="BI176" s="142"/>
    </row>
    <row r="177" spans="3:61 15027:15419" s="16" customFormat="1" ht="15" hidden="1" customHeight="1" x14ac:dyDescent="0.25">
      <c r="C177" s="17"/>
      <c r="D177" s="11" t="s">
        <v>27</v>
      </c>
      <c r="E177" s="53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0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1">
        <v>0</v>
      </c>
      <c r="BI177" s="148"/>
    </row>
    <row r="178" spans="3:61 15027:15419" s="16" customFormat="1" ht="15" hidden="1" customHeight="1" x14ac:dyDescent="0.25">
      <c r="C178" s="17"/>
      <c r="D178" s="11" t="s">
        <v>26</v>
      </c>
      <c r="E178" s="53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0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1">
        <v>0</v>
      </c>
      <c r="BI178" s="148"/>
    </row>
    <row r="179" spans="3:61 15027:15419" s="16" customFormat="1" ht="15" hidden="1" customHeight="1" x14ac:dyDescent="0.25">
      <c r="C179" s="17"/>
      <c r="D179" s="11" t="s">
        <v>37</v>
      </c>
      <c r="E179" s="53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0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I179" s="148"/>
    </row>
    <row r="180" spans="3:61 15027:15419" s="1" customFormat="1" ht="15" hidden="1" customHeight="1" x14ac:dyDescent="0.25">
      <c r="C180" s="15"/>
      <c r="D180" s="30" t="s">
        <v>28</v>
      </c>
      <c r="E180" s="60"/>
      <c r="F180" s="1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60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63" t="s">
        <v>28</v>
      </c>
      <c r="BI180" s="142"/>
    </row>
    <row r="181" spans="3:61 15027:15419" s="1" customFormat="1" ht="15" hidden="1" customHeight="1" x14ac:dyDescent="0.25">
      <c r="C181" s="15"/>
      <c r="D181" s="11" t="s">
        <v>116</v>
      </c>
      <c r="E181" s="60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0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>
        <v>0</v>
      </c>
      <c r="AK181" s="33">
        <v>0</v>
      </c>
      <c r="AM181" s="63"/>
      <c r="BI181" s="142"/>
    </row>
    <row r="182" spans="3:61 15027:15419" s="1" customFormat="1" ht="15" hidden="1" customHeight="1" x14ac:dyDescent="0.25">
      <c r="C182" s="15"/>
      <c r="D182" s="11" t="s">
        <v>27</v>
      </c>
      <c r="E182" s="60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0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>
        <v>0</v>
      </c>
      <c r="AK182" s="33">
        <v>0</v>
      </c>
      <c r="AM182" s="54">
        <v>0</v>
      </c>
      <c r="BI182" s="142"/>
    </row>
    <row r="183" spans="3:61 15027:15419" s="1" customFormat="1" ht="15" hidden="1" customHeight="1" x14ac:dyDescent="0.25">
      <c r="C183" s="15"/>
      <c r="D183" s="11" t="s">
        <v>26</v>
      </c>
      <c r="E183" s="60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0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>
        <v>0</v>
      </c>
      <c r="AK183" s="33">
        <v>0</v>
      </c>
      <c r="AM183" s="54">
        <v>0</v>
      </c>
      <c r="BI183" s="142"/>
    </row>
    <row r="184" spans="3:61 15027:15419" s="1" customFormat="1" ht="15" hidden="1" customHeight="1" x14ac:dyDescent="0.25">
      <c r="C184" s="15"/>
      <c r="D184" s="11" t="s">
        <v>37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0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>
        <v>0</v>
      </c>
      <c r="AK184" s="33">
        <v>0</v>
      </c>
      <c r="AM184" s="54">
        <v>0</v>
      </c>
      <c r="BI184" s="142"/>
    </row>
    <row r="185" spans="3:61 15027:15419" s="1" customFormat="1" ht="15" hidden="1" customHeight="1" x14ac:dyDescent="0.25">
      <c r="C185" s="15"/>
      <c r="D185" s="30" t="s">
        <v>36</v>
      </c>
      <c r="E185" s="60"/>
      <c r="F185" s="20" t="s">
        <v>35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0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>
        <v>0</v>
      </c>
      <c r="AK185" s="33">
        <v>0</v>
      </c>
      <c r="AM185" s="54">
        <v>0</v>
      </c>
      <c r="BI185" s="142"/>
    </row>
    <row r="186" spans="3:61 15027:15419" s="1" customFormat="1" ht="15" hidden="1" customHeight="1" x14ac:dyDescent="0.25">
      <c r="C186" s="15"/>
      <c r="D186" s="30" t="s">
        <v>34</v>
      </c>
      <c r="E186" s="60"/>
      <c r="F186" s="20" t="s">
        <v>33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60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>
        <v>0</v>
      </c>
      <c r="AK186" s="33">
        <v>0</v>
      </c>
      <c r="AM186" s="54">
        <v>0</v>
      </c>
      <c r="BI186" s="142"/>
    </row>
    <row r="187" spans="3:61 15027:15419" s="1" customFormat="1" ht="15" hidden="1" customHeight="1" x14ac:dyDescent="0.25">
      <c r="C187" s="8"/>
      <c r="D187" s="47" t="s">
        <v>32</v>
      </c>
      <c r="E187" s="48"/>
      <c r="F187" s="49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1963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3"/>
      <c r="AM187" s="78" t="s">
        <v>131</v>
      </c>
      <c r="BI187" s="141"/>
      <c r="VEY187" s="46"/>
      <c r="VEZ187" s="46"/>
      <c r="VFA187" s="46"/>
      <c r="VFB187" s="46"/>
      <c r="VFC187" s="46"/>
      <c r="VFD187" s="46"/>
      <c r="VFE187" s="46"/>
      <c r="VFF187" s="46"/>
      <c r="VFG187" s="46"/>
      <c r="VFH187" s="46"/>
      <c r="VFI187" s="46"/>
      <c r="VFJ187" s="46"/>
      <c r="VFK187" s="46"/>
      <c r="VFL187" s="46"/>
      <c r="VFM187" s="46"/>
      <c r="VFN187" s="46"/>
      <c r="VFO187" s="46"/>
      <c r="VFP187" s="46"/>
      <c r="VFQ187" s="46"/>
      <c r="VFR187" s="46"/>
      <c r="VFS187" s="46"/>
      <c r="VFT187" s="46"/>
      <c r="VFU187" s="46"/>
      <c r="VFV187" s="46"/>
      <c r="VFW187" s="46"/>
      <c r="VFX187" s="46"/>
      <c r="VFY187" s="46"/>
      <c r="VFZ187" s="46"/>
      <c r="VGA187" s="46"/>
      <c r="VGB187" s="46"/>
      <c r="VGC187" s="46"/>
      <c r="VGD187" s="46"/>
      <c r="VGE187" s="46"/>
      <c r="VGF187" s="46"/>
      <c r="VGG187" s="46"/>
      <c r="VGH187" s="46"/>
      <c r="VGI187" s="46"/>
      <c r="VGJ187" s="46"/>
      <c r="VGK187" s="46"/>
      <c r="VGL187" s="46"/>
      <c r="VGM187" s="46"/>
      <c r="VGN187" s="46"/>
      <c r="VGO187" s="46"/>
      <c r="VGP187" s="46"/>
      <c r="VGQ187" s="46"/>
      <c r="VGR187" s="46"/>
      <c r="VGS187" s="46"/>
      <c r="VGT187" s="46"/>
      <c r="VGU187" s="46"/>
      <c r="VGV187" s="46"/>
      <c r="VGW187" s="46"/>
      <c r="VGX187" s="46"/>
      <c r="VGY187" s="46"/>
      <c r="VGZ187" s="46"/>
      <c r="VHA187" s="46"/>
      <c r="VHB187" s="46"/>
      <c r="VHC187" s="46"/>
      <c r="VHD187" s="46"/>
      <c r="VHE187" s="46"/>
      <c r="VHF187" s="46"/>
      <c r="VHG187" s="46"/>
      <c r="VHH187" s="46"/>
      <c r="VHI187" s="46"/>
      <c r="VHJ187" s="46"/>
      <c r="VHK187" s="46"/>
      <c r="VHL187" s="46"/>
      <c r="VHM187" s="46"/>
      <c r="VHN187" s="46"/>
      <c r="VHO187" s="46"/>
      <c r="VHP187" s="46"/>
      <c r="VHQ187" s="46"/>
      <c r="VHR187" s="46"/>
      <c r="VHS187" s="46"/>
      <c r="VHT187" s="46"/>
      <c r="VHU187" s="46"/>
      <c r="VHV187" s="46"/>
      <c r="VHW187" s="46"/>
      <c r="VHX187" s="46"/>
      <c r="VHY187" s="46"/>
      <c r="VHZ187" s="46"/>
      <c r="VIA187" s="46"/>
      <c r="VIB187" s="46"/>
      <c r="VIC187" s="46"/>
      <c r="VID187" s="46"/>
      <c r="VIE187" s="46"/>
      <c r="VIF187" s="46"/>
      <c r="VIG187" s="46"/>
      <c r="VIH187" s="46"/>
      <c r="VII187" s="46"/>
      <c r="VIJ187" s="46"/>
      <c r="VIK187" s="46"/>
      <c r="VIL187" s="46"/>
      <c r="VIM187" s="46"/>
      <c r="VIN187" s="46"/>
      <c r="VIO187" s="46"/>
      <c r="VIP187" s="46"/>
      <c r="VIQ187" s="46"/>
      <c r="VIR187" s="46"/>
      <c r="VIS187" s="46"/>
      <c r="VIT187" s="46"/>
      <c r="VIU187" s="46"/>
      <c r="VIV187" s="46"/>
      <c r="VIW187" s="46"/>
      <c r="VIX187" s="46"/>
      <c r="VIY187" s="46"/>
      <c r="VIZ187" s="46"/>
      <c r="VJA187" s="46"/>
      <c r="VJB187" s="46"/>
      <c r="VJC187" s="46"/>
      <c r="VJD187" s="46"/>
      <c r="VJE187" s="46"/>
      <c r="VJF187" s="46"/>
      <c r="VJG187" s="46"/>
      <c r="VJH187" s="46"/>
      <c r="VJI187" s="46"/>
      <c r="VJJ187" s="46"/>
      <c r="VJK187" s="46"/>
      <c r="VJL187" s="46"/>
      <c r="VJM187" s="46"/>
      <c r="VJN187" s="46"/>
      <c r="VJO187" s="46"/>
      <c r="VJP187" s="46"/>
      <c r="VJQ187" s="46"/>
      <c r="VJR187" s="46"/>
      <c r="VJS187" s="46"/>
      <c r="VJT187" s="46"/>
      <c r="VJU187" s="46"/>
      <c r="VJV187" s="46"/>
      <c r="VJW187" s="46"/>
      <c r="VJX187" s="46"/>
      <c r="VJY187" s="46"/>
      <c r="VJZ187" s="46"/>
      <c r="VKA187" s="46"/>
      <c r="VKB187" s="46"/>
      <c r="VKC187" s="46"/>
      <c r="VKD187" s="46"/>
      <c r="VKE187" s="46"/>
      <c r="VKF187" s="46"/>
      <c r="VKG187" s="46"/>
      <c r="VKH187" s="46"/>
      <c r="VKI187" s="46"/>
      <c r="VKJ187" s="46"/>
      <c r="VKK187" s="46"/>
      <c r="VKL187" s="46"/>
      <c r="VKM187" s="46"/>
      <c r="VKN187" s="46"/>
      <c r="VKO187" s="46"/>
      <c r="VKP187" s="46"/>
      <c r="VKQ187" s="46"/>
      <c r="VKR187" s="46"/>
      <c r="VKS187" s="46"/>
      <c r="VKT187" s="46"/>
      <c r="VKU187" s="46"/>
      <c r="VKV187" s="46"/>
      <c r="VKW187" s="46"/>
      <c r="VKX187" s="46"/>
      <c r="VKY187" s="46"/>
      <c r="VKZ187" s="46"/>
      <c r="VLA187" s="46"/>
      <c r="VLB187" s="46"/>
      <c r="VLC187" s="46"/>
      <c r="VLD187" s="46"/>
      <c r="VLE187" s="46"/>
      <c r="VLF187" s="46"/>
      <c r="VLG187" s="46"/>
      <c r="VLH187" s="46"/>
      <c r="VLI187" s="46"/>
      <c r="VLJ187" s="46"/>
      <c r="VLK187" s="46"/>
      <c r="VLL187" s="46"/>
      <c r="VLM187" s="46"/>
      <c r="VLN187" s="46"/>
      <c r="VLO187" s="46"/>
      <c r="VLP187" s="46"/>
      <c r="VLQ187" s="46"/>
      <c r="VLR187" s="46"/>
      <c r="VLS187" s="46"/>
      <c r="VLT187" s="46"/>
      <c r="VLU187" s="46"/>
      <c r="VLV187" s="46"/>
      <c r="VLW187" s="46"/>
      <c r="VLX187" s="46"/>
      <c r="VLY187" s="46"/>
      <c r="VLZ187" s="46"/>
      <c r="VMA187" s="46"/>
      <c r="VMB187" s="46"/>
      <c r="VMC187" s="46"/>
      <c r="VMD187" s="46"/>
      <c r="VME187" s="46"/>
      <c r="VMF187" s="46"/>
      <c r="VMG187" s="46"/>
      <c r="VMH187" s="46"/>
      <c r="VMI187" s="46"/>
      <c r="VMJ187" s="46"/>
      <c r="VMK187" s="46"/>
      <c r="VML187" s="46"/>
      <c r="VMM187" s="46"/>
      <c r="VMN187" s="46"/>
      <c r="VMO187" s="46"/>
      <c r="VMP187" s="46"/>
      <c r="VMQ187" s="46"/>
      <c r="VMR187" s="46"/>
      <c r="VMS187" s="46"/>
      <c r="VMT187" s="46"/>
      <c r="VMU187" s="46"/>
      <c r="VMV187" s="46"/>
      <c r="VMW187" s="46"/>
      <c r="VMX187" s="46"/>
      <c r="VMY187" s="46"/>
      <c r="VMZ187" s="46"/>
      <c r="VNA187" s="46"/>
      <c r="VNB187" s="46"/>
      <c r="VNC187" s="46"/>
      <c r="VND187" s="46"/>
      <c r="VNE187" s="46"/>
      <c r="VNF187" s="46"/>
      <c r="VNG187" s="46"/>
      <c r="VNH187" s="46"/>
      <c r="VNI187" s="46"/>
      <c r="VNJ187" s="46"/>
      <c r="VNK187" s="46"/>
      <c r="VNL187" s="46"/>
      <c r="VNM187" s="46"/>
      <c r="VNN187" s="46"/>
      <c r="VNO187" s="46"/>
      <c r="VNP187" s="46"/>
      <c r="VNQ187" s="46"/>
      <c r="VNR187" s="46"/>
      <c r="VNS187" s="46"/>
      <c r="VNT187" s="46"/>
      <c r="VNU187" s="46"/>
      <c r="VNV187" s="46"/>
      <c r="VNW187" s="46"/>
      <c r="VNX187" s="46"/>
      <c r="VNY187" s="46"/>
      <c r="VNZ187" s="46"/>
      <c r="VOA187" s="46"/>
      <c r="VOB187" s="46"/>
      <c r="VOC187" s="46"/>
      <c r="VOD187" s="46"/>
      <c r="VOE187" s="46"/>
      <c r="VOF187" s="46"/>
      <c r="VOG187" s="46"/>
      <c r="VOH187" s="46"/>
      <c r="VOI187" s="46"/>
      <c r="VOJ187" s="46"/>
      <c r="VOK187" s="46"/>
      <c r="VOL187" s="46"/>
      <c r="VOM187" s="46"/>
      <c r="VON187" s="46"/>
      <c r="VOO187" s="46"/>
      <c r="VOP187" s="46"/>
      <c r="VOQ187" s="46"/>
      <c r="VOR187" s="46"/>
      <c r="VOS187" s="46"/>
      <c r="VOT187" s="46"/>
      <c r="VOU187" s="46"/>
      <c r="VOV187" s="46"/>
      <c r="VOW187" s="46"/>
      <c r="VOX187" s="46"/>
      <c r="VOY187" s="46"/>
      <c r="VOZ187" s="46"/>
      <c r="VPA187" s="46"/>
      <c r="VPB187" s="46"/>
      <c r="VPC187" s="46"/>
      <c r="VPD187" s="46"/>
      <c r="VPE187" s="46"/>
      <c r="VPF187" s="46"/>
      <c r="VPG187" s="46"/>
      <c r="VPH187" s="46"/>
      <c r="VPI187" s="46"/>
      <c r="VPJ187" s="46"/>
      <c r="VPK187" s="46"/>
      <c r="VPL187" s="46"/>
      <c r="VPM187" s="46"/>
      <c r="VPN187" s="46"/>
      <c r="VPO187" s="46"/>
      <c r="VPP187" s="46"/>
      <c r="VPQ187" s="46"/>
      <c r="VPR187" s="46"/>
      <c r="VPS187" s="46"/>
      <c r="VPT187" s="46"/>
      <c r="VPU187" s="46"/>
      <c r="VPV187" s="46"/>
      <c r="VPW187" s="46"/>
      <c r="VPX187" s="46"/>
      <c r="VPY187" s="46"/>
      <c r="VPZ187" s="46"/>
      <c r="VQA187" s="46"/>
      <c r="VQB187" s="46"/>
      <c r="VQC187" s="46"/>
      <c r="VQD187" s="46"/>
      <c r="VQE187" s="46"/>
      <c r="VQF187" s="46"/>
      <c r="VQG187" s="46"/>
      <c r="VQH187" s="46"/>
      <c r="VQI187" s="46"/>
      <c r="VQJ187" s="46"/>
      <c r="VQK187" s="46"/>
      <c r="VQL187" s="46"/>
      <c r="VQM187" s="46"/>
      <c r="VQN187" s="46"/>
      <c r="VQO187" s="46"/>
      <c r="VQP187" s="46"/>
      <c r="VQQ187" s="46"/>
      <c r="VQR187" s="46"/>
      <c r="VQS187" s="46"/>
      <c r="VQT187" s="46"/>
      <c r="VQU187" s="46"/>
      <c r="VQV187" s="46"/>
      <c r="VQW187" s="46"/>
      <c r="VQX187" s="46"/>
      <c r="VQY187" s="46"/>
      <c r="VQZ187" s="46"/>
      <c r="VRA187" s="46"/>
      <c r="VRB187" s="46"/>
      <c r="VRC187" s="46"/>
      <c r="VRD187" s="46"/>
      <c r="VRE187" s="46"/>
      <c r="VRF187" s="46"/>
      <c r="VRG187" s="46"/>
      <c r="VRH187" s="46"/>
      <c r="VRI187" s="46"/>
      <c r="VRJ187" s="46"/>
      <c r="VRK187" s="46"/>
      <c r="VRL187" s="46"/>
      <c r="VRM187" s="46"/>
      <c r="VRN187" s="46"/>
      <c r="VRO187" s="46"/>
      <c r="VRP187" s="46"/>
      <c r="VRQ187" s="46"/>
      <c r="VRR187" s="46"/>
      <c r="VRS187" s="46"/>
      <c r="VRT187" s="46"/>
      <c r="VRU187" s="46"/>
      <c r="VRV187" s="46"/>
      <c r="VRW187" s="46"/>
      <c r="VRX187" s="46"/>
      <c r="VRY187" s="46"/>
      <c r="VRZ187" s="46"/>
      <c r="VSA187" s="46"/>
      <c r="VSB187" s="46"/>
      <c r="VSC187" s="46"/>
      <c r="VSD187" s="46"/>
      <c r="VSE187" s="46"/>
      <c r="VSF187" s="46"/>
      <c r="VSG187" s="46"/>
      <c r="VSH187" s="46"/>
      <c r="VSI187" s="46"/>
      <c r="VSJ187" s="46"/>
      <c r="VSK187" s="46"/>
      <c r="VSL187" s="46"/>
      <c r="VSM187" s="46"/>
      <c r="VSN187" s="46"/>
      <c r="VSO187" s="46"/>
      <c r="VSP187" s="46"/>
      <c r="VSQ187" s="46"/>
      <c r="VSR187" s="46"/>
      <c r="VSS187" s="46"/>
      <c r="VST187" s="46"/>
      <c r="VSU187" s="46"/>
      <c r="VSV187" s="46"/>
      <c r="VSW187" s="46"/>
      <c r="VSX187" s="46"/>
      <c r="VSY187" s="46"/>
      <c r="VSZ187" s="46"/>
      <c r="VTA187" s="46"/>
      <c r="VTB187" s="46"/>
      <c r="VTC187" s="46"/>
      <c r="VTD187" s="46"/>
      <c r="VTE187" s="46"/>
      <c r="VTF187" s="46"/>
      <c r="VTG187" s="46"/>
      <c r="VTH187" s="46"/>
      <c r="VTI187" s="46"/>
      <c r="VTJ187" s="46"/>
      <c r="VTK187" s="46"/>
      <c r="VTL187" s="46"/>
      <c r="VTM187" s="46"/>
      <c r="VTN187" s="46"/>
      <c r="VTO187" s="46"/>
      <c r="VTP187" s="46"/>
      <c r="VTQ187" s="46"/>
      <c r="VTR187" s="46"/>
      <c r="VTS187" s="46"/>
      <c r="VTT187" s="46"/>
      <c r="VTU187" s="46"/>
      <c r="VTV187" s="46"/>
      <c r="VTW187" s="46"/>
      <c r="VTX187" s="46"/>
      <c r="VTY187" s="46"/>
      <c r="VTZ187" s="46"/>
      <c r="VUA187" s="46"/>
    </row>
    <row r="188" spans="3:61 15027:15419" s="1" customFormat="1" ht="15" hidden="1" customHeight="1" x14ac:dyDescent="0.25">
      <c r="C188" s="15"/>
      <c r="D188" s="30" t="s">
        <v>29</v>
      </c>
      <c r="E188" s="60"/>
      <c r="F188" s="1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60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M188" s="63" t="s">
        <v>29</v>
      </c>
      <c r="BI188" s="142"/>
    </row>
    <row r="189" spans="3:61 15027:15419" s="1" customFormat="1" ht="15" hidden="1" customHeight="1" x14ac:dyDescent="0.25">
      <c r="C189" s="15"/>
      <c r="D189" s="11" t="s">
        <v>116</v>
      </c>
      <c r="E189" s="60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0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>
        <v>0</v>
      </c>
      <c r="AK189" s="33">
        <v>0</v>
      </c>
      <c r="AM189" s="63"/>
      <c r="BI189" s="142"/>
    </row>
    <row r="190" spans="3:61 15027:15419" s="1" customFormat="1" ht="15" hidden="1" customHeight="1" x14ac:dyDescent="0.25">
      <c r="C190" s="15"/>
      <c r="D190" s="11" t="s">
        <v>27</v>
      </c>
      <c r="E190" s="60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0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>
        <v>0</v>
      </c>
      <c r="AK190" s="33">
        <v>0</v>
      </c>
      <c r="AM190" s="54">
        <v>0</v>
      </c>
      <c r="BI190" s="142"/>
    </row>
    <row r="191" spans="3:61 15027:15419" s="1" customFormat="1" ht="15" hidden="1" customHeight="1" x14ac:dyDescent="0.25">
      <c r="C191" s="15"/>
      <c r="D191" s="11" t="s">
        <v>26</v>
      </c>
      <c r="E191" s="60"/>
      <c r="F191" s="20" t="s">
        <v>31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1960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Z191" s="33">
        <v>0</v>
      </c>
      <c r="AA191" s="33">
        <v>0</v>
      </c>
      <c r="AB191" s="33">
        <v>0</v>
      </c>
      <c r="AC191" s="33">
        <v>0</v>
      </c>
      <c r="AD191" s="33">
        <v>0</v>
      </c>
      <c r="AE191" s="33">
        <v>0</v>
      </c>
      <c r="AF191" s="33">
        <v>0</v>
      </c>
      <c r="AG191" s="33">
        <v>0</v>
      </c>
      <c r="AH191" s="33">
        <v>0</v>
      </c>
      <c r="AI191" s="33"/>
      <c r="AJ191" s="33">
        <v>0</v>
      </c>
      <c r="AK191" s="33">
        <v>0</v>
      </c>
      <c r="AM191" s="54">
        <v>0</v>
      </c>
      <c r="BI191" s="142"/>
    </row>
    <row r="192" spans="3:61 15027:15419" s="1" customFormat="1" ht="15" hidden="1" customHeight="1" x14ac:dyDescent="0.25">
      <c r="C192" s="15"/>
      <c r="D192" s="30" t="s">
        <v>28</v>
      </c>
      <c r="E192" s="60"/>
      <c r="F192" s="1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60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M192" s="63" t="s">
        <v>28</v>
      </c>
      <c r="BI192" s="142"/>
    </row>
    <row r="193" spans="3:61 15027:15419" s="1" customFormat="1" ht="15" hidden="1" customHeight="1" x14ac:dyDescent="0.25">
      <c r="C193" s="15"/>
      <c r="D193" s="11" t="s">
        <v>116</v>
      </c>
      <c r="E193" s="60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0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>
        <v>0</v>
      </c>
      <c r="AK193" s="33">
        <v>0</v>
      </c>
      <c r="AM193" s="63"/>
      <c r="BI193" s="142"/>
    </row>
    <row r="194" spans="3:61 15027:15419" s="1" customFormat="1" ht="15" hidden="1" customHeight="1" x14ac:dyDescent="0.25">
      <c r="C194" s="15"/>
      <c r="D194" s="11" t="s">
        <v>27</v>
      </c>
      <c r="E194" s="60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0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K194" s="33">
        <v>0</v>
      </c>
      <c r="AM194" s="54">
        <v>0</v>
      </c>
      <c r="BI194" s="142"/>
    </row>
    <row r="195" spans="3:61 15027:15419" s="1" customFormat="1" ht="15" hidden="1" customHeight="1" x14ac:dyDescent="0.25">
      <c r="C195" s="15"/>
      <c r="D195" s="11" t="s">
        <v>26</v>
      </c>
      <c r="E195" s="60"/>
      <c r="F195" s="20" t="s">
        <v>28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1960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/>
      <c r="AJ195" s="33">
        <v>0</v>
      </c>
      <c r="AK195" s="33">
        <v>0</v>
      </c>
      <c r="AM195" s="54">
        <v>0</v>
      </c>
      <c r="BI195" s="142"/>
    </row>
    <row r="196" spans="3:61 15027:15419" s="1" customFormat="1" ht="15" hidden="1" customHeight="1" x14ac:dyDescent="0.25">
      <c r="C196" s="8"/>
      <c r="D196" s="47" t="s">
        <v>30</v>
      </c>
      <c r="E196" s="48"/>
      <c r="F196" s="49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1963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3"/>
      <c r="AM196" s="78" t="s">
        <v>131</v>
      </c>
      <c r="BI196" s="141"/>
      <c r="VEY196" s="46"/>
      <c r="VEZ196" s="46"/>
      <c r="VFA196" s="46"/>
      <c r="VFB196" s="46"/>
      <c r="VFC196" s="46"/>
      <c r="VFD196" s="46"/>
      <c r="VFE196" s="46"/>
      <c r="VFF196" s="46"/>
      <c r="VFG196" s="46"/>
      <c r="VFH196" s="46"/>
      <c r="VFI196" s="46"/>
      <c r="VFJ196" s="46"/>
      <c r="VFK196" s="46"/>
      <c r="VFL196" s="46"/>
      <c r="VFM196" s="46"/>
      <c r="VFN196" s="46"/>
      <c r="VFO196" s="46"/>
      <c r="VFP196" s="46"/>
      <c r="VFQ196" s="46"/>
      <c r="VFR196" s="46"/>
      <c r="VFS196" s="46"/>
      <c r="VFT196" s="46"/>
      <c r="VFU196" s="46"/>
      <c r="VFV196" s="46"/>
      <c r="VFW196" s="46"/>
      <c r="VFX196" s="46"/>
      <c r="VFY196" s="46"/>
      <c r="VFZ196" s="46"/>
      <c r="VGA196" s="46"/>
      <c r="VGB196" s="46"/>
      <c r="VGC196" s="46"/>
      <c r="VGD196" s="46"/>
      <c r="VGE196" s="46"/>
      <c r="VGF196" s="46"/>
      <c r="VGG196" s="46"/>
      <c r="VGH196" s="46"/>
      <c r="VGI196" s="46"/>
      <c r="VGJ196" s="46"/>
      <c r="VGK196" s="46"/>
      <c r="VGL196" s="46"/>
      <c r="VGM196" s="46"/>
      <c r="VGN196" s="46"/>
      <c r="VGO196" s="46"/>
      <c r="VGP196" s="46"/>
      <c r="VGQ196" s="46"/>
      <c r="VGR196" s="46"/>
      <c r="VGS196" s="46"/>
      <c r="VGT196" s="46"/>
      <c r="VGU196" s="46"/>
      <c r="VGV196" s="46"/>
      <c r="VGW196" s="46"/>
      <c r="VGX196" s="46"/>
      <c r="VGY196" s="46"/>
      <c r="VGZ196" s="46"/>
      <c r="VHA196" s="46"/>
      <c r="VHB196" s="46"/>
      <c r="VHC196" s="46"/>
      <c r="VHD196" s="46"/>
      <c r="VHE196" s="46"/>
      <c r="VHF196" s="46"/>
      <c r="VHG196" s="46"/>
      <c r="VHH196" s="46"/>
      <c r="VHI196" s="46"/>
      <c r="VHJ196" s="46"/>
      <c r="VHK196" s="46"/>
      <c r="VHL196" s="46"/>
      <c r="VHM196" s="46"/>
      <c r="VHN196" s="46"/>
      <c r="VHO196" s="46"/>
      <c r="VHP196" s="46"/>
      <c r="VHQ196" s="46"/>
      <c r="VHR196" s="46"/>
      <c r="VHS196" s="46"/>
      <c r="VHT196" s="46"/>
      <c r="VHU196" s="46"/>
      <c r="VHV196" s="46"/>
      <c r="VHW196" s="46"/>
      <c r="VHX196" s="46"/>
      <c r="VHY196" s="46"/>
      <c r="VHZ196" s="46"/>
      <c r="VIA196" s="46"/>
      <c r="VIB196" s="46"/>
      <c r="VIC196" s="46"/>
      <c r="VID196" s="46"/>
      <c r="VIE196" s="46"/>
      <c r="VIF196" s="46"/>
      <c r="VIG196" s="46"/>
      <c r="VIH196" s="46"/>
      <c r="VII196" s="46"/>
      <c r="VIJ196" s="46"/>
      <c r="VIK196" s="46"/>
      <c r="VIL196" s="46"/>
      <c r="VIM196" s="46"/>
      <c r="VIN196" s="46"/>
      <c r="VIO196" s="46"/>
      <c r="VIP196" s="46"/>
      <c r="VIQ196" s="46"/>
      <c r="VIR196" s="46"/>
      <c r="VIS196" s="46"/>
      <c r="VIT196" s="46"/>
      <c r="VIU196" s="46"/>
      <c r="VIV196" s="46"/>
      <c r="VIW196" s="46"/>
      <c r="VIX196" s="46"/>
      <c r="VIY196" s="46"/>
      <c r="VIZ196" s="46"/>
      <c r="VJA196" s="46"/>
      <c r="VJB196" s="46"/>
      <c r="VJC196" s="46"/>
      <c r="VJD196" s="46"/>
      <c r="VJE196" s="46"/>
      <c r="VJF196" s="46"/>
      <c r="VJG196" s="46"/>
      <c r="VJH196" s="46"/>
      <c r="VJI196" s="46"/>
      <c r="VJJ196" s="46"/>
      <c r="VJK196" s="46"/>
      <c r="VJL196" s="46"/>
      <c r="VJM196" s="46"/>
      <c r="VJN196" s="46"/>
      <c r="VJO196" s="46"/>
      <c r="VJP196" s="46"/>
      <c r="VJQ196" s="46"/>
      <c r="VJR196" s="46"/>
      <c r="VJS196" s="46"/>
      <c r="VJT196" s="46"/>
      <c r="VJU196" s="46"/>
      <c r="VJV196" s="46"/>
      <c r="VJW196" s="46"/>
      <c r="VJX196" s="46"/>
      <c r="VJY196" s="46"/>
      <c r="VJZ196" s="46"/>
      <c r="VKA196" s="46"/>
      <c r="VKB196" s="46"/>
      <c r="VKC196" s="46"/>
      <c r="VKD196" s="46"/>
      <c r="VKE196" s="46"/>
      <c r="VKF196" s="46"/>
      <c r="VKG196" s="46"/>
      <c r="VKH196" s="46"/>
      <c r="VKI196" s="46"/>
      <c r="VKJ196" s="46"/>
      <c r="VKK196" s="46"/>
      <c r="VKL196" s="46"/>
      <c r="VKM196" s="46"/>
      <c r="VKN196" s="46"/>
      <c r="VKO196" s="46"/>
      <c r="VKP196" s="46"/>
      <c r="VKQ196" s="46"/>
      <c r="VKR196" s="46"/>
      <c r="VKS196" s="46"/>
      <c r="VKT196" s="46"/>
      <c r="VKU196" s="46"/>
      <c r="VKV196" s="46"/>
      <c r="VKW196" s="46"/>
      <c r="VKX196" s="46"/>
      <c r="VKY196" s="46"/>
      <c r="VKZ196" s="46"/>
      <c r="VLA196" s="46"/>
      <c r="VLB196" s="46"/>
      <c r="VLC196" s="46"/>
      <c r="VLD196" s="46"/>
      <c r="VLE196" s="46"/>
      <c r="VLF196" s="46"/>
      <c r="VLG196" s="46"/>
      <c r="VLH196" s="46"/>
      <c r="VLI196" s="46"/>
      <c r="VLJ196" s="46"/>
      <c r="VLK196" s="46"/>
      <c r="VLL196" s="46"/>
      <c r="VLM196" s="46"/>
      <c r="VLN196" s="46"/>
      <c r="VLO196" s="46"/>
      <c r="VLP196" s="46"/>
      <c r="VLQ196" s="46"/>
      <c r="VLR196" s="46"/>
      <c r="VLS196" s="46"/>
      <c r="VLT196" s="46"/>
      <c r="VLU196" s="46"/>
      <c r="VLV196" s="46"/>
      <c r="VLW196" s="46"/>
      <c r="VLX196" s="46"/>
      <c r="VLY196" s="46"/>
      <c r="VLZ196" s="46"/>
      <c r="VMA196" s="46"/>
      <c r="VMB196" s="46"/>
      <c r="VMC196" s="46"/>
      <c r="VMD196" s="46"/>
      <c r="VME196" s="46"/>
      <c r="VMF196" s="46"/>
      <c r="VMG196" s="46"/>
      <c r="VMH196" s="46"/>
      <c r="VMI196" s="46"/>
      <c r="VMJ196" s="46"/>
      <c r="VMK196" s="46"/>
      <c r="VML196" s="46"/>
      <c r="VMM196" s="46"/>
      <c r="VMN196" s="46"/>
      <c r="VMO196" s="46"/>
      <c r="VMP196" s="46"/>
      <c r="VMQ196" s="46"/>
      <c r="VMR196" s="46"/>
      <c r="VMS196" s="46"/>
      <c r="VMT196" s="46"/>
      <c r="VMU196" s="46"/>
      <c r="VMV196" s="46"/>
      <c r="VMW196" s="46"/>
      <c r="VMX196" s="46"/>
      <c r="VMY196" s="46"/>
      <c r="VMZ196" s="46"/>
      <c r="VNA196" s="46"/>
      <c r="VNB196" s="46"/>
      <c r="VNC196" s="46"/>
      <c r="VND196" s="46"/>
      <c r="VNE196" s="46"/>
      <c r="VNF196" s="46"/>
      <c r="VNG196" s="46"/>
      <c r="VNH196" s="46"/>
      <c r="VNI196" s="46"/>
      <c r="VNJ196" s="46"/>
      <c r="VNK196" s="46"/>
      <c r="VNL196" s="46"/>
      <c r="VNM196" s="46"/>
      <c r="VNN196" s="46"/>
      <c r="VNO196" s="46"/>
      <c r="VNP196" s="46"/>
      <c r="VNQ196" s="46"/>
      <c r="VNR196" s="46"/>
      <c r="VNS196" s="46"/>
      <c r="VNT196" s="46"/>
      <c r="VNU196" s="46"/>
      <c r="VNV196" s="46"/>
      <c r="VNW196" s="46"/>
      <c r="VNX196" s="46"/>
      <c r="VNY196" s="46"/>
      <c r="VNZ196" s="46"/>
      <c r="VOA196" s="46"/>
      <c r="VOB196" s="46"/>
      <c r="VOC196" s="46"/>
      <c r="VOD196" s="46"/>
      <c r="VOE196" s="46"/>
      <c r="VOF196" s="46"/>
      <c r="VOG196" s="46"/>
      <c r="VOH196" s="46"/>
      <c r="VOI196" s="46"/>
      <c r="VOJ196" s="46"/>
      <c r="VOK196" s="46"/>
      <c r="VOL196" s="46"/>
      <c r="VOM196" s="46"/>
      <c r="VON196" s="46"/>
      <c r="VOO196" s="46"/>
      <c r="VOP196" s="46"/>
      <c r="VOQ196" s="46"/>
      <c r="VOR196" s="46"/>
      <c r="VOS196" s="46"/>
      <c r="VOT196" s="46"/>
      <c r="VOU196" s="46"/>
      <c r="VOV196" s="46"/>
      <c r="VOW196" s="46"/>
      <c r="VOX196" s="46"/>
      <c r="VOY196" s="46"/>
      <c r="VOZ196" s="46"/>
      <c r="VPA196" s="46"/>
      <c r="VPB196" s="46"/>
      <c r="VPC196" s="46"/>
      <c r="VPD196" s="46"/>
      <c r="VPE196" s="46"/>
      <c r="VPF196" s="46"/>
      <c r="VPG196" s="46"/>
      <c r="VPH196" s="46"/>
      <c r="VPI196" s="46"/>
      <c r="VPJ196" s="46"/>
      <c r="VPK196" s="46"/>
      <c r="VPL196" s="46"/>
      <c r="VPM196" s="46"/>
      <c r="VPN196" s="46"/>
      <c r="VPO196" s="46"/>
      <c r="VPP196" s="46"/>
      <c r="VPQ196" s="46"/>
      <c r="VPR196" s="46"/>
      <c r="VPS196" s="46"/>
      <c r="VPT196" s="46"/>
      <c r="VPU196" s="46"/>
      <c r="VPV196" s="46"/>
      <c r="VPW196" s="46"/>
      <c r="VPX196" s="46"/>
      <c r="VPY196" s="46"/>
      <c r="VPZ196" s="46"/>
      <c r="VQA196" s="46"/>
      <c r="VQB196" s="46"/>
      <c r="VQC196" s="46"/>
      <c r="VQD196" s="46"/>
      <c r="VQE196" s="46"/>
      <c r="VQF196" s="46"/>
      <c r="VQG196" s="46"/>
      <c r="VQH196" s="46"/>
      <c r="VQI196" s="46"/>
      <c r="VQJ196" s="46"/>
      <c r="VQK196" s="46"/>
      <c r="VQL196" s="46"/>
      <c r="VQM196" s="46"/>
      <c r="VQN196" s="46"/>
      <c r="VQO196" s="46"/>
      <c r="VQP196" s="46"/>
      <c r="VQQ196" s="46"/>
      <c r="VQR196" s="46"/>
      <c r="VQS196" s="46"/>
      <c r="VQT196" s="46"/>
      <c r="VQU196" s="46"/>
      <c r="VQV196" s="46"/>
      <c r="VQW196" s="46"/>
      <c r="VQX196" s="46"/>
      <c r="VQY196" s="46"/>
      <c r="VQZ196" s="46"/>
      <c r="VRA196" s="46"/>
      <c r="VRB196" s="46"/>
      <c r="VRC196" s="46"/>
      <c r="VRD196" s="46"/>
      <c r="VRE196" s="46"/>
      <c r="VRF196" s="46"/>
      <c r="VRG196" s="46"/>
      <c r="VRH196" s="46"/>
      <c r="VRI196" s="46"/>
      <c r="VRJ196" s="46"/>
      <c r="VRK196" s="46"/>
      <c r="VRL196" s="46"/>
      <c r="VRM196" s="46"/>
      <c r="VRN196" s="46"/>
      <c r="VRO196" s="46"/>
      <c r="VRP196" s="46"/>
      <c r="VRQ196" s="46"/>
      <c r="VRR196" s="46"/>
      <c r="VRS196" s="46"/>
      <c r="VRT196" s="46"/>
      <c r="VRU196" s="46"/>
      <c r="VRV196" s="46"/>
      <c r="VRW196" s="46"/>
      <c r="VRX196" s="46"/>
      <c r="VRY196" s="46"/>
      <c r="VRZ196" s="46"/>
      <c r="VSA196" s="46"/>
      <c r="VSB196" s="46"/>
      <c r="VSC196" s="46"/>
      <c r="VSD196" s="46"/>
      <c r="VSE196" s="46"/>
      <c r="VSF196" s="46"/>
      <c r="VSG196" s="46"/>
      <c r="VSH196" s="46"/>
      <c r="VSI196" s="46"/>
      <c r="VSJ196" s="46"/>
      <c r="VSK196" s="46"/>
      <c r="VSL196" s="46"/>
      <c r="VSM196" s="46"/>
      <c r="VSN196" s="46"/>
      <c r="VSO196" s="46"/>
      <c r="VSP196" s="46"/>
      <c r="VSQ196" s="46"/>
      <c r="VSR196" s="46"/>
      <c r="VSS196" s="46"/>
      <c r="VST196" s="46"/>
      <c r="VSU196" s="46"/>
      <c r="VSV196" s="46"/>
      <c r="VSW196" s="46"/>
      <c r="VSX196" s="46"/>
      <c r="VSY196" s="46"/>
      <c r="VSZ196" s="46"/>
      <c r="VTA196" s="46"/>
      <c r="VTB196" s="46"/>
      <c r="VTC196" s="46"/>
      <c r="VTD196" s="46"/>
      <c r="VTE196" s="46"/>
      <c r="VTF196" s="46"/>
      <c r="VTG196" s="46"/>
      <c r="VTH196" s="46"/>
      <c r="VTI196" s="46"/>
      <c r="VTJ196" s="46"/>
      <c r="VTK196" s="46"/>
      <c r="VTL196" s="46"/>
      <c r="VTM196" s="46"/>
      <c r="VTN196" s="46"/>
      <c r="VTO196" s="46"/>
      <c r="VTP196" s="46"/>
      <c r="VTQ196" s="46"/>
      <c r="VTR196" s="46"/>
      <c r="VTS196" s="46"/>
      <c r="VTT196" s="46"/>
      <c r="VTU196" s="46"/>
      <c r="VTV196" s="46"/>
      <c r="VTW196" s="46"/>
      <c r="VTX196" s="46"/>
      <c r="VTY196" s="46"/>
      <c r="VTZ196" s="46"/>
      <c r="VUA196" s="46"/>
    </row>
    <row r="197" spans="3:61 15027:15419" s="1" customFormat="1" ht="15" hidden="1" customHeight="1" x14ac:dyDescent="0.25">
      <c r="C197" s="15"/>
      <c r="D197" s="30" t="s">
        <v>29</v>
      </c>
      <c r="E197" s="60"/>
      <c r="F197" s="1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60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M197" s="63" t="s">
        <v>29</v>
      </c>
      <c r="BI197" s="142"/>
    </row>
    <row r="198" spans="3:61 15027:15419" s="1" customFormat="1" ht="15" hidden="1" customHeight="1" x14ac:dyDescent="0.25">
      <c r="C198" s="15"/>
      <c r="D198" s="11" t="s">
        <v>116</v>
      </c>
      <c r="E198" s="126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1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 t="e">
        <v>#DIV/0!</v>
      </c>
      <c r="AK198" s="34" t="e">
        <v>#DIV/0!</v>
      </c>
      <c r="AM198" s="63"/>
      <c r="BI198" s="142"/>
    </row>
    <row r="199" spans="3:61 15027:15419" s="1" customFormat="1" ht="15" hidden="1" customHeight="1" x14ac:dyDescent="0.25">
      <c r="C199" s="15"/>
      <c r="D199" s="11" t="s">
        <v>27</v>
      </c>
      <c r="E199" s="126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1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 t="e">
        <v>#DIV/0!</v>
      </c>
      <c r="AK199" s="34" t="e">
        <v>#DIV/0!</v>
      </c>
      <c r="AM199" s="58" t="e">
        <v>#DIV/0!</v>
      </c>
      <c r="BI199" s="142"/>
    </row>
    <row r="200" spans="3:61 15027:15419" s="1" customFormat="1" ht="15" hidden="1" customHeight="1" x14ac:dyDescent="0.25">
      <c r="C200" s="15"/>
      <c r="D200" s="11" t="s">
        <v>26</v>
      </c>
      <c r="E200" s="126">
        <v>0.3</v>
      </c>
      <c r="F200" s="20" t="s">
        <v>25</v>
      </c>
      <c r="G200" s="34" t="e">
        <v>#DIV/0!</v>
      </c>
      <c r="H200" s="34" t="e">
        <v>#DIV/0!</v>
      </c>
      <c r="I200" s="34" t="e">
        <v>#DIV/0!</v>
      </c>
      <c r="J200" s="34" t="e">
        <v>#DIV/0!</v>
      </c>
      <c r="K200" s="34" t="e">
        <v>#DIV/0!</v>
      </c>
      <c r="L200" s="34" t="e">
        <v>#DIV/0!</v>
      </c>
      <c r="M200" s="34" t="e">
        <v>#DIV/0!</v>
      </c>
      <c r="N200" s="34" t="e">
        <v>#DIV/0!</v>
      </c>
      <c r="O200" s="34" t="e">
        <v>#DIV/0!</v>
      </c>
      <c r="P200" s="34" t="e">
        <v>#DIV/0!</v>
      </c>
      <c r="Q200" s="34" t="e">
        <v>#DIV/0!</v>
      </c>
      <c r="R200" s="34" t="e">
        <v>#DIV/0!</v>
      </c>
      <c r="S200" s="1961" t="e">
        <v>#DIV/0!</v>
      </c>
      <c r="T200" s="34" t="e">
        <v>#DIV/0!</v>
      </c>
      <c r="U200" s="34" t="e">
        <v>#DIV/0!</v>
      </c>
      <c r="V200" s="34" t="e">
        <v>#DIV/0!</v>
      </c>
      <c r="W200" s="34" t="e">
        <v>#DIV/0!</v>
      </c>
      <c r="X200" s="34" t="e">
        <v>#DIV/0!</v>
      </c>
      <c r="Y200" s="34" t="e">
        <v>#DIV/0!</v>
      </c>
      <c r="Z200" s="34" t="e">
        <v>#DIV/0!</v>
      </c>
      <c r="AA200" s="34" t="e">
        <v>#DIV/0!</v>
      </c>
      <c r="AB200" s="34" t="e">
        <v>#DIV/0!</v>
      </c>
      <c r="AC200" s="34" t="e">
        <v>#DIV/0!</v>
      </c>
      <c r="AD200" s="34" t="e">
        <v>#DIV/0!</v>
      </c>
      <c r="AE200" s="34" t="e">
        <v>#DIV/0!</v>
      </c>
      <c r="AF200" s="34" t="e">
        <v>#DIV/0!</v>
      </c>
      <c r="AG200" s="34" t="e">
        <v>#DIV/0!</v>
      </c>
      <c r="AH200" s="34" t="e">
        <v>#DIV/0!</v>
      </c>
      <c r="AI200" s="34"/>
      <c r="AJ200" s="34" t="e">
        <v>#DIV/0!</v>
      </c>
      <c r="AK200" s="34" t="e">
        <v>#DIV/0!</v>
      </c>
      <c r="AM200" s="58" t="e">
        <v>#DIV/0!</v>
      </c>
      <c r="BI200" s="142"/>
    </row>
    <row r="201" spans="3:61 15027:15419" s="1" customFormat="1" ht="15" hidden="1" customHeight="1" x14ac:dyDescent="0.25">
      <c r="C201" s="15"/>
      <c r="D201" s="30" t="s">
        <v>28</v>
      </c>
      <c r="E201" s="126"/>
      <c r="F201" s="13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1961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M201" s="63" t="s">
        <v>28</v>
      </c>
      <c r="BI201" s="142"/>
    </row>
    <row r="202" spans="3:61 15027:15419" s="1" customFormat="1" ht="15" hidden="1" customHeight="1" x14ac:dyDescent="0.25">
      <c r="C202" s="15"/>
      <c r="D202" s="11" t="s">
        <v>116</v>
      </c>
      <c r="E202" s="126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1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 t="e">
        <v>#DIV/0!</v>
      </c>
      <c r="AK202" s="34" t="e">
        <v>#DIV/0!</v>
      </c>
      <c r="AM202" s="63"/>
      <c r="BI202" s="142"/>
    </row>
    <row r="203" spans="3:61 15027:15419" s="1" customFormat="1" ht="15" hidden="1" customHeight="1" x14ac:dyDescent="0.25">
      <c r="C203" s="15"/>
      <c r="D203" s="11" t="s">
        <v>27</v>
      </c>
      <c r="E203" s="126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1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 t="e">
        <v>#DIV/0!</v>
      </c>
      <c r="AK203" s="34" t="e">
        <v>#DIV/0!</v>
      </c>
      <c r="AM203" s="58" t="e">
        <v>#DIV/0!</v>
      </c>
      <c r="BI203" s="142"/>
    </row>
    <row r="204" spans="3:61 15027:15419" s="1" customFormat="1" ht="15.75" hidden="1" customHeight="1" thickBot="1" x14ac:dyDescent="0.3">
      <c r="C204" s="19"/>
      <c r="D204" s="11" t="s">
        <v>26</v>
      </c>
      <c r="E204" s="126">
        <v>0.5</v>
      </c>
      <c r="F204" s="20" t="s">
        <v>25</v>
      </c>
      <c r="G204" s="34" t="e">
        <v>#DIV/0!</v>
      </c>
      <c r="H204" s="34" t="e">
        <v>#DIV/0!</v>
      </c>
      <c r="I204" s="34" t="e">
        <v>#DIV/0!</v>
      </c>
      <c r="J204" s="34" t="e">
        <v>#DIV/0!</v>
      </c>
      <c r="K204" s="34" t="e">
        <v>#DIV/0!</v>
      </c>
      <c r="L204" s="34" t="e">
        <v>#DIV/0!</v>
      </c>
      <c r="M204" s="34" t="e">
        <v>#DIV/0!</v>
      </c>
      <c r="N204" s="34" t="e">
        <v>#DIV/0!</v>
      </c>
      <c r="O204" s="34" t="e">
        <v>#DIV/0!</v>
      </c>
      <c r="P204" s="34" t="e">
        <v>#DIV/0!</v>
      </c>
      <c r="Q204" s="34" t="e">
        <v>#DIV/0!</v>
      </c>
      <c r="R204" s="34" t="e">
        <v>#DIV/0!</v>
      </c>
      <c r="S204" s="1961" t="e">
        <v>#DIV/0!</v>
      </c>
      <c r="T204" s="34" t="e">
        <v>#DIV/0!</v>
      </c>
      <c r="U204" s="34" t="e">
        <v>#DIV/0!</v>
      </c>
      <c r="V204" s="34" t="e">
        <v>#DIV/0!</v>
      </c>
      <c r="W204" s="34" t="e">
        <v>#DIV/0!</v>
      </c>
      <c r="X204" s="34" t="e">
        <v>#DIV/0!</v>
      </c>
      <c r="Y204" s="34" t="e">
        <v>#DIV/0!</v>
      </c>
      <c r="Z204" s="34" t="e">
        <v>#DIV/0!</v>
      </c>
      <c r="AA204" s="34" t="e">
        <v>#DIV/0!</v>
      </c>
      <c r="AB204" s="34" t="e">
        <v>#DIV/0!</v>
      </c>
      <c r="AC204" s="34" t="e">
        <v>#DIV/0!</v>
      </c>
      <c r="AD204" s="34" t="e">
        <v>#DIV/0!</v>
      </c>
      <c r="AE204" s="34" t="e">
        <v>#DIV/0!</v>
      </c>
      <c r="AF204" s="34" t="e">
        <v>#DIV/0!</v>
      </c>
      <c r="AG204" s="34" t="e">
        <v>#DIV/0!</v>
      </c>
      <c r="AH204" s="34" t="e">
        <v>#DIV/0!</v>
      </c>
      <c r="AI204" s="34"/>
      <c r="AJ204" s="34" t="e">
        <v>#DIV/0!</v>
      </c>
      <c r="AK204" s="34" t="e">
        <v>#DIV/0!</v>
      </c>
      <c r="AM204" s="58" t="e">
        <v>#DIV/0!</v>
      </c>
      <c r="BI204" s="142"/>
    </row>
    <row r="205" spans="3:61 15027:15419" s="1" customFormat="1" ht="15" hidden="1" customHeight="1" x14ac:dyDescent="0.25">
      <c r="C205" s="8">
        <v>7</v>
      </c>
      <c r="D205" s="47" t="s">
        <v>87</v>
      </c>
      <c r="E205" s="127"/>
      <c r="F205" s="128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197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129"/>
      <c r="AM205" s="78" t="s">
        <v>130</v>
      </c>
    </row>
    <row r="206" spans="3:61 15027:15419" s="1" customFormat="1" ht="15" hidden="1" customHeight="1" x14ac:dyDescent="0.25">
      <c r="C206" s="15"/>
      <c r="D206" s="26" t="s">
        <v>92</v>
      </c>
      <c r="E206" s="126"/>
      <c r="F206" s="20" t="s">
        <v>14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196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18"/>
      <c r="AM206" s="89">
        <v>0</v>
      </c>
    </row>
    <row r="207" spans="3:61 15027:15419" s="1" customFormat="1" ht="15" hidden="1" customHeight="1" x14ac:dyDescent="0.25">
      <c r="C207" s="15"/>
      <c r="D207" s="11" t="s">
        <v>93</v>
      </c>
      <c r="E207" s="126"/>
      <c r="F207" s="20" t="s">
        <v>14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1961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18"/>
      <c r="AM207" s="89">
        <v>0</v>
      </c>
    </row>
    <row r="208" spans="3:61 15027:15419" s="1" customFormat="1" ht="15" hidden="1" customHeight="1" x14ac:dyDescent="0.25">
      <c r="C208" s="15"/>
      <c r="D208" s="11" t="s">
        <v>39</v>
      </c>
      <c r="E208" s="126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1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>
        <v>0</v>
      </c>
      <c r="AK208" s="34">
        <v>0</v>
      </c>
      <c r="AL208" s="18"/>
      <c r="AM208" s="89">
        <v>0</v>
      </c>
    </row>
    <row r="209" spans="3:39" s="1" customFormat="1" ht="15" hidden="1" customHeight="1" x14ac:dyDescent="0.25">
      <c r="C209" s="15"/>
      <c r="D209" s="11" t="s">
        <v>38</v>
      </c>
      <c r="E209" s="126"/>
      <c r="F209" s="20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1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>
        <v>0</v>
      </c>
      <c r="AK209" s="34">
        <v>0</v>
      </c>
      <c r="AL209" s="18"/>
      <c r="AM209" s="89">
        <v>0</v>
      </c>
    </row>
    <row r="210" spans="3:39" s="1" customFormat="1" ht="15" hidden="1" customHeight="1" x14ac:dyDescent="0.25">
      <c r="C210" s="15"/>
      <c r="D210" s="30" t="s">
        <v>50</v>
      </c>
      <c r="E210" s="126"/>
      <c r="F210" s="13" t="s">
        <v>14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1961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/>
      <c r="AJ210" s="34">
        <v>0</v>
      </c>
      <c r="AK210" s="34">
        <v>0</v>
      </c>
      <c r="AL210" s="18"/>
      <c r="AM210" s="58">
        <v>0</v>
      </c>
    </row>
    <row r="211" spans="3:39" s="1" customFormat="1" ht="15" hidden="1" customHeight="1" x14ac:dyDescent="0.25">
      <c r="C211" s="15"/>
      <c r="D211" s="11" t="s">
        <v>29</v>
      </c>
      <c r="E211" s="126"/>
      <c r="F211" s="20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1961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18"/>
      <c r="AM211" s="58" t="s">
        <v>29</v>
      </c>
    </row>
    <row r="212" spans="3:39" s="1" customFormat="1" ht="15" hidden="1" customHeight="1" x14ac:dyDescent="0.25">
      <c r="C212" s="15"/>
      <c r="D212" s="11" t="s">
        <v>88</v>
      </c>
      <c r="E212" s="126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0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1">
        <v>0</v>
      </c>
    </row>
    <row r="213" spans="3:39" s="1" customFormat="1" ht="15" hidden="1" customHeight="1" x14ac:dyDescent="0.25">
      <c r="C213" s="15"/>
      <c r="D213" s="11" t="s">
        <v>117</v>
      </c>
      <c r="E213" s="126"/>
      <c r="F213" s="20" t="s">
        <v>31</v>
      </c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60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18"/>
      <c r="AM213" s="91">
        <v>0</v>
      </c>
    </row>
    <row r="214" spans="3:39" s="1" customFormat="1" ht="15" hidden="1" customHeight="1" x14ac:dyDescent="0.25">
      <c r="C214" s="15"/>
      <c r="D214" s="38" t="s">
        <v>28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61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28</v>
      </c>
    </row>
    <row r="215" spans="3:39" s="1" customFormat="1" ht="15" hidden="1" customHeight="1" x14ac:dyDescent="0.25">
      <c r="C215" s="15"/>
      <c r="D215" s="11" t="s">
        <v>88</v>
      </c>
      <c r="E215" s="126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0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>
        <v>0</v>
      </c>
      <c r="AK215" s="33">
        <v>0</v>
      </c>
      <c r="AL215" s="6"/>
      <c r="AM215" s="54">
        <v>0</v>
      </c>
    </row>
    <row r="216" spans="3:39" s="1" customFormat="1" ht="15" hidden="1" customHeight="1" x14ac:dyDescent="0.25">
      <c r="C216" s="15"/>
      <c r="D216" s="11" t="s">
        <v>117</v>
      </c>
      <c r="E216" s="126"/>
      <c r="F216" s="20" t="s">
        <v>28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0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>
        <v>0</v>
      </c>
      <c r="AK216" s="33">
        <v>0</v>
      </c>
      <c r="AL216" s="6"/>
      <c r="AM216" s="54"/>
    </row>
    <row r="217" spans="3:39" s="1" customFormat="1" ht="15" hidden="1" customHeight="1" x14ac:dyDescent="0.25">
      <c r="C217" s="15"/>
      <c r="D217" s="11" t="s">
        <v>36</v>
      </c>
      <c r="E217" s="126"/>
      <c r="F217" s="20" t="s">
        <v>35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0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>
        <v>0</v>
      </c>
      <c r="AK217" s="33">
        <v>0</v>
      </c>
      <c r="AL217" s="6"/>
      <c r="AM217" s="54">
        <v>0</v>
      </c>
    </row>
    <row r="218" spans="3:39" s="1" customFormat="1" ht="15" hidden="1" customHeight="1" x14ac:dyDescent="0.25">
      <c r="C218" s="15"/>
      <c r="D218" s="11" t="s">
        <v>34</v>
      </c>
      <c r="E218" s="126"/>
      <c r="F218" s="20" t="s">
        <v>33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60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>
        <v>0</v>
      </c>
      <c r="AK218" s="33">
        <v>0</v>
      </c>
      <c r="AL218" s="6"/>
      <c r="AM218" s="96">
        <v>0</v>
      </c>
    </row>
    <row r="219" spans="3:39" s="1" customFormat="1" ht="15" hidden="1" customHeight="1" x14ac:dyDescent="0.25">
      <c r="C219" s="15"/>
      <c r="D219" s="47" t="s">
        <v>32</v>
      </c>
      <c r="E219" s="127"/>
      <c r="F219" s="92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97"/>
      <c r="AM219" s="98" t="s">
        <v>131</v>
      </c>
    </row>
    <row r="220" spans="3:39" s="1" customFormat="1" ht="15" hidden="1" customHeight="1" x14ac:dyDescent="0.25">
      <c r="C220" s="15"/>
      <c r="D220" s="11" t="s">
        <v>29</v>
      </c>
      <c r="E220" s="126"/>
      <c r="F220" s="20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1961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18"/>
      <c r="AM220" s="58"/>
    </row>
    <row r="221" spans="3:39" s="1" customFormat="1" ht="15" hidden="1" customHeight="1" x14ac:dyDescent="0.25">
      <c r="C221" s="15"/>
      <c r="D221" s="11" t="s">
        <v>88</v>
      </c>
      <c r="E221" s="126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0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1">
        <v>0</v>
      </c>
    </row>
    <row r="222" spans="3:39" s="1" customFormat="1" ht="15" hidden="1" customHeight="1" x14ac:dyDescent="0.25">
      <c r="C222" s="15"/>
      <c r="D222" s="11" t="s">
        <v>117</v>
      </c>
      <c r="E222" s="126"/>
      <c r="F222" s="20" t="s">
        <v>31</v>
      </c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60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18"/>
      <c r="AM222" s="91">
        <v>0</v>
      </c>
    </row>
    <row r="223" spans="3:39" s="1" customFormat="1" ht="15" hidden="1" customHeight="1" x14ac:dyDescent="0.25">
      <c r="C223" s="15"/>
      <c r="D223" s="11" t="s">
        <v>28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61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</row>
    <row r="224" spans="3:39" s="1" customFormat="1" ht="15" hidden="1" customHeight="1" x14ac:dyDescent="0.25">
      <c r="C224" s="15"/>
      <c r="D224" s="11" t="s">
        <v>88</v>
      </c>
      <c r="E224" s="126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0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>
        <v>0</v>
      </c>
      <c r="AK224" s="33">
        <v>0</v>
      </c>
      <c r="AL224" s="18"/>
      <c r="AM224" s="91">
        <v>0</v>
      </c>
    </row>
    <row r="225" spans="3:61 15027:15419" s="1" customFormat="1" ht="15" hidden="1" customHeight="1" x14ac:dyDescent="0.25">
      <c r="C225" s="15"/>
      <c r="D225" s="11" t="s">
        <v>117</v>
      </c>
      <c r="E225" s="126"/>
      <c r="F225" s="20" t="s">
        <v>28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1960">
        <v>0</v>
      </c>
      <c r="T225" s="33">
        <v>0</v>
      </c>
      <c r="U225" s="33">
        <v>0</v>
      </c>
      <c r="V225" s="33">
        <v>0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0</v>
      </c>
      <c r="AC225" s="33">
        <v>0</v>
      </c>
      <c r="AD225" s="33">
        <v>0</v>
      </c>
      <c r="AE225" s="33">
        <v>0</v>
      </c>
      <c r="AF225" s="33">
        <v>0</v>
      </c>
      <c r="AG225" s="33">
        <v>0</v>
      </c>
      <c r="AH225" s="33">
        <v>0</v>
      </c>
      <c r="AI225" s="33"/>
      <c r="AJ225" s="33">
        <v>0</v>
      </c>
      <c r="AK225" s="33">
        <v>0</v>
      </c>
      <c r="AL225" s="18"/>
      <c r="AM225" s="91">
        <v>0</v>
      </c>
    </row>
    <row r="226" spans="3:61 15027:15419" s="1" customFormat="1" ht="15" hidden="1" customHeight="1" x14ac:dyDescent="0.25">
      <c r="C226" s="15"/>
      <c r="D226" s="47" t="s">
        <v>30</v>
      </c>
      <c r="E226" s="130"/>
      <c r="F226" s="99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1966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272"/>
      <c r="AL226" s="18"/>
      <c r="AM226" s="78" t="s">
        <v>131</v>
      </c>
    </row>
    <row r="227" spans="3:61 15027:15419" s="1" customFormat="1" ht="15" hidden="1" customHeight="1" x14ac:dyDescent="0.25">
      <c r="C227" s="15"/>
      <c r="D227" s="30" t="s">
        <v>29</v>
      </c>
      <c r="E227" s="126"/>
      <c r="F227" s="20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60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18"/>
      <c r="AM227" s="91"/>
    </row>
    <row r="228" spans="3:61 15027:15419" s="1" customFormat="1" ht="15" hidden="1" customHeight="1" x14ac:dyDescent="0.25">
      <c r="C228" s="15"/>
      <c r="D228" s="11" t="s">
        <v>88</v>
      </c>
      <c r="E228" s="126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0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 t="e">
        <v>#DIV/0!</v>
      </c>
      <c r="AK228" s="33" t="e">
        <v>#DIV/0!</v>
      </c>
      <c r="AL228" s="18"/>
      <c r="AM228" s="100" t="e">
        <v>#DIV/0!</v>
      </c>
    </row>
    <row r="229" spans="3:61 15027:15419" s="1" customFormat="1" ht="15" hidden="1" customHeight="1" x14ac:dyDescent="0.25">
      <c r="C229" s="15"/>
      <c r="D229" s="11" t="s">
        <v>117</v>
      </c>
      <c r="E229" s="126">
        <v>0.3</v>
      </c>
      <c r="F229" s="20" t="s">
        <v>25</v>
      </c>
      <c r="G229" s="33" t="e">
        <v>#DIV/0!</v>
      </c>
      <c r="H229" s="33" t="e">
        <v>#DIV/0!</v>
      </c>
      <c r="I229" s="33" t="e">
        <v>#DIV/0!</v>
      </c>
      <c r="J229" s="33" t="e">
        <v>#DIV/0!</v>
      </c>
      <c r="K229" s="33" t="e">
        <v>#DIV/0!</v>
      </c>
      <c r="L229" s="33" t="e">
        <v>#DIV/0!</v>
      </c>
      <c r="M229" s="33" t="e">
        <v>#DIV/0!</v>
      </c>
      <c r="N229" s="33" t="e">
        <v>#DIV/0!</v>
      </c>
      <c r="O229" s="33" t="e">
        <v>#DIV/0!</v>
      </c>
      <c r="P229" s="33" t="e">
        <v>#DIV/0!</v>
      </c>
      <c r="Q229" s="33" t="e">
        <v>#DIV/0!</v>
      </c>
      <c r="R229" s="33" t="e">
        <v>#DIV/0!</v>
      </c>
      <c r="S229" s="1960" t="e">
        <v>#DIV/0!</v>
      </c>
      <c r="T229" s="33" t="e">
        <v>#DIV/0!</v>
      </c>
      <c r="U229" s="33" t="e">
        <v>#DIV/0!</v>
      </c>
      <c r="V229" s="33" t="e">
        <v>#DIV/0!</v>
      </c>
      <c r="W229" s="33" t="e">
        <v>#DIV/0!</v>
      </c>
      <c r="X229" s="33" t="e">
        <v>#DIV/0!</v>
      </c>
      <c r="Y229" s="33" t="e">
        <v>#DIV/0!</v>
      </c>
      <c r="Z229" s="33" t="e">
        <v>#DIV/0!</v>
      </c>
      <c r="AA229" s="33" t="e">
        <v>#DIV/0!</v>
      </c>
      <c r="AB229" s="33" t="e">
        <v>#DIV/0!</v>
      </c>
      <c r="AC229" s="33" t="e">
        <v>#DIV/0!</v>
      </c>
      <c r="AD229" s="33" t="e">
        <v>#DIV/0!</v>
      </c>
      <c r="AE229" s="33" t="e">
        <v>#DIV/0!</v>
      </c>
      <c r="AF229" s="33" t="e">
        <v>#DIV/0!</v>
      </c>
      <c r="AG229" s="33" t="e">
        <v>#DIV/0!</v>
      </c>
      <c r="AH229" s="33" t="e">
        <v>#DIV/0!</v>
      </c>
      <c r="AI229" s="33"/>
      <c r="AJ229" s="33" t="e">
        <v>#DIV/0!</v>
      </c>
      <c r="AK229" s="33" t="e">
        <v>#DIV/0!</v>
      </c>
      <c r="AL229" s="18"/>
      <c r="AM229" s="100" t="e">
        <v>#DIV/0!</v>
      </c>
    </row>
    <row r="230" spans="3:61 15027:15419" s="1" customFormat="1" ht="15" hidden="1" customHeight="1" x14ac:dyDescent="0.25">
      <c r="C230" s="15"/>
      <c r="D230" s="30" t="s">
        <v>28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60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</row>
    <row r="231" spans="3:61 15027:15419" s="1" customFormat="1" ht="15" hidden="1" customHeight="1" x14ac:dyDescent="0.25">
      <c r="C231" s="15"/>
      <c r="D231" s="11" t="s">
        <v>88</v>
      </c>
      <c r="E231" s="126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0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 t="e">
        <v>#DIV/0!</v>
      </c>
      <c r="AK231" s="33" t="e">
        <v>#DIV/0!</v>
      </c>
      <c r="AL231" s="18"/>
      <c r="AM231" s="58" t="e">
        <v>#DIV/0!</v>
      </c>
    </row>
    <row r="232" spans="3:61 15027:15419" s="1" customFormat="1" ht="15" hidden="1" customHeight="1" x14ac:dyDescent="0.25">
      <c r="C232" s="15"/>
      <c r="D232" s="11" t="s">
        <v>117</v>
      </c>
      <c r="E232" s="126">
        <v>0.5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60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 t="e">
        <v>#DIV/0!</v>
      </c>
      <c r="AK232" s="33" t="e">
        <v>#DIV/0!</v>
      </c>
      <c r="AL232" s="18"/>
      <c r="AM232" s="58" t="e">
        <v>#DIV/0!</v>
      </c>
    </row>
    <row r="233" spans="3:61 15027:15419" s="1" customFormat="1" ht="15" hidden="1" customHeight="1" x14ac:dyDescent="0.25">
      <c r="C233" s="15"/>
      <c r="D233" s="101" t="s">
        <v>94</v>
      </c>
      <c r="E233" s="131"/>
      <c r="F233" s="102" t="s">
        <v>14</v>
      </c>
      <c r="G233" s="288">
        <v>0</v>
      </c>
      <c r="H233" s="288">
        <v>0</v>
      </c>
      <c r="I233" s="288">
        <v>0</v>
      </c>
      <c r="J233" s="288">
        <v>0</v>
      </c>
      <c r="K233" s="288">
        <v>0</v>
      </c>
      <c r="L233" s="288">
        <v>0</v>
      </c>
      <c r="M233" s="288">
        <v>0</v>
      </c>
      <c r="N233" s="288">
        <v>0</v>
      </c>
      <c r="O233" s="288">
        <v>0</v>
      </c>
      <c r="P233" s="288">
        <v>0</v>
      </c>
      <c r="Q233" s="288">
        <v>0</v>
      </c>
      <c r="R233" s="288">
        <v>0</v>
      </c>
      <c r="S233" s="1977">
        <v>0</v>
      </c>
      <c r="T233" s="288">
        <v>0</v>
      </c>
      <c r="U233" s="288">
        <v>0</v>
      </c>
      <c r="V233" s="288">
        <v>0</v>
      </c>
      <c r="W233" s="288">
        <v>0</v>
      </c>
      <c r="X233" s="288">
        <v>0</v>
      </c>
      <c r="Y233" s="288">
        <v>0</v>
      </c>
      <c r="Z233" s="288">
        <v>0</v>
      </c>
      <c r="AA233" s="288">
        <v>0</v>
      </c>
      <c r="AB233" s="288">
        <v>0</v>
      </c>
      <c r="AC233" s="288">
        <v>0</v>
      </c>
      <c r="AD233" s="288">
        <v>0</v>
      </c>
      <c r="AE233" s="288">
        <v>0</v>
      </c>
      <c r="AF233" s="288">
        <v>0</v>
      </c>
      <c r="AG233" s="288">
        <v>0</v>
      </c>
      <c r="AH233" s="288">
        <v>0</v>
      </c>
      <c r="AI233" s="288"/>
      <c r="AJ233" s="288">
        <v>0</v>
      </c>
      <c r="AK233" s="288">
        <v>0</v>
      </c>
      <c r="AL233" s="132"/>
      <c r="AM233" s="103">
        <v>0</v>
      </c>
    </row>
    <row r="234" spans="3:61 15027:15419" s="1" customFormat="1" ht="15" hidden="1" customHeight="1" x14ac:dyDescent="0.25">
      <c r="C234" s="15"/>
      <c r="D234" s="71" t="s">
        <v>118</v>
      </c>
      <c r="E234" s="133"/>
      <c r="F234" s="65" t="s">
        <v>14</v>
      </c>
      <c r="G234" s="289">
        <v>0</v>
      </c>
      <c r="H234" s="289">
        <v>0</v>
      </c>
      <c r="I234" s="289">
        <v>0</v>
      </c>
      <c r="J234" s="289">
        <v>0</v>
      </c>
      <c r="K234" s="289">
        <v>0</v>
      </c>
      <c r="L234" s="289">
        <v>0</v>
      </c>
      <c r="M234" s="289">
        <v>0</v>
      </c>
      <c r="N234" s="289">
        <v>0</v>
      </c>
      <c r="O234" s="289">
        <v>0</v>
      </c>
      <c r="P234" s="289">
        <v>0</v>
      </c>
      <c r="Q234" s="289">
        <v>0</v>
      </c>
      <c r="R234" s="289">
        <v>0</v>
      </c>
      <c r="S234" s="1978">
        <v>0</v>
      </c>
      <c r="T234" s="289">
        <v>0</v>
      </c>
      <c r="U234" s="289">
        <v>0</v>
      </c>
      <c r="V234" s="289">
        <v>0</v>
      </c>
      <c r="W234" s="289">
        <v>0</v>
      </c>
      <c r="X234" s="289">
        <v>0</v>
      </c>
      <c r="Y234" s="289">
        <v>0</v>
      </c>
      <c r="Z234" s="289">
        <v>0</v>
      </c>
      <c r="AA234" s="289">
        <v>0</v>
      </c>
      <c r="AB234" s="289">
        <v>0</v>
      </c>
      <c r="AC234" s="289">
        <v>0</v>
      </c>
      <c r="AD234" s="289">
        <v>0</v>
      </c>
      <c r="AE234" s="289">
        <v>0</v>
      </c>
      <c r="AF234" s="289">
        <v>0</v>
      </c>
      <c r="AG234" s="289">
        <v>0</v>
      </c>
      <c r="AH234" s="289">
        <v>0</v>
      </c>
      <c r="AI234" s="289"/>
      <c r="AJ234" s="289">
        <v>0</v>
      </c>
      <c r="AK234" s="289">
        <v>0</v>
      </c>
      <c r="AL234" s="132"/>
      <c r="AM234" s="57">
        <v>0</v>
      </c>
    </row>
    <row r="235" spans="3:61 15027:15419" s="1" customFormat="1" ht="15" hidden="1" customHeight="1" x14ac:dyDescent="0.25">
      <c r="C235" s="15"/>
      <c r="D235" s="104" t="s">
        <v>89</v>
      </c>
      <c r="E235" s="134"/>
      <c r="F235" s="105" t="s">
        <v>14</v>
      </c>
      <c r="G235" s="290">
        <v>0</v>
      </c>
      <c r="H235" s="290">
        <v>0</v>
      </c>
      <c r="I235" s="290">
        <v>0</v>
      </c>
      <c r="J235" s="290">
        <v>0</v>
      </c>
      <c r="K235" s="290">
        <v>0</v>
      </c>
      <c r="L235" s="290">
        <v>0</v>
      </c>
      <c r="M235" s="290">
        <v>0</v>
      </c>
      <c r="N235" s="290">
        <v>0</v>
      </c>
      <c r="O235" s="290">
        <v>0</v>
      </c>
      <c r="P235" s="290">
        <v>0</v>
      </c>
      <c r="Q235" s="290">
        <v>0</v>
      </c>
      <c r="R235" s="290">
        <v>0</v>
      </c>
      <c r="S235" s="1979">
        <v>0</v>
      </c>
      <c r="T235" s="290">
        <v>0</v>
      </c>
      <c r="U235" s="290">
        <v>0</v>
      </c>
      <c r="V235" s="290">
        <v>0</v>
      </c>
      <c r="W235" s="290">
        <v>0</v>
      </c>
      <c r="X235" s="290">
        <v>0</v>
      </c>
      <c r="Y235" s="290">
        <v>0</v>
      </c>
      <c r="Z235" s="290">
        <v>0</v>
      </c>
      <c r="AA235" s="290">
        <v>0</v>
      </c>
      <c r="AB235" s="290">
        <v>0</v>
      </c>
      <c r="AC235" s="290">
        <v>0</v>
      </c>
      <c r="AD235" s="290">
        <v>0</v>
      </c>
      <c r="AE235" s="290">
        <v>0</v>
      </c>
      <c r="AF235" s="290">
        <v>0</v>
      </c>
      <c r="AG235" s="290">
        <v>0</v>
      </c>
      <c r="AH235" s="290">
        <v>0</v>
      </c>
      <c r="AI235" s="290"/>
      <c r="AJ235" s="290">
        <v>0</v>
      </c>
      <c r="AK235" s="290">
        <v>0</v>
      </c>
      <c r="AL235" s="132"/>
      <c r="AM235" s="106">
        <v>0</v>
      </c>
    </row>
    <row r="236" spans="3:61 15027:15419" s="1" customFormat="1" ht="15" hidden="1" customHeight="1" x14ac:dyDescent="0.25">
      <c r="C236" s="15"/>
      <c r="D236" s="107" t="s">
        <v>90</v>
      </c>
      <c r="E236" s="135"/>
      <c r="F236" s="108" t="s">
        <v>86</v>
      </c>
      <c r="G236" s="291">
        <v>0</v>
      </c>
      <c r="H236" s="291">
        <v>0</v>
      </c>
      <c r="I236" s="291">
        <v>0</v>
      </c>
      <c r="J236" s="291">
        <v>0</v>
      </c>
      <c r="K236" s="291">
        <v>0</v>
      </c>
      <c r="L236" s="291">
        <v>0</v>
      </c>
      <c r="M236" s="291">
        <v>0</v>
      </c>
      <c r="N236" s="291">
        <v>0</v>
      </c>
      <c r="O236" s="291">
        <v>0</v>
      </c>
      <c r="P236" s="291">
        <v>0</v>
      </c>
      <c r="Q236" s="291">
        <v>0</v>
      </c>
      <c r="R236" s="291">
        <v>0</v>
      </c>
      <c r="S236" s="1980">
        <v>0</v>
      </c>
      <c r="T236" s="291">
        <v>0</v>
      </c>
      <c r="U236" s="291">
        <v>0</v>
      </c>
      <c r="V236" s="291">
        <v>0</v>
      </c>
      <c r="W236" s="291">
        <v>0</v>
      </c>
      <c r="X236" s="291">
        <v>0</v>
      </c>
      <c r="Y236" s="291">
        <v>0</v>
      </c>
      <c r="Z236" s="291">
        <v>0</v>
      </c>
      <c r="AA236" s="291">
        <v>0</v>
      </c>
      <c r="AB236" s="291">
        <v>0</v>
      </c>
      <c r="AC236" s="291">
        <v>0</v>
      </c>
      <c r="AD236" s="291">
        <v>0</v>
      </c>
      <c r="AE236" s="291">
        <v>0</v>
      </c>
      <c r="AF236" s="291">
        <v>0</v>
      </c>
      <c r="AG236" s="291">
        <v>0</v>
      </c>
      <c r="AH236" s="291">
        <v>0</v>
      </c>
      <c r="AI236" s="291"/>
      <c r="AJ236" s="291">
        <v>0</v>
      </c>
      <c r="AK236" s="291">
        <v>0</v>
      </c>
      <c r="AL236" s="132"/>
      <c r="AM236" s="109">
        <v>0</v>
      </c>
    </row>
    <row r="237" spans="3:61 15027:15419" s="1" customFormat="1" ht="15" hidden="1" customHeight="1" x14ac:dyDescent="0.25">
      <c r="C237" s="15"/>
      <c r="D237" s="110" t="s">
        <v>95</v>
      </c>
      <c r="E237" s="135"/>
      <c r="F237" s="111" t="s">
        <v>14</v>
      </c>
      <c r="G237" s="292">
        <v>0</v>
      </c>
      <c r="H237" s="292">
        <v>0</v>
      </c>
      <c r="I237" s="292">
        <v>0</v>
      </c>
      <c r="J237" s="292">
        <v>0</v>
      </c>
      <c r="K237" s="292">
        <v>0</v>
      </c>
      <c r="L237" s="292">
        <v>0</v>
      </c>
      <c r="M237" s="292">
        <v>0</v>
      </c>
      <c r="N237" s="292">
        <v>0</v>
      </c>
      <c r="O237" s="292">
        <v>0</v>
      </c>
      <c r="P237" s="292">
        <v>0</v>
      </c>
      <c r="Q237" s="292">
        <v>0</v>
      </c>
      <c r="R237" s="292">
        <v>0</v>
      </c>
      <c r="S237" s="1981">
        <v>0</v>
      </c>
      <c r="T237" s="292">
        <v>0</v>
      </c>
      <c r="U237" s="292">
        <v>0</v>
      </c>
      <c r="V237" s="292">
        <v>0</v>
      </c>
      <c r="W237" s="292">
        <v>0</v>
      </c>
      <c r="X237" s="292">
        <v>0</v>
      </c>
      <c r="Y237" s="292">
        <v>0</v>
      </c>
      <c r="Z237" s="292">
        <v>0</v>
      </c>
      <c r="AA237" s="292">
        <v>0</v>
      </c>
      <c r="AB237" s="292">
        <v>0</v>
      </c>
      <c r="AC237" s="292">
        <v>0</v>
      </c>
      <c r="AD237" s="292">
        <v>0</v>
      </c>
      <c r="AE237" s="292">
        <v>0</v>
      </c>
      <c r="AF237" s="292">
        <v>0</v>
      </c>
      <c r="AG237" s="292">
        <v>0</v>
      </c>
      <c r="AH237" s="292">
        <v>0</v>
      </c>
      <c r="AI237" s="292"/>
      <c r="AJ237" s="292">
        <v>0</v>
      </c>
      <c r="AK237" s="292">
        <v>0</v>
      </c>
      <c r="AL237" s="113"/>
      <c r="AM237" s="114">
        <v>0</v>
      </c>
    </row>
    <row r="238" spans="3:61 15027:15419" s="1" customFormat="1" x14ac:dyDescent="0.25">
      <c r="C238" s="8">
        <v>4</v>
      </c>
      <c r="D238" s="75" t="s">
        <v>24</v>
      </c>
      <c r="E238" s="48"/>
      <c r="F238" s="77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1963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M238" s="81" t="s">
        <v>132</v>
      </c>
      <c r="BI238" s="141"/>
      <c r="VEY238" s="46"/>
      <c r="VEZ238" s="46"/>
      <c r="VFA238" s="46"/>
      <c r="VFB238" s="46"/>
      <c r="VFC238" s="46"/>
      <c r="VFD238" s="46"/>
      <c r="VFE238" s="46"/>
      <c r="VFF238" s="46"/>
      <c r="VFG238" s="46"/>
      <c r="VFH238" s="46"/>
      <c r="VFI238" s="46"/>
      <c r="VFJ238" s="46"/>
      <c r="VFK238" s="46"/>
      <c r="VFL238" s="46"/>
      <c r="VFM238" s="46"/>
      <c r="VFN238" s="46"/>
      <c r="VFO238" s="46"/>
      <c r="VFP238" s="46"/>
      <c r="VFQ238" s="46"/>
      <c r="VFR238" s="46"/>
      <c r="VFS238" s="46"/>
      <c r="VFT238" s="46"/>
      <c r="VFU238" s="46"/>
      <c r="VFV238" s="46"/>
      <c r="VFW238" s="46"/>
      <c r="VFX238" s="46"/>
      <c r="VFY238" s="46"/>
      <c r="VFZ238" s="46"/>
      <c r="VGA238" s="46"/>
      <c r="VGB238" s="46"/>
      <c r="VGC238" s="46"/>
      <c r="VGD238" s="46"/>
      <c r="VGE238" s="46"/>
      <c r="VGF238" s="46"/>
      <c r="VGG238" s="46"/>
      <c r="VGH238" s="46"/>
      <c r="VGI238" s="46"/>
      <c r="VGJ238" s="46"/>
      <c r="VGK238" s="46"/>
      <c r="VGL238" s="46"/>
      <c r="VGM238" s="46"/>
      <c r="VGN238" s="46"/>
      <c r="VGO238" s="46"/>
      <c r="VGP238" s="46"/>
      <c r="VGQ238" s="46"/>
      <c r="VGR238" s="46"/>
      <c r="VGS238" s="46"/>
      <c r="VGT238" s="46"/>
      <c r="VGU238" s="46"/>
      <c r="VGV238" s="46"/>
      <c r="VGW238" s="46"/>
      <c r="VGX238" s="46"/>
      <c r="VGY238" s="46"/>
      <c r="VGZ238" s="46"/>
      <c r="VHA238" s="46"/>
      <c r="VHB238" s="46"/>
      <c r="VHC238" s="46"/>
      <c r="VHD238" s="46"/>
      <c r="VHE238" s="46"/>
      <c r="VHF238" s="46"/>
      <c r="VHG238" s="46"/>
      <c r="VHH238" s="46"/>
      <c r="VHI238" s="46"/>
      <c r="VHJ238" s="46"/>
      <c r="VHK238" s="46"/>
      <c r="VHL238" s="46"/>
      <c r="VHM238" s="46"/>
      <c r="VHN238" s="46"/>
      <c r="VHO238" s="46"/>
      <c r="VHP238" s="46"/>
      <c r="VHQ238" s="46"/>
      <c r="VHR238" s="46"/>
      <c r="VHS238" s="46"/>
      <c r="VHT238" s="46"/>
      <c r="VHU238" s="46"/>
      <c r="VHV238" s="46"/>
      <c r="VHW238" s="46"/>
      <c r="VHX238" s="46"/>
      <c r="VHY238" s="46"/>
      <c r="VHZ238" s="46"/>
      <c r="VIA238" s="46"/>
      <c r="VIB238" s="46"/>
      <c r="VIC238" s="46"/>
      <c r="VID238" s="46"/>
      <c r="VIE238" s="46"/>
      <c r="VIF238" s="46"/>
      <c r="VIG238" s="46"/>
      <c r="VIH238" s="46"/>
      <c r="VII238" s="46"/>
      <c r="VIJ238" s="46"/>
      <c r="VIK238" s="46"/>
      <c r="VIL238" s="46"/>
      <c r="VIM238" s="46"/>
      <c r="VIN238" s="46"/>
      <c r="VIO238" s="46"/>
      <c r="VIP238" s="46"/>
      <c r="VIQ238" s="46"/>
      <c r="VIR238" s="46"/>
      <c r="VIS238" s="46"/>
      <c r="VIT238" s="46"/>
      <c r="VIU238" s="46"/>
      <c r="VIV238" s="46"/>
      <c r="VIW238" s="46"/>
      <c r="VIX238" s="46"/>
      <c r="VIY238" s="46"/>
      <c r="VIZ238" s="46"/>
      <c r="VJA238" s="46"/>
      <c r="VJB238" s="46"/>
      <c r="VJC238" s="46"/>
      <c r="VJD238" s="46"/>
      <c r="VJE238" s="46"/>
      <c r="VJF238" s="46"/>
      <c r="VJG238" s="46"/>
      <c r="VJH238" s="46"/>
      <c r="VJI238" s="46"/>
      <c r="VJJ238" s="46"/>
      <c r="VJK238" s="46"/>
      <c r="VJL238" s="46"/>
      <c r="VJM238" s="46"/>
      <c r="VJN238" s="46"/>
      <c r="VJO238" s="46"/>
      <c r="VJP238" s="46"/>
      <c r="VJQ238" s="46"/>
      <c r="VJR238" s="46"/>
      <c r="VJS238" s="46"/>
      <c r="VJT238" s="46"/>
      <c r="VJU238" s="46"/>
      <c r="VJV238" s="46"/>
      <c r="VJW238" s="46"/>
      <c r="VJX238" s="46"/>
      <c r="VJY238" s="46"/>
      <c r="VJZ238" s="46"/>
      <c r="VKA238" s="46"/>
      <c r="VKB238" s="46"/>
      <c r="VKC238" s="46"/>
      <c r="VKD238" s="46"/>
      <c r="VKE238" s="46"/>
      <c r="VKF238" s="46"/>
      <c r="VKG238" s="46"/>
      <c r="VKH238" s="46"/>
      <c r="VKI238" s="46"/>
      <c r="VKJ238" s="46"/>
      <c r="VKK238" s="46"/>
      <c r="VKL238" s="46"/>
      <c r="VKM238" s="46"/>
      <c r="VKN238" s="46"/>
      <c r="VKO238" s="46"/>
      <c r="VKP238" s="46"/>
      <c r="VKQ238" s="46"/>
      <c r="VKR238" s="46"/>
      <c r="VKS238" s="46"/>
      <c r="VKT238" s="46"/>
      <c r="VKU238" s="46"/>
      <c r="VKV238" s="46"/>
      <c r="VKW238" s="46"/>
      <c r="VKX238" s="46"/>
      <c r="VKY238" s="46"/>
      <c r="VKZ238" s="46"/>
      <c r="VLA238" s="46"/>
      <c r="VLB238" s="46"/>
      <c r="VLC238" s="46"/>
      <c r="VLD238" s="46"/>
      <c r="VLE238" s="46"/>
      <c r="VLF238" s="46"/>
      <c r="VLG238" s="46"/>
      <c r="VLH238" s="46"/>
      <c r="VLI238" s="46"/>
      <c r="VLJ238" s="46"/>
      <c r="VLK238" s="46"/>
      <c r="VLL238" s="46"/>
      <c r="VLM238" s="46"/>
      <c r="VLN238" s="46"/>
      <c r="VLO238" s="46"/>
      <c r="VLP238" s="46"/>
      <c r="VLQ238" s="46"/>
      <c r="VLR238" s="46"/>
      <c r="VLS238" s="46"/>
      <c r="VLT238" s="46"/>
      <c r="VLU238" s="46"/>
      <c r="VLV238" s="46"/>
      <c r="VLW238" s="46"/>
      <c r="VLX238" s="46"/>
      <c r="VLY238" s="46"/>
      <c r="VLZ238" s="46"/>
      <c r="VMA238" s="46"/>
      <c r="VMB238" s="46"/>
      <c r="VMC238" s="46"/>
      <c r="VMD238" s="46"/>
      <c r="VME238" s="46"/>
      <c r="VMF238" s="46"/>
      <c r="VMG238" s="46"/>
      <c r="VMH238" s="46"/>
      <c r="VMI238" s="46"/>
      <c r="VMJ238" s="46"/>
      <c r="VMK238" s="46"/>
      <c r="VML238" s="46"/>
      <c r="VMM238" s="46"/>
      <c r="VMN238" s="46"/>
      <c r="VMO238" s="46"/>
      <c r="VMP238" s="46"/>
      <c r="VMQ238" s="46"/>
      <c r="VMR238" s="46"/>
      <c r="VMS238" s="46"/>
      <c r="VMT238" s="46"/>
      <c r="VMU238" s="46"/>
      <c r="VMV238" s="46"/>
      <c r="VMW238" s="46"/>
      <c r="VMX238" s="46"/>
      <c r="VMY238" s="46"/>
      <c r="VMZ238" s="46"/>
      <c r="VNA238" s="46"/>
      <c r="VNB238" s="46"/>
      <c r="VNC238" s="46"/>
      <c r="VND238" s="46"/>
      <c r="VNE238" s="46"/>
      <c r="VNF238" s="46"/>
      <c r="VNG238" s="46"/>
      <c r="VNH238" s="46"/>
      <c r="VNI238" s="46"/>
      <c r="VNJ238" s="46"/>
      <c r="VNK238" s="46"/>
      <c r="VNL238" s="46"/>
      <c r="VNM238" s="46"/>
      <c r="VNN238" s="46"/>
      <c r="VNO238" s="46"/>
      <c r="VNP238" s="46"/>
      <c r="VNQ238" s="46"/>
      <c r="VNR238" s="46"/>
      <c r="VNS238" s="46"/>
      <c r="VNT238" s="46"/>
      <c r="VNU238" s="46"/>
      <c r="VNV238" s="46"/>
      <c r="VNW238" s="46"/>
      <c r="VNX238" s="46"/>
      <c r="VNY238" s="46"/>
      <c r="VNZ238" s="46"/>
      <c r="VOA238" s="46"/>
      <c r="VOB238" s="46"/>
      <c r="VOC238" s="46"/>
      <c r="VOD238" s="46"/>
      <c r="VOE238" s="46"/>
      <c r="VOF238" s="46"/>
      <c r="VOG238" s="46"/>
      <c r="VOH238" s="46"/>
      <c r="VOI238" s="46"/>
      <c r="VOJ238" s="46"/>
      <c r="VOK238" s="46"/>
      <c r="VOL238" s="46"/>
      <c r="VOM238" s="46"/>
      <c r="VON238" s="46"/>
      <c r="VOO238" s="46"/>
      <c r="VOP238" s="46"/>
      <c r="VOQ238" s="46"/>
      <c r="VOR238" s="46"/>
      <c r="VOS238" s="46"/>
      <c r="VOT238" s="46"/>
      <c r="VOU238" s="46"/>
      <c r="VOV238" s="46"/>
      <c r="VOW238" s="46"/>
      <c r="VOX238" s="46"/>
      <c r="VOY238" s="46"/>
      <c r="VOZ238" s="46"/>
      <c r="VPA238" s="46"/>
      <c r="VPB238" s="46"/>
      <c r="VPC238" s="46"/>
      <c r="VPD238" s="46"/>
      <c r="VPE238" s="46"/>
      <c r="VPF238" s="46"/>
      <c r="VPG238" s="46"/>
      <c r="VPH238" s="46"/>
      <c r="VPI238" s="46"/>
      <c r="VPJ238" s="46"/>
      <c r="VPK238" s="46"/>
      <c r="VPL238" s="46"/>
      <c r="VPM238" s="46"/>
      <c r="VPN238" s="46"/>
      <c r="VPO238" s="46"/>
      <c r="VPP238" s="46"/>
      <c r="VPQ238" s="46"/>
      <c r="VPR238" s="46"/>
      <c r="VPS238" s="46"/>
      <c r="VPT238" s="46"/>
      <c r="VPU238" s="46"/>
      <c r="VPV238" s="46"/>
      <c r="VPW238" s="46"/>
      <c r="VPX238" s="46"/>
      <c r="VPY238" s="46"/>
      <c r="VPZ238" s="46"/>
      <c r="VQA238" s="46"/>
      <c r="VQB238" s="46"/>
      <c r="VQC238" s="46"/>
      <c r="VQD238" s="46"/>
      <c r="VQE238" s="46"/>
      <c r="VQF238" s="46"/>
      <c r="VQG238" s="46"/>
      <c r="VQH238" s="46"/>
      <c r="VQI238" s="46"/>
      <c r="VQJ238" s="46"/>
      <c r="VQK238" s="46"/>
      <c r="VQL238" s="46"/>
      <c r="VQM238" s="46"/>
      <c r="VQN238" s="46"/>
      <c r="VQO238" s="46"/>
      <c r="VQP238" s="46"/>
      <c r="VQQ238" s="46"/>
      <c r="VQR238" s="46"/>
      <c r="VQS238" s="46"/>
      <c r="VQT238" s="46"/>
      <c r="VQU238" s="46"/>
      <c r="VQV238" s="46"/>
      <c r="VQW238" s="46"/>
      <c r="VQX238" s="46"/>
      <c r="VQY238" s="46"/>
      <c r="VQZ238" s="46"/>
      <c r="VRA238" s="46"/>
      <c r="VRB238" s="46"/>
      <c r="VRC238" s="46"/>
      <c r="VRD238" s="46"/>
      <c r="VRE238" s="46"/>
      <c r="VRF238" s="46"/>
      <c r="VRG238" s="46"/>
      <c r="VRH238" s="46"/>
      <c r="VRI238" s="46"/>
      <c r="VRJ238" s="46"/>
      <c r="VRK238" s="46"/>
      <c r="VRL238" s="46"/>
      <c r="VRM238" s="46"/>
      <c r="VRN238" s="46"/>
      <c r="VRO238" s="46"/>
      <c r="VRP238" s="46"/>
      <c r="VRQ238" s="46"/>
      <c r="VRR238" s="46"/>
      <c r="VRS238" s="46"/>
      <c r="VRT238" s="46"/>
      <c r="VRU238" s="46"/>
      <c r="VRV238" s="46"/>
      <c r="VRW238" s="46"/>
      <c r="VRX238" s="46"/>
      <c r="VRY238" s="46"/>
      <c r="VRZ238" s="46"/>
      <c r="VSA238" s="46"/>
      <c r="VSB238" s="46"/>
      <c r="VSC238" s="46"/>
      <c r="VSD238" s="46"/>
      <c r="VSE238" s="46"/>
      <c r="VSF238" s="46"/>
      <c r="VSG238" s="46"/>
      <c r="VSH238" s="46"/>
      <c r="VSI238" s="46"/>
      <c r="VSJ238" s="46"/>
      <c r="VSK238" s="46"/>
      <c r="VSL238" s="46"/>
      <c r="VSM238" s="46"/>
      <c r="VSN238" s="46"/>
      <c r="VSO238" s="46"/>
      <c r="VSP238" s="46"/>
      <c r="VSQ238" s="46"/>
      <c r="VSR238" s="46"/>
      <c r="VSS238" s="46"/>
      <c r="VST238" s="46"/>
      <c r="VSU238" s="46"/>
      <c r="VSV238" s="46"/>
      <c r="VSW238" s="46"/>
      <c r="VSX238" s="46"/>
      <c r="VSY238" s="46"/>
      <c r="VSZ238" s="46"/>
      <c r="VTA238" s="46"/>
      <c r="VTB238" s="46"/>
      <c r="VTC238" s="46"/>
      <c r="VTD238" s="46"/>
      <c r="VTE238" s="46"/>
      <c r="VTF238" s="46"/>
      <c r="VTG238" s="46"/>
      <c r="VTH238" s="46"/>
      <c r="VTI238" s="46"/>
      <c r="VTJ238" s="46"/>
      <c r="VTK238" s="46"/>
      <c r="VTL238" s="46"/>
      <c r="VTM238" s="46"/>
      <c r="VTN238" s="46"/>
      <c r="VTO238" s="46"/>
      <c r="VTP238" s="46"/>
      <c r="VTQ238" s="46"/>
      <c r="VTR238" s="46"/>
      <c r="VTS238" s="46"/>
      <c r="VTT238" s="46"/>
      <c r="VTU238" s="46"/>
      <c r="VTV238" s="46"/>
      <c r="VTW238" s="46"/>
      <c r="VTX238" s="46"/>
      <c r="VTY238" s="46"/>
      <c r="VTZ238" s="46"/>
      <c r="VUA238" s="46"/>
    </row>
    <row r="239" spans="3:61 15027:15419" s="62" customFormat="1" x14ac:dyDescent="0.25">
      <c r="C239" s="68"/>
      <c r="D239" s="235" t="s">
        <v>22</v>
      </c>
      <c r="E239" s="260">
        <v>1460.001</v>
      </c>
      <c r="F239" s="236" t="s">
        <v>19</v>
      </c>
      <c r="G239" s="293">
        <v>0</v>
      </c>
      <c r="H239" s="293">
        <v>0</v>
      </c>
      <c r="I239" s="293">
        <v>0</v>
      </c>
      <c r="J239" s="293">
        <v>0</v>
      </c>
      <c r="K239" s="293">
        <v>0</v>
      </c>
      <c r="L239" s="293">
        <v>0</v>
      </c>
      <c r="M239" s="293">
        <v>924.05089999999996</v>
      </c>
      <c r="N239" s="2110">
        <v>1080.2963</v>
      </c>
      <c r="O239" s="2125">
        <v>1181.8439000000001</v>
      </c>
      <c r="P239" s="2126">
        <v>1168.6705999999999</v>
      </c>
      <c r="Q239" s="2127">
        <v>943.98469999999998</v>
      </c>
      <c r="R239" s="2128">
        <v>888.53030000000001</v>
      </c>
      <c r="S239" s="2129">
        <v>880.95389999999998</v>
      </c>
      <c r="T239" s="2130">
        <v>996.73490000000004</v>
      </c>
      <c r="U239" s="2031">
        <v>1035.0761</v>
      </c>
      <c r="V239" s="293">
        <v>1014.269</v>
      </c>
      <c r="W239" s="2065">
        <v>920.52070000000003</v>
      </c>
      <c r="X239" s="2065">
        <v>989.07619999999997</v>
      </c>
      <c r="Y239" s="2065">
        <v>938.60419999999999</v>
      </c>
      <c r="Z239" s="2065">
        <v>981.95929999999998</v>
      </c>
      <c r="AA239" s="1994">
        <v>1026.5636</v>
      </c>
      <c r="AB239" s="293">
        <v>1138.9553000000001</v>
      </c>
      <c r="AC239" s="293">
        <v>1076.6636000000001</v>
      </c>
      <c r="AD239" s="293">
        <v>952.97699999999998</v>
      </c>
      <c r="AE239" s="293">
        <v>941.83429999999998</v>
      </c>
      <c r="AF239" s="293">
        <v>926.58600000000001</v>
      </c>
      <c r="AG239" s="293">
        <v>859.22190000000001</v>
      </c>
      <c r="AH239" s="293">
        <v>987.08090000000004</v>
      </c>
      <c r="AI239" s="293">
        <v>841.11019999999996</v>
      </c>
      <c r="AJ239" s="293">
        <v>928.18949999999995</v>
      </c>
      <c r="AK239" s="293">
        <v>964.40909999999997</v>
      </c>
      <c r="AM239" s="115">
        <f>SUM(G239:AK239)</f>
        <v>24588.162399999997</v>
      </c>
      <c r="BI239" s="143"/>
    </row>
    <row r="240" spans="3:61 15027:15419" s="62" customFormat="1" x14ac:dyDescent="0.25">
      <c r="C240" s="68"/>
      <c r="D240" s="235"/>
      <c r="E240" s="260"/>
      <c r="F240" s="236"/>
      <c r="G240" s="293"/>
      <c r="H240" s="293"/>
      <c r="I240" s="293"/>
      <c r="J240" s="293"/>
      <c r="K240" s="293"/>
      <c r="L240" s="293"/>
      <c r="M240" s="293"/>
      <c r="N240" s="2110"/>
      <c r="O240" s="293"/>
      <c r="P240" s="293"/>
      <c r="Q240" s="293"/>
      <c r="R240" s="2016"/>
      <c r="S240" s="2033"/>
      <c r="T240" s="2031"/>
      <c r="U240" s="2031"/>
      <c r="V240" s="293"/>
      <c r="W240" s="2065"/>
      <c r="X240" s="293"/>
      <c r="Y240" s="293"/>
      <c r="Z240" s="293"/>
      <c r="AA240" s="1994"/>
      <c r="AB240" s="293"/>
      <c r="AC240" s="293"/>
      <c r="AD240" s="293"/>
      <c r="AE240" s="293"/>
      <c r="AF240" s="293"/>
      <c r="AG240" s="293"/>
      <c r="AH240" s="293"/>
      <c r="AI240" s="293"/>
      <c r="AJ240" s="293"/>
      <c r="AK240" s="293"/>
      <c r="AM240" s="54">
        <f>AM239/AM6</f>
        <v>983.52649599999995</v>
      </c>
      <c r="BI240" s="143"/>
    </row>
    <row r="241" spans="1:61 15027:15419" s="1" customFormat="1" x14ac:dyDescent="0.25">
      <c r="C241" s="8"/>
      <c r="D241" s="235" t="s">
        <v>23</v>
      </c>
      <c r="E241" s="254"/>
      <c r="F241" s="236" t="s">
        <v>19</v>
      </c>
      <c r="G241" s="293">
        <v>0</v>
      </c>
      <c r="H241" s="293">
        <v>0</v>
      </c>
      <c r="I241" s="293">
        <v>0</v>
      </c>
      <c r="J241" s="293">
        <v>0</v>
      </c>
      <c r="K241" s="293">
        <v>0</v>
      </c>
      <c r="L241" s="293">
        <v>0</v>
      </c>
      <c r="M241" s="293">
        <v>352.47050000000002</v>
      </c>
      <c r="N241" s="2110">
        <v>975.88040000000001</v>
      </c>
      <c r="O241" s="2125">
        <v>1093.9471000000001</v>
      </c>
      <c r="P241" s="2126">
        <v>1192.9299000000001</v>
      </c>
      <c r="Q241" s="2126">
        <v>1198.8857</v>
      </c>
      <c r="R241" s="2128">
        <v>976.73389999999995</v>
      </c>
      <c r="S241" s="2129">
        <v>902.34889999999996</v>
      </c>
      <c r="T241" s="2130">
        <v>897.50800000000004</v>
      </c>
      <c r="U241" s="2031">
        <v>1008.6501</v>
      </c>
      <c r="V241" s="293">
        <v>1038.2379000000001</v>
      </c>
      <c r="W241" s="2065">
        <v>1035.9206999999999</v>
      </c>
      <c r="X241" s="2065">
        <v>939.37480000000005</v>
      </c>
      <c r="Y241" s="293">
        <v>993.01390000000004</v>
      </c>
      <c r="Z241" s="293">
        <v>935.34320000000002</v>
      </c>
      <c r="AA241" s="1994">
        <v>999.38890000000004</v>
      </c>
      <c r="AB241" s="293">
        <v>1056.2736</v>
      </c>
      <c r="AC241" s="293">
        <v>1163.4282000000001</v>
      </c>
      <c r="AD241" s="293">
        <v>1075.7879</v>
      </c>
      <c r="AE241" s="293">
        <v>952.45050000000003</v>
      </c>
      <c r="AF241" s="293">
        <v>955.32539999999995</v>
      </c>
      <c r="AG241" s="293">
        <v>938.09829999999999</v>
      </c>
      <c r="AH241" s="293">
        <v>857.42819999999995</v>
      </c>
      <c r="AI241" s="293">
        <v>991.81230000000005</v>
      </c>
      <c r="AJ241" s="293">
        <v>828.93719999999996</v>
      </c>
      <c r="AK241" s="293">
        <v>923.33810000000005</v>
      </c>
      <c r="AM241" s="115">
        <f>SUM(G241:AK241)</f>
        <v>24283.513600000002</v>
      </c>
      <c r="BI241" s="142"/>
    </row>
    <row r="242" spans="1:61 15027:15419" s="1" customFormat="1" x14ac:dyDescent="0.25">
      <c r="C242" s="15"/>
      <c r="D242" s="28" t="s">
        <v>11</v>
      </c>
      <c r="E242" s="254"/>
      <c r="F242" s="13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034"/>
      <c r="T242" s="2032"/>
      <c r="U242" s="2032"/>
      <c r="V242" s="295"/>
      <c r="W242" s="2066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M242" s="116" t="s">
        <v>11</v>
      </c>
      <c r="BI242" s="141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</row>
    <row r="243" spans="1:61 15027:15419" s="1" customFormat="1" x14ac:dyDescent="0.25">
      <c r="C243" s="15"/>
      <c r="D243" s="235" t="s">
        <v>21</v>
      </c>
      <c r="E243" s="252">
        <f>298</f>
        <v>298</v>
      </c>
      <c r="F243" s="236" t="s">
        <v>988</v>
      </c>
      <c r="G243" s="294">
        <v>0</v>
      </c>
      <c r="H243" s="294">
        <v>0</v>
      </c>
      <c r="I243" s="294">
        <v>0</v>
      </c>
      <c r="J243" s="294">
        <v>0</v>
      </c>
      <c r="K243" s="294">
        <v>0</v>
      </c>
      <c r="L243" s="294">
        <v>0</v>
      </c>
      <c r="M243" s="1634">
        <v>5445.8</v>
      </c>
      <c r="N243" s="275">
        <v>5810.5</v>
      </c>
      <c r="O243" s="275">
        <v>5948.9</v>
      </c>
      <c r="P243" s="275">
        <v>6108.5</v>
      </c>
      <c r="Q243" s="2155">
        <v>5078.5</v>
      </c>
      <c r="R243" s="2153">
        <v>5266.9</v>
      </c>
      <c r="S243" s="2154">
        <v>5177.5</v>
      </c>
      <c r="T243" s="2173">
        <v>6466.2</v>
      </c>
      <c r="U243" s="2030">
        <v>6088</v>
      </c>
      <c r="V243" s="275">
        <v>4873</v>
      </c>
      <c r="W243" s="2064">
        <v>5075</v>
      </c>
      <c r="X243" s="2064">
        <v>4607</v>
      </c>
      <c r="Y243" s="275">
        <v>5261</v>
      </c>
      <c r="Z243" s="275">
        <v>5977</v>
      </c>
      <c r="AA243" s="275">
        <v>6187</v>
      </c>
      <c r="AB243" s="275">
        <v>6815.5</v>
      </c>
      <c r="AC243" s="275">
        <v>6251.8</v>
      </c>
      <c r="AD243" s="275">
        <v>5082.1000000000004</v>
      </c>
      <c r="AE243" s="275">
        <v>5137.6000000000004</v>
      </c>
      <c r="AF243" s="275">
        <v>5733.3</v>
      </c>
      <c r="AG243" s="275">
        <v>4336.5</v>
      </c>
      <c r="AH243" s="275">
        <v>3235.2</v>
      </c>
      <c r="AI243" s="275">
        <v>4322.5</v>
      </c>
      <c r="AJ243" s="275">
        <v>4009.2</v>
      </c>
      <c r="AK243" s="275">
        <v>4295</v>
      </c>
      <c r="AM243" s="54">
        <f>SUM(G243:AK243)</f>
        <v>132589.5</v>
      </c>
      <c r="BH243" s="39"/>
      <c r="BI243" s="141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</row>
    <row r="244" spans="1:61 15027:15419" s="1" customFormat="1" x14ac:dyDescent="0.25">
      <c r="C244" s="15"/>
      <c r="D244" s="235"/>
      <c r="E244" s="252"/>
      <c r="F244" s="236" t="s">
        <v>19</v>
      </c>
      <c r="G244" s="294"/>
      <c r="H244" s="294"/>
      <c r="I244" s="294"/>
      <c r="J244" s="294"/>
      <c r="K244" s="294"/>
      <c r="L244" s="294"/>
      <c r="M244" s="1504">
        <v>104.99095792102101</v>
      </c>
      <c r="N244" s="245">
        <v>21.2348583231596</v>
      </c>
      <c r="O244" s="1504">
        <v>68.943763593051244</v>
      </c>
      <c r="P244" s="245">
        <v>27.883243781771853</v>
      </c>
      <c r="Q244" s="2152">
        <v>9.2041237637569111</v>
      </c>
      <c r="R244" s="2156">
        <v>87.649159878092405</v>
      </c>
      <c r="S244" s="2157">
        <v>86.894690968263006</v>
      </c>
      <c r="T244" s="2174">
        <v>14.775554620616617</v>
      </c>
      <c r="U244" s="2084">
        <v>128.11069451115799</v>
      </c>
      <c r="V244" s="275">
        <v>56.552118549505849</v>
      </c>
      <c r="W244" s="2064">
        <v>103.99444876643101</v>
      </c>
      <c r="X244" s="275">
        <v>26.636387927560008</v>
      </c>
      <c r="Y244" s="275">
        <v>209.589533342382</v>
      </c>
      <c r="Z244" s="275">
        <v>338.88669810594399</v>
      </c>
      <c r="AA244" s="275">
        <v>363.93485155610398</v>
      </c>
      <c r="AB244" s="275">
        <v>403.20768462682298</v>
      </c>
      <c r="AC244" s="275">
        <v>410.86890287346898</v>
      </c>
      <c r="AD244" s="275">
        <v>290.50518607554301</v>
      </c>
      <c r="AE244" s="275">
        <v>341.59791531393603</v>
      </c>
      <c r="AF244" s="1634">
        <v>550.525346313363</v>
      </c>
      <c r="AG244" s="1634">
        <v>283.977978626734</v>
      </c>
      <c r="AH244" s="1634">
        <v>117.96053407830618</v>
      </c>
      <c r="AI244" s="1634">
        <v>348.6103</v>
      </c>
      <c r="AJ244" s="1634">
        <v>197.2079</v>
      </c>
      <c r="AK244" s="1634">
        <v>241.1525</v>
      </c>
      <c r="AM244" s="1186">
        <f>SUM(G244:AK244)</f>
        <v>4834.8953335169927</v>
      </c>
      <c r="BH244" s="39"/>
      <c r="BI244" s="141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</row>
    <row r="245" spans="1:61 15027:15419" s="1" customFormat="1" x14ac:dyDescent="0.25">
      <c r="C245" s="15"/>
      <c r="D245" s="74" t="s">
        <v>378</v>
      </c>
      <c r="E245" s="949"/>
      <c r="F245" s="69"/>
      <c r="G245" s="273" t="e">
        <f>G243/G9*1000</f>
        <v>#DIV/0!</v>
      </c>
      <c r="H245" s="273" t="e">
        <f>H243/H9*1000</f>
        <v>#DIV/0!</v>
      </c>
      <c r="I245" s="273" t="e">
        <f>I243/I9*1000</f>
        <v>#DIV/0!</v>
      </c>
      <c r="J245" s="273" t="e">
        <f>J243/J9*1000</f>
        <v>#DIV/0!</v>
      </c>
      <c r="K245" s="950" t="e">
        <f>K243/K9*10000</f>
        <v>#DIV/0!</v>
      </c>
      <c r="L245" s="950" t="e">
        <f>L243/L9*10000</f>
        <v>#DIV/0!</v>
      </c>
      <c r="M245" s="273">
        <f>M244/M9*1000</f>
        <v>0.35341090390441937</v>
      </c>
      <c r="N245" s="273">
        <f t="shared" ref="N245:W245" si="109">N244/N9*1000</f>
        <v>1.3992938789238379E-2</v>
      </c>
      <c r="O245" s="273">
        <f t="shared" si="109"/>
        <v>4.604843544257E-2</v>
      </c>
      <c r="P245" s="273">
        <f t="shared" si="109"/>
        <v>1.506705560964863E-2</v>
      </c>
      <c r="Q245" s="273">
        <f t="shared" si="109"/>
        <v>5.4804360256755988E-3</v>
      </c>
      <c r="R245" s="273">
        <f t="shared" si="109"/>
        <v>6.3269882293136473E-2</v>
      </c>
      <c r="S245" s="273">
        <f t="shared" si="109"/>
        <v>5.3653237493532513E-2</v>
      </c>
      <c r="T245" s="273">
        <f t="shared" si="109"/>
        <v>7.478820734519988E-3</v>
      </c>
      <c r="U245" s="273">
        <f t="shared" si="109"/>
        <v>6.6937439102286597E-2</v>
      </c>
      <c r="V245" s="273">
        <f>V244/V9*1000</f>
        <v>4.0013499043749172E-2</v>
      </c>
      <c r="W245" s="273">
        <f t="shared" si="109"/>
        <v>7.800381246464777E-2</v>
      </c>
      <c r="X245" s="273">
        <f t="shared" ref="X245:AD245" si="110">X244/X9*1000</f>
        <v>2.9807887546760198E-2</v>
      </c>
      <c r="Y245" s="273">
        <f t="shared" si="110"/>
        <v>0.11459135335668395</v>
      </c>
      <c r="Z245" s="273">
        <f t="shared" si="110"/>
        <v>0.17919675989914249</v>
      </c>
      <c r="AA245" s="273">
        <f t="shared" si="110"/>
        <v>0.21558486770914526</v>
      </c>
      <c r="AB245" s="273">
        <f t="shared" si="110"/>
        <v>0.217717083676294</v>
      </c>
      <c r="AC245" s="273">
        <f t="shared" si="110"/>
        <v>0.31236588337924193</v>
      </c>
      <c r="AD245" s="273">
        <f t="shared" si="110"/>
        <v>0.22108310222802355</v>
      </c>
      <c r="AE245" s="273">
        <f t="shared" ref="AE245:AK245" si="111">AE244/AE9*1000</f>
        <v>0.33857645899387467</v>
      </c>
      <c r="AF245" s="273">
        <f t="shared" si="111"/>
        <v>0.28884897347295541</v>
      </c>
      <c r="AG245" s="273">
        <f t="shared" si="111"/>
        <v>0.33266168567913229</v>
      </c>
      <c r="AH245" s="273">
        <f>AH244/AH9*1000</f>
        <v>0.16684280706279092</v>
      </c>
      <c r="AI245" s="273">
        <f>AI244/AI9*1000</f>
        <v>0.49127373679723224</v>
      </c>
      <c r="AJ245" s="273">
        <f t="shared" si="111"/>
        <v>0.1904908129536291</v>
      </c>
      <c r="AK245" s="273">
        <f t="shared" si="111"/>
        <v>0.22332036856970877</v>
      </c>
      <c r="AL245" s="62"/>
      <c r="AM245" s="84">
        <f>(AM244/AM9)*1000</f>
        <v>0.13987313054550726</v>
      </c>
      <c r="AO245" s="39"/>
      <c r="BH245" s="39"/>
      <c r="BI245" s="141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1:61 15027:15419" s="1" customFormat="1" ht="15" customHeight="1" x14ac:dyDescent="0.25">
      <c r="C246" s="15"/>
      <c r="D246" s="14" t="s">
        <v>20</v>
      </c>
      <c r="E246" s="252">
        <v>1168.001</v>
      </c>
      <c r="F246" s="20" t="s">
        <v>19</v>
      </c>
      <c r="G246" s="295">
        <f>G239-G243</f>
        <v>0</v>
      </c>
      <c r="H246" s="295">
        <f>H239-H243</f>
        <v>0</v>
      </c>
      <c r="I246" s="295">
        <f>I239-(I243)</f>
        <v>0</v>
      </c>
      <c r="J246" s="295">
        <f>J239-(J243)</f>
        <v>0</v>
      </c>
      <c r="K246" s="295">
        <f>K239-(K243)</f>
        <v>0</v>
      </c>
      <c r="L246" s="295">
        <f t="shared" ref="L246" si="112">L239-(L243)</f>
        <v>0</v>
      </c>
      <c r="M246" s="2106">
        <f>M239-M244</f>
        <v>819.05994207897891</v>
      </c>
      <c r="N246" s="33">
        <f>N239-N244</f>
        <v>1059.0614416768403</v>
      </c>
      <c r="O246" s="33">
        <f>O239-O244</f>
        <v>1112.9001364069488</v>
      </c>
      <c r="P246" s="33">
        <f>P239-P244</f>
        <v>1140.7873562182281</v>
      </c>
      <c r="Q246" s="33">
        <f t="shared" ref="Q246:AB246" si="113">Q239-Q244</f>
        <v>934.78057623624306</v>
      </c>
      <c r="R246" s="33">
        <f t="shared" si="113"/>
        <v>800.88114012190761</v>
      </c>
      <c r="S246" s="33">
        <f t="shared" si="113"/>
        <v>794.05920903173694</v>
      </c>
      <c r="T246" s="33">
        <f t="shared" si="113"/>
        <v>981.95934537938342</v>
      </c>
      <c r="U246" s="33">
        <f t="shared" si="113"/>
        <v>906.96540548884195</v>
      </c>
      <c r="V246" s="33">
        <f t="shared" si="113"/>
        <v>957.71688145049416</v>
      </c>
      <c r="W246" s="33">
        <f t="shared" si="113"/>
        <v>816.52625123356904</v>
      </c>
      <c r="X246" s="33">
        <f t="shared" si="113"/>
        <v>962.43981207243996</v>
      </c>
      <c r="Y246" s="33">
        <f t="shared" si="113"/>
        <v>729.01466665761802</v>
      </c>
      <c r="Z246" s="33">
        <f t="shared" si="113"/>
        <v>643.07260189405599</v>
      </c>
      <c r="AA246" s="33">
        <f t="shared" si="113"/>
        <v>662.62874844389603</v>
      </c>
      <c r="AB246" s="33">
        <f t="shared" si="113"/>
        <v>735.74761537317704</v>
      </c>
      <c r="AC246" s="33">
        <f>AC239-AC244</f>
        <v>665.7946971265311</v>
      </c>
      <c r="AD246" s="33">
        <f t="shared" ref="AD246:AK246" si="114">AD239-AD244</f>
        <v>662.47181392445691</v>
      </c>
      <c r="AE246" s="33">
        <f t="shared" si="114"/>
        <v>600.23638468606396</v>
      </c>
      <c r="AF246" s="33">
        <f t="shared" si="114"/>
        <v>376.06065368663701</v>
      </c>
      <c r="AG246" s="33">
        <f t="shared" si="114"/>
        <v>575.24392137326595</v>
      </c>
      <c r="AH246" s="33">
        <f t="shared" si="114"/>
        <v>869.12036592169386</v>
      </c>
      <c r="AI246" s="33">
        <f t="shared" si="114"/>
        <v>492.49989999999997</v>
      </c>
      <c r="AJ246" s="33">
        <f t="shared" si="114"/>
        <v>730.98159999999996</v>
      </c>
      <c r="AK246" s="33">
        <f t="shared" si="114"/>
        <v>723.25659999999993</v>
      </c>
      <c r="AM246" s="583">
        <f>SUM(G246:AK246)</f>
        <v>19753.267066483008</v>
      </c>
      <c r="AU246" s="2060">
        <f>AM246+AM244</f>
        <v>24588.162400000001</v>
      </c>
      <c r="BI246" s="141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1:61 15027:15419" s="2" customFormat="1" ht="15.75" thickBot="1" x14ac:dyDescent="0.3">
      <c r="C247" s="40"/>
      <c r="D247" s="41" t="s">
        <v>1</v>
      </c>
      <c r="E247" s="261">
        <v>1460.001</v>
      </c>
      <c r="F247" s="25" t="s">
        <v>19</v>
      </c>
      <c r="G247" s="296">
        <f>G243+G246</f>
        <v>0</v>
      </c>
      <c r="H247" s="296">
        <f>H243+H246</f>
        <v>0</v>
      </c>
      <c r="I247" s="296">
        <f t="shared" ref="I247:L247" si="115">I243+I246</f>
        <v>0</v>
      </c>
      <c r="J247" s="296">
        <f t="shared" si="115"/>
        <v>0</v>
      </c>
      <c r="K247" s="296">
        <f t="shared" si="115"/>
        <v>0</v>
      </c>
      <c r="L247" s="296">
        <f t="shared" si="115"/>
        <v>0</v>
      </c>
      <c r="M247" s="296">
        <f>M244+M246</f>
        <v>924.05089999999996</v>
      </c>
      <c r="N247" s="296">
        <f>N244+N246</f>
        <v>1080.2963</v>
      </c>
      <c r="O247" s="296">
        <f t="shared" ref="O247:R247" si="116">O244+O246</f>
        <v>1181.8439000000001</v>
      </c>
      <c r="P247" s="296">
        <f t="shared" si="116"/>
        <v>1168.6705999999999</v>
      </c>
      <c r="Q247" s="296">
        <f t="shared" si="116"/>
        <v>943.98469999999998</v>
      </c>
      <c r="R247" s="296">
        <f t="shared" si="116"/>
        <v>888.53030000000001</v>
      </c>
      <c r="S247" s="296">
        <f>S244+S246</f>
        <v>880.95389999999998</v>
      </c>
      <c r="T247" s="296">
        <f t="shared" ref="T247:AK247" si="117">T244+T246</f>
        <v>996.73490000000004</v>
      </c>
      <c r="U247" s="296">
        <f t="shared" si="117"/>
        <v>1035.0761</v>
      </c>
      <c r="V247" s="296">
        <f t="shared" si="117"/>
        <v>1014.269</v>
      </c>
      <c r="W247" s="296">
        <f t="shared" si="117"/>
        <v>920.52070000000003</v>
      </c>
      <c r="X247" s="296">
        <f t="shared" si="117"/>
        <v>989.07619999999997</v>
      </c>
      <c r="Y247" s="296">
        <f t="shared" si="117"/>
        <v>938.60419999999999</v>
      </c>
      <c r="Z247" s="296">
        <f t="shared" si="117"/>
        <v>981.95929999999998</v>
      </c>
      <c r="AA247" s="296">
        <f t="shared" si="117"/>
        <v>1026.5636</v>
      </c>
      <c r="AB247" s="296">
        <f t="shared" si="117"/>
        <v>1138.9553000000001</v>
      </c>
      <c r="AC247" s="296">
        <f t="shared" si="117"/>
        <v>1076.6636000000001</v>
      </c>
      <c r="AD247" s="296">
        <f t="shared" si="117"/>
        <v>952.97699999999986</v>
      </c>
      <c r="AE247" s="296">
        <f t="shared" si="117"/>
        <v>941.83429999999998</v>
      </c>
      <c r="AF247" s="296">
        <f t="shared" si="117"/>
        <v>926.58600000000001</v>
      </c>
      <c r="AG247" s="296">
        <f t="shared" si="117"/>
        <v>859.22190000000001</v>
      </c>
      <c r="AH247" s="296">
        <f>AH244+AH246</f>
        <v>987.08090000000004</v>
      </c>
      <c r="AI247" s="296">
        <f>AI244+AI246</f>
        <v>841.11019999999996</v>
      </c>
      <c r="AJ247" s="296">
        <f>AJ244+AJ246</f>
        <v>928.18949999999995</v>
      </c>
      <c r="AK247" s="296">
        <f t="shared" si="117"/>
        <v>964.40909999999997</v>
      </c>
      <c r="AM247" s="117">
        <f>SUM(G247:AK247)</f>
        <v>24588.162399999997</v>
      </c>
      <c r="AU247" s="2232">
        <f>AM239-AU246</f>
        <v>0</v>
      </c>
      <c r="BI247" s="151"/>
    </row>
    <row r="248" spans="1:61 15027:15419" s="2" customFormat="1" x14ac:dyDescent="0.25">
      <c r="C248" s="8">
        <v>5</v>
      </c>
      <c r="D248" s="118" t="s">
        <v>18</v>
      </c>
      <c r="E248" s="119"/>
      <c r="F248" s="119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1982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  <c r="AI248" s="297"/>
      <c r="AJ248" s="297"/>
      <c r="AK248" s="297"/>
      <c r="AM248" s="136" t="s">
        <v>133</v>
      </c>
      <c r="BI248" s="151"/>
    </row>
    <row r="249" spans="1:61 15027:15419" s="2" customFormat="1" x14ac:dyDescent="0.25">
      <c r="C249" s="8"/>
      <c r="D249" s="235" t="s">
        <v>4</v>
      </c>
      <c r="E249" s="1707">
        <v>408000</v>
      </c>
      <c r="F249" s="236" t="s">
        <v>14</v>
      </c>
      <c r="G249" s="1635">
        <v>0</v>
      </c>
      <c r="H249" s="1635">
        <v>0</v>
      </c>
      <c r="I249" s="1635">
        <v>0</v>
      </c>
      <c r="J249" s="1635">
        <v>0</v>
      </c>
      <c r="K249" s="1635">
        <v>0</v>
      </c>
      <c r="L249" s="1635">
        <v>0</v>
      </c>
      <c r="M249" s="1650">
        <v>155.50399999999999</v>
      </c>
      <c r="N249" s="2113">
        <v>178.26</v>
      </c>
      <c r="O249" s="1635">
        <v>207.578</v>
      </c>
      <c r="P249" s="2131">
        <v>201.25700000000001</v>
      </c>
      <c r="Q249" s="2132">
        <v>129.506</v>
      </c>
      <c r="R249" s="2017">
        <v>89.626000000000005</v>
      </c>
      <c r="S249" s="2131">
        <v>153.36099999999999</v>
      </c>
      <c r="T249" s="2037">
        <v>119.63200000000001</v>
      </c>
      <c r="U249" s="2037">
        <v>142.51300000000001</v>
      </c>
      <c r="V249" s="244">
        <v>146.52600000000001</v>
      </c>
      <c r="W249" s="2069">
        <v>101.35299999999999</v>
      </c>
      <c r="X249" s="2069">
        <v>140.63800000000001</v>
      </c>
      <c r="Y249" s="1635">
        <v>96.231999999999999</v>
      </c>
      <c r="Z249" s="1635">
        <v>116.59699999999999</v>
      </c>
      <c r="AA249" s="1997">
        <v>142.126</v>
      </c>
      <c r="AB249" s="1635">
        <v>161.959</v>
      </c>
      <c r="AC249" s="1635">
        <v>148.136</v>
      </c>
      <c r="AD249" s="1635">
        <v>96.225999999999999</v>
      </c>
      <c r="AE249" s="1635">
        <v>94.465999999999994</v>
      </c>
      <c r="AF249" s="1635">
        <v>72.213999999999999</v>
      </c>
      <c r="AG249" s="1635">
        <v>70.093999999999994</v>
      </c>
      <c r="AH249" s="1635">
        <v>122.3</v>
      </c>
      <c r="AI249" s="1635">
        <v>77.872</v>
      </c>
      <c r="AJ249" s="1635">
        <v>96.941999999999993</v>
      </c>
      <c r="AK249" s="1635">
        <v>104.789</v>
      </c>
      <c r="AM249" s="2105">
        <f>SUM(G249:AK249)</f>
        <v>3165.7069999999999</v>
      </c>
      <c r="BI249" s="151"/>
    </row>
    <row r="250" spans="1:61 15027:15419" s="2" customFormat="1" x14ac:dyDescent="0.25">
      <c r="C250" s="8"/>
      <c r="D250" s="30" t="s">
        <v>17</v>
      </c>
      <c r="E250" s="262"/>
      <c r="F250" s="13"/>
      <c r="G250" s="282"/>
      <c r="H250" s="282"/>
      <c r="I250" s="282"/>
      <c r="J250" s="282"/>
      <c r="K250" s="282"/>
      <c r="L250" s="282"/>
      <c r="M250" s="282"/>
      <c r="N250" s="2112"/>
      <c r="O250" s="282"/>
      <c r="P250" s="282"/>
      <c r="Q250" s="282"/>
      <c r="R250" s="282"/>
      <c r="S250" s="2038"/>
      <c r="T250" s="2036"/>
      <c r="U250" s="2036"/>
      <c r="V250" s="282"/>
      <c r="W250" s="2068"/>
      <c r="X250" s="282"/>
      <c r="Y250" s="282"/>
      <c r="Z250" s="282"/>
      <c r="AA250" s="1996"/>
      <c r="AB250" s="282"/>
      <c r="AC250" s="282"/>
      <c r="AD250" s="282"/>
      <c r="AE250" s="282"/>
      <c r="AF250" s="282"/>
      <c r="AG250" s="282"/>
      <c r="AH250" s="282"/>
      <c r="AI250" s="282"/>
      <c r="AJ250" s="282"/>
      <c r="AK250" s="282"/>
      <c r="AM250" s="63">
        <f>(AM252+AM254+AM256)</f>
        <v>81.04467456877974</v>
      </c>
      <c r="AO250" s="27"/>
      <c r="BI250" s="151"/>
    </row>
    <row r="251" spans="1:61 15027:15419" s="1" customFormat="1" x14ac:dyDescent="0.25">
      <c r="C251" s="15"/>
      <c r="D251" s="235" t="s">
        <v>16</v>
      </c>
      <c r="E251" s="1919">
        <v>70000</v>
      </c>
      <c r="F251" s="236" t="s">
        <v>998</v>
      </c>
      <c r="G251" s="275">
        <v>0</v>
      </c>
      <c r="H251" s="275">
        <v>0</v>
      </c>
      <c r="I251" s="275">
        <v>0</v>
      </c>
      <c r="J251" s="245">
        <v>0</v>
      </c>
      <c r="K251" s="245">
        <v>0</v>
      </c>
      <c r="L251" s="245">
        <v>0</v>
      </c>
      <c r="M251" s="245">
        <v>59.88</v>
      </c>
      <c r="N251" s="2111">
        <v>59.55</v>
      </c>
      <c r="O251" s="1504">
        <v>59.46</v>
      </c>
      <c r="P251" s="1504">
        <v>73.44</v>
      </c>
      <c r="Q251" s="2158">
        <v>71.91</v>
      </c>
      <c r="R251" s="2159">
        <v>66.37</v>
      </c>
      <c r="S251" s="2159">
        <v>74.44</v>
      </c>
      <c r="T251" s="2175">
        <v>71</v>
      </c>
      <c r="U251" s="2035">
        <v>71.7</v>
      </c>
      <c r="V251" s="245">
        <v>73.44</v>
      </c>
      <c r="W251" s="2067">
        <v>66.73</v>
      </c>
      <c r="X251" s="245">
        <v>59.94</v>
      </c>
      <c r="Y251" s="245">
        <v>70.23</v>
      </c>
      <c r="Z251" s="245">
        <v>41.5</v>
      </c>
      <c r="AA251" s="1995">
        <v>64</v>
      </c>
      <c r="AB251" s="245">
        <v>62.5</v>
      </c>
      <c r="AC251" s="245">
        <v>63.5</v>
      </c>
      <c r="AD251" s="245">
        <v>67.66</v>
      </c>
      <c r="AE251" s="245">
        <v>63.27</v>
      </c>
      <c r="AF251" s="245">
        <v>76.27</v>
      </c>
      <c r="AG251" s="275">
        <v>56.76</v>
      </c>
      <c r="AH251" s="275">
        <v>53.06</v>
      </c>
      <c r="AI251" s="275">
        <v>53.82</v>
      </c>
      <c r="AJ251" s="275">
        <v>63.88</v>
      </c>
      <c r="AK251" s="275">
        <v>67.28</v>
      </c>
      <c r="AM251" s="2105">
        <f>SUM(G251:AK251)</f>
        <v>1611.5900000000001</v>
      </c>
      <c r="BI251" s="141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</row>
    <row r="252" spans="1:61 15027:15419" s="1" customFormat="1" x14ac:dyDescent="0.25">
      <c r="C252" s="15"/>
      <c r="D252" s="14"/>
      <c r="E252" s="234">
        <f>E251/2500</f>
        <v>28</v>
      </c>
      <c r="F252" s="20" t="s">
        <v>356</v>
      </c>
      <c r="G252" s="33" t="e">
        <f>G251/G9*1000</f>
        <v>#DIV/0!</v>
      </c>
      <c r="H252" s="33" t="e">
        <f>H251/H9*1000</f>
        <v>#DIV/0!</v>
      </c>
      <c r="I252" s="33" t="e">
        <f>I251/I9*1000</f>
        <v>#DIV/0!</v>
      </c>
      <c r="J252" s="33" t="e">
        <f>J251/J9*1000000</f>
        <v>#DIV/0!</v>
      </c>
      <c r="K252" s="33" t="e">
        <f>K251/K9*1000000</f>
        <v>#DIV/0!</v>
      </c>
      <c r="L252" s="33" t="e">
        <f>L251/L9*1000</f>
        <v>#DIV/0!</v>
      </c>
      <c r="M252" s="33">
        <f>M251/M9*100000</f>
        <v>20.156254733589382</v>
      </c>
      <c r="N252" s="33">
        <f t="shared" ref="N252:AJ252" si="118">N251/N9*1000000</f>
        <v>39.241114408111542</v>
      </c>
      <c r="O252" s="33">
        <f t="shared" si="118"/>
        <v>39.714106522771495</v>
      </c>
      <c r="P252" s="33">
        <f t="shared" si="118"/>
        <v>39.684212232723269</v>
      </c>
      <c r="Q252" s="33">
        <f t="shared" si="118"/>
        <v>42.817563596675335</v>
      </c>
      <c r="R252" s="33">
        <f t="shared" si="118"/>
        <v>47.909439105132236</v>
      </c>
      <c r="S252" s="33">
        <f>S251/S9*1000000</f>
        <v>45.96307270920947</v>
      </c>
      <c r="T252" s="33">
        <f t="shared" si="118"/>
        <v>35.937484973322746</v>
      </c>
      <c r="U252" s="33">
        <f t="shared" si="118"/>
        <v>37.463026814017759</v>
      </c>
      <c r="V252" s="33">
        <f t="shared" si="118"/>
        <v>51.962533767863889</v>
      </c>
      <c r="W252" s="33">
        <f t="shared" si="118"/>
        <v>50.052617880178254</v>
      </c>
      <c r="X252" s="33">
        <f t="shared" si="118"/>
        <v>67.076841815483846</v>
      </c>
      <c r="Y252" s="33">
        <f t="shared" si="118"/>
        <v>38.397674816581805</v>
      </c>
      <c r="Z252" s="33">
        <f t="shared" si="118"/>
        <v>21.944400820033174</v>
      </c>
      <c r="AA252" s="33">
        <f t="shared" si="118"/>
        <v>37.911817113394243</v>
      </c>
      <c r="AB252" s="33">
        <f t="shared" si="118"/>
        <v>33.74766466160542</v>
      </c>
      <c r="AC252" s="33">
        <f t="shared" si="118"/>
        <v>48.276307736753473</v>
      </c>
      <c r="AD252" s="33">
        <f>AD251/AD9*1000000</f>
        <v>51.491275934944127</v>
      </c>
      <c r="AE252" s="33">
        <f t="shared" si="118"/>
        <v>62.71037263460876</v>
      </c>
      <c r="AF252" s="33">
        <f t="shared" si="118"/>
        <v>40.017251438669241</v>
      </c>
      <c r="AG252" s="33">
        <f t="shared" si="118"/>
        <v>66.490639064539025</v>
      </c>
      <c r="AH252" s="33">
        <f t="shared" si="118"/>
        <v>75.047806556004403</v>
      </c>
      <c r="AI252" s="33">
        <f t="shared" si="118"/>
        <v>75.845012366034638</v>
      </c>
      <c r="AJ252" s="33">
        <f t="shared" si="118"/>
        <v>61.704186959436356</v>
      </c>
      <c r="AK252" s="33">
        <f t="shared" ref="AK252" si="119">AK251/AK9*1000000</f>
        <v>62.304949761540961</v>
      </c>
      <c r="AM252" s="1503">
        <f>AM251/AM9*1000000</f>
        <v>46.623168219002729</v>
      </c>
      <c r="BI252" s="141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</row>
    <row r="253" spans="1:61 15027:15419" s="1" customFormat="1" x14ac:dyDescent="0.25">
      <c r="A253" s="2060"/>
      <c r="C253" s="15"/>
      <c r="D253" s="235" t="s">
        <v>15</v>
      </c>
      <c r="E253" s="1793">
        <v>112.8</v>
      </c>
      <c r="F253" s="236" t="s">
        <v>998</v>
      </c>
      <c r="G253" s="275"/>
      <c r="H253" s="275">
        <v>0</v>
      </c>
      <c r="I253" s="275">
        <v>0</v>
      </c>
      <c r="J253" s="275">
        <v>0</v>
      </c>
      <c r="K253" s="275"/>
      <c r="L253" s="275"/>
      <c r="M253" s="1634">
        <v>17.552</v>
      </c>
      <c r="N253" s="2114">
        <v>19.748000000000001</v>
      </c>
      <c r="O253" s="1504">
        <v>35.74</v>
      </c>
      <c r="P253" s="275">
        <v>42.424999999999997</v>
      </c>
      <c r="Q253" s="2160">
        <v>50.595999999999997</v>
      </c>
      <c r="R253" s="2161">
        <v>35.887</v>
      </c>
      <c r="S253" s="2161">
        <v>35.911999999999999</v>
      </c>
      <c r="T253" s="2176">
        <v>39.593000000000004</v>
      </c>
      <c r="U253" s="2039">
        <v>35.5</v>
      </c>
      <c r="V253" s="245">
        <v>33.56</v>
      </c>
      <c r="W253" s="2070">
        <v>57.2</v>
      </c>
      <c r="X253" s="245">
        <v>42</v>
      </c>
      <c r="Y253" s="245">
        <v>40.6</v>
      </c>
      <c r="Z253" s="245">
        <v>52.9</v>
      </c>
      <c r="AA253" s="245">
        <v>60</v>
      </c>
      <c r="AB253" s="245">
        <v>60.802</v>
      </c>
      <c r="AC253" s="245">
        <v>62.341000000000001</v>
      </c>
      <c r="AD253" s="275">
        <v>63.838999999999999</v>
      </c>
      <c r="AE253" s="275">
        <v>42.075000000000003</v>
      </c>
      <c r="AF253" s="275">
        <v>50.984999999999999</v>
      </c>
      <c r="AG253" s="275">
        <v>40.942999999999998</v>
      </c>
      <c r="AH253" s="275">
        <v>45.762999999999998</v>
      </c>
      <c r="AI253" s="275">
        <v>17.614999999999998</v>
      </c>
      <c r="AJ253" s="275">
        <v>28.158999999999999</v>
      </c>
      <c r="AK253" s="275">
        <v>34.981999999999999</v>
      </c>
      <c r="AM253" s="2105">
        <f>SUM(G253:AK253)</f>
        <v>1046.7170000000001</v>
      </c>
      <c r="BI253" s="141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</row>
    <row r="254" spans="1:61 15027:15419" s="1" customFormat="1" x14ac:dyDescent="0.25">
      <c r="C254" s="15"/>
      <c r="D254" s="14"/>
      <c r="E254" s="234">
        <f>E253/2.5</f>
        <v>45.12</v>
      </c>
      <c r="F254" s="20" t="s">
        <v>356</v>
      </c>
      <c r="G254" s="33" t="e">
        <f t="shared" ref="G254:AD254" si="120">G253/G29*1000000</f>
        <v>#DIV/0!</v>
      </c>
      <c r="H254" s="33" t="e">
        <f t="shared" si="120"/>
        <v>#DIV/0!</v>
      </c>
      <c r="I254" s="33" t="e">
        <f t="shared" si="120"/>
        <v>#DIV/0!</v>
      </c>
      <c r="J254" s="33" t="e">
        <f t="shared" si="120"/>
        <v>#DIV/0!</v>
      </c>
      <c r="K254" s="33" t="e">
        <f t="shared" si="120"/>
        <v>#DIV/0!</v>
      </c>
      <c r="L254" s="33" t="e">
        <f t="shared" si="120"/>
        <v>#DIV/0!</v>
      </c>
      <c r="M254" s="33">
        <f t="shared" si="120"/>
        <v>84.570426369475229</v>
      </c>
      <c r="N254" s="33">
        <f t="shared" si="120"/>
        <v>53.561160835367509</v>
      </c>
      <c r="O254" s="33">
        <f t="shared" si="120"/>
        <v>25.657150405173358</v>
      </c>
      <c r="P254" s="33">
        <f t="shared" si="120"/>
        <v>26.93389150133352</v>
      </c>
      <c r="Q254" s="33">
        <f t="shared" si="120"/>
        <v>26.939002826689183</v>
      </c>
      <c r="R254" s="33">
        <f t="shared" si="120"/>
        <v>26.730575139008376</v>
      </c>
      <c r="S254" s="33">
        <f t="shared" si="120"/>
        <v>23.770880274511569</v>
      </c>
      <c r="T254" s="33">
        <f t="shared" si="120"/>
        <v>23.473535431147539</v>
      </c>
      <c r="U254" s="33">
        <f t="shared" si="120"/>
        <v>27.394300442167161</v>
      </c>
      <c r="V254" s="33">
        <f t="shared" si="120"/>
        <v>20.93932462566902</v>
      </c>
      <c r="W254" s="33">
        <f t="shared" si="120"/>
        <v>38.040792764800827</v>
      </c>
      <c r="X254" s="33">
        <f t="shared" si="120"/>
        <v>39.50264291491883</v>
      </c>
      <c r="Y254" s="33">
        <f t="shared" si="120"/>
        <v>27.661311091640698</v>
      </c>
      <c r="Z254" s="33">
        <f t="shared" si="120"/>
        <v>43.258395726822826</v>
      </c>
      <c r="AA254" s="33">
        <f t="shared" si="120"/>
        <v>34.490608207385129</v>
      </c>
      <c r="AB254" s="33">
        <f t="shared" si="120"/>
        <v>33.071939436827329</v>
      </c>
      <c r="AC254" s="33">
        <f t="shared" si="120"/>
        <v>34.184027092353517</v>
      </c>
      <c r="AD254" s="33">
        <f t="shared" si="120"/>
        <v>37.567446215155847</v>
      </c>
      <c r="AE254" s="33">
        <f>AE253/AE29*1000000</f>
        <v>39.805301697224273</v>
      </c>
      <c r="AF254" s="33">
        <f t="shared" ref="AF254:AK254" si="121">AF253/AF29*1000000</f>
        <v>39.482977055964611</v>
      </c>
      <c r="AG254" s="33">
        <f t="shared" si="121"/>
        <v>40.246256802239621</v>
      </c>
      <c r="AH254" s="33">
        <f t="shared" si="121"/>
        <v>36.637687749836076</v>
      </c>
      <c r="AI254" s="33">
        <f t="shared" si="121"/>
        <v>40.063683402513213</v>
      </c>
      <c r="AJ254" s="33">
        <f t="shared" si="121"/>
        <v>43.681406045187657</v>
      </c>
      <c r="AK254" s="33">
        <f t="shared" si="121"/>
        <v>41.420776932622267</v>
      </c>
      <c r="AM254" s="1503">
        <f>AM253/AM29*1000000</f>
        <v>32.953602257897437</v>
      </c>
      <c r="BI254" s="141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1:61 15027:15419" s="1" customFormat="1" x14ac:dyDescent="0.25">
      <c r="C255" s="15"/>
      <c r="D255" s="14" t="s">
        <v>7</v>
      </c>
      <c r="E255" s="234">
        <v>106000</v>
      </c>
      <c r="F255" s="20" t="s">
        <v>14</v>
      </c>
      <c r="G255" s="272">
        <f>G249-G251-G253</f>
        <v>0</v>
      </c>
      <c r="H255" s="272">
        <f>H249-H251-H253</f>
        <v>0</v>
      </c>
      <c r="I255" s="272">
        <v>0</v>
      </c>
      <c r="J255" s="1702">
        <v>0</v>
      </c>
      <c r="K255" s="272">
        <v>0</v>
      </c>
      <c r="L255" s="272">
        <v>0</v>
      </c>
      <c r="M255" s="272">
        <f>M249-M251-M253</f>
        <v>78.072000000000003</v>
      </c>
      <c r="N255" s="272">
        <f>N249-N251-N253</f>
        <v>98.961999999999989</v>
      </c>
      <c r="O255" s="272">
        <f>O249-O251-O253</f>
        <v>112.37799999999999</v>
      </c>
      <c r="P255" s="272">
        <f>P249-P251-P253</f>
        <v>85.39200000000001</v>
      </c>
      <c r="Q255" s="272">
        <f>Q249-Q251-Q253</f>
        <v>7.0000000000000071</v>
      </c>
      <c r="R255" s="272">
        <f t="shared" ref="R255:V255" si="122">R249-R251-R253</f>
        <v>-12.631</v>
      </c>
      <c r="S255" s="272">
        <f t="shared" si="122"/>
        <v>43.008999999999993</v>
      </c>
      <c r="T255" s="272">
        <f t="shared" si="122"/>
        <v>9.0390000000000015</v>
      </c>
      <c r="U255" s="272">
        <f t="shared" si="122"/>
        <v>35.313000000000002</v>
      </c>
      <c r="V255" s="272">
        <f t="shared" si="122"/>
        <v>39.52600000000001</v>
      </c>
      <c r="W255" s="272">
        <f>W249-W251-W253</f>
        <v>-22.577000000000012</v>
      </c>
      <c r="X255" s="272">
        <f>X249-X251-X253</f>
        <v>38.698000000000008</v>
      </c>
      <c r="Y255" s="272">
        <f t="shared" ref="Y255:Z255" si="123">Y249-Y251-Y253</f>
        <v>-14.598000000000006</v>
      </c>
      <c r="Z255" s="272">
        <f t="shared" si="123"/>
        <v>22.196999999999996</v>
      </c>
      <c r="AA255" s="272">
        <f t="shared" ref="AA255:AJ255" si="124">AA249-AA251-AA253</f>
        <v>18.126000000000005</v>
      </c>
      <c r="AB255" s="272">
        <f t="shared" si="124"/>
        <v>38.657000000000004</v>
      </c>
      <c r="AC255" s="272">
        <f t="shared" si="124"/>
        <v>22.294999999999995</v>
      </c>
      <c r="AD255" s="272">
        <f t="shared" si="124"/>
        <v>-35.272999999999996</v>
      </c>
      <c r="AE255" s="272">
        <f t="shared" si="124"/>
        <v>-10.879000000000012</v>
      </c>
      <c r="AF255" s="272">
        <f t="shared" si="124"/>
        <v>-55.040999999999997</v>
      </c>
      <c r="AG255" s="272">
        <f t="shared" si="124"/>
        <v>-27.609000000000002</v>
      </c>
      <c r="AH255" s="272">
        <f t="shared" si="124"/>
        <v>23.476999999999997</v>
      </c>
      <c r="AI255" s="272">
        <f t="shared" si="124"/>
        <v>6.4370000000000012</v>
      </c>
      <c r="AJ255" s="272">
        <f t="shared" si="124"/>
        <v>4.9029999999999916</v>
      </c>
      <c r="AK255" s="272">
        <f t="shared" ref="AK255" si="125">AK249-AK251-AK253</f>
        <v>2.527000000000001</v>
      </c>
      <c r="AM255" s="583">
        <f>SUM(G255:AK255)</f>
        <v>507.39999999999992</v>
      </c>
      <c r="AO255" s="3"/>
      <c r="BI255" s="141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1:61 15027:15419" s="1" customFormat="1" x14ac:dyDescent="0.25">
      <c r="C256" s="15"/>
      <c r="D256" s="14"/>
      <c r="E256" s="234"/>
      <c r="F256" s="20"/>
      <c r="G256" s="33"/>
      <c r="H256" s="33"/>
      <c r="I256" s="33"/>
      <c r="J256" s="33"/>
      <c r="K256" s="33">
        <v>0</v>
      </c>
      <c r="L256" s="33">
        <v>0</v>
      </c>
      <c r="M256" s="33"/>
      <c r="N256" s="33"/>
      <c r="O256" s="33"/>
      <c r="P256" s="33"/>
      <c r="Q256" s="33"/>
      <c r="R256" s="33"/>
      <c r="S256" s="1960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M256" s="54">
        <f>AM255/AM9*100000</f>
        <v>1.4679040918795709</v>
      </c>
      <c r="AO256" s="3"/>
      <c r="BI256" s="141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2" customFormat="1" ht="15.75" thickBot="1" x14ac:dyDescent="0.3">
      <c r="C257" s="40"/>
      <c r="D257" s="28" t="s">
        <v>1</v>
      </c>
      <c r="E257" s="263">
        <v>408000</v>
      </c>
      <c r="F257" s="20" t="s">
        <v>14</v>
      </c>
      <c r="G257" s="282">
        <f t="shared" ref="G257:L257" si="126">SUM(G251,G253,G255)</f>
        <v>0</v>
      </c>
      <c r="H257" s="282">
        <f t="shared" si="126"/>
        <v>0</v>
      </c>
      <c r="I257" s="282">
        <f t="shared" si="126"/>
        <v>0</v>
      </c>
      <c r="J257" s="1651">
        <f t="shared" si="126"/>
        <v>0</v>
      </c>
      <c r="K257" s="282">
        <f t="shared" si="126"/>
        <v>0</v>
      </c>
      <c r="L257" s="282">
        <f t="shared" si="126"/>
        <v>0</v>
      </c>
      <c r="M257" s="42">
        <f>SUM(M251,M253,M255)</f>
        <v>155.50400000000002</v>
      </c>
      <c r="N257" s="42">
        <f>SUM(N251,N253,N255)</f>
        <v>178.26</v>
      </c>
      <c r="O257" s="1651">
        <f>SUM(O251,O253,O255)</f>
        <v>207.57799999999997</v>
      </c>
      <c r="P257" s="1651">
        <f>SUM(P251,P253,P255)</f>
        <v>201.25700000000001</v>
      </c>
      <c r="Q257" s="1794">
        <f t="shared" ref="Q257:AJ257" si="127">SUM(Q251,Q253,Q255)</f>
        <v>129.506</v>
      </c>
      <c r="R257" s="1794">
        <f t="shared" si="127"/>
        <v>89.626000000000005</v>
      </c>
      <c r="S257" s="1794">
        <f t="shared" si="127"/>
        <v>153.36099999999999</v>
      </c>
      <c r="T257" s="1651">
        <f t="shared" ref="T257" si="128">SUM(T251,T253,T255)</f>
        <v>119.63200000000001</v>
      </c>
      <c r="U257" s="1651">
        <f t="shared" ref="U257:V257" si="129">SUM(U251,U253,U255)</f>
        <v>142.51300000000001</v>
      </c>
      <c r="V257" s="42">
        <f t="shared" si="129"/>
        <v>146.52600000000001</v>
      </c>
      <c r="W257" s="1651">
        <f>SUM(W251,W253,W255)</f>
        <v>101.35299999999999</v>
      </c>
      <c r="X257" s="282">
        <f>SUM(X251,X253,X255)</f>
        <v>140.63800000000001</v>
      </c>
      <c r="Y257" s="1651">
        <f t="shared" ref="Y257:Z257" si="130">SUM(Y251,Y253,Y255)</f>
        <v>96.231999999999999</v>
      </c>
      <c r="Z257" s="1651">
        <f t="shared" si="130"/>
        <v>116.59700000000001</v>
      </c>
      <c r="AA257" s="1651">
        <f t="shared" si="127"/>
        <v>142.126</v>
      </c>
      <c r="AB257" s="1651">
        <f t="shared" si="127"/>
        <v>161.959</v>
      </c>
      <c r="AC257" s="1651">
        <f t="shared" si="127"/>
        <v>148.136</v>
      </c>
      <c r="AD257" s="1651">
        <f t="shared" si="127"/>
        <v>96.225999999999999</v>
      </c>
      <c r="AE257" s="1651">
        <f t="shared" si="127"/>
        <v>94.46599999999998</v>
      </c>
      <c r="AF257" s="1651">
        <f t="shared" si="127"/>
        <v>72.213999999999999</v>
      </c>
      <c r="AG257" s="1651">
        <f t="shared" si="127"/>
        <v>70.093999999999994</v>
      </c>
      <c r="AH257" s="1651">
        <f t="shared" si="127"/>
        <v>122.30000000000001</v>
      </c>
      <c r="AI257" s="1651">
        <f t="shared" si="127"/>
        <v>77.872</v>
      </c>
      <c r="AJ257" s="1651">
        <f t="shared" si="127"/>
        <v>96.941999999999993</v>
      </c>
      <c r="AK257" s="1651">
        <f>SUM(AK251,AK253,AK255)</f>
        <v>104.789</v>
      </c>
      <c r="AM257" s="583">
        <f>SUM(G257:AK257)</f>
        <v>3165.7069999999999</v>
      </c>
      <c r="BI257" s="151"/>
    </row>
    <row r="258" spans="3:61 15027:15419" s="1" customFormat="1" x14ac:dyDescent="0.25">
      <c r="C258" s="8">
        <v>6</v>
      </c>
      <c r="D258" s="75" t="s">
        <v>13</v>
      </c>
      <c r="E258" s="76"/>
      <c r="F258" s="77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1963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M258" s="136" t="s">
        <v>134</v>
      </c>
      <c r="BI258" s="141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3:61 15027:15419" s="16" customFormat="1" x14ac:dyDescent="0.2">
      <c r="C259" s="17"/>
      <c r="D259" s="242" t="s">
        <v>12</v>
      </c>
      <c r="E259" s="264">
        <v>1100</v>
      </c>
      <c r="F259" s="243" t="s">
        <v>124</v>
      </c>
      <c r="G259" s="244">
        <v>0</v>
      </c>
      <c r="H259" s="244">
        <v>0</v>
      </c>
      <c r="I259" s="244">
        <v>0</v>
      </c>
      <c r="J259" s="244">
        <v>0</v>
      </c>
      <c r="K259" s="244">
        <v>0</v>
      </c>
      <c r="L259" s="244">
        <v>0</v>
      </c>
      <c r="M259" s="244">
        <v>539</v>
      </c>
      <c r="N259" s="2116">
        <v>829</v>
      </c>
      <c r="O259" s="244">
        <v>827</v>
      </c>
      <c r="P259" s="2133">
        <v>774</v>
      </c>
      <c r="Q259" s="2134">
        <v>804</v>
      </c>
      <c r="R259" s="2018">
        <v>689</v>
      </c>
      <c r="S259" s="2043">
        <v>754</v>
      </c>
      <c r="T259" s="2041">
        <v>703</v>
      </c>
      <c r="U259" s="2041">
        <v>872</v>
      </c>
      <c r="V259" s="244">
        <v>816</v>
      </c>
      <c r="W259" s="2072">
        <v>808</v>
      </c>
      <c r="X259" s="244">
        <v>857</v>
      </c>
      <c r="Y259" s="244">
        <v>836</v>
      </c>
      <c r="Z259" s="244">
        <v>872</v>
      </c>
      <c r="AA259" s="1999">
        <v>763</v>
      </c>
      <c r="AB259" s="244">
        <v>990</v>
      </c>
      <c r="AC259" s="244">
        <v>828</v>
      </c>
      <c r="AD259" s="244">
        <v>777</v>
      </c>
      <c r="AE259" s="244">
        <v>819</v>
      </c>
      <c r="AF259" s="244">
        <v>828</v>
      </c>
      <c r="AG259" s="244">
        <v>759</v>
      </c>
      <c r="AH259" s="244">
        <v>857</v>
      </c>
      <c r="AI259" s="244">
        <v>698</v>
      </c>
      <c r="AJ259" s="244">
        <v>685</v>
      </c>
      <c r="AK259" s="244">
        <v>700</v>
      </c>
      <c r="AL259" s="756"/>
      <c r="AM259" s="822">
        <f>SUM(G259:AK259)</f>
        <v>19684</v>
      </c>
      <c r="AP259" s="1561"/>
      <c r="BI259" s="144"/>
    </row>
    <row r="260" spans="3:61 15027:15419" s="16" customFormat="1" x14ac:dyDescent="0.25">
      <c r="C260" s="17"/>
      <c r="D260" s="43" t="s">
        <v>11</v>
      </c>
      <c r="E260" s="251"/>
      <c r="F260" s="12"/>
      <c r="G260" s="34"/>
      <c r="H260" s="34"/>
      <c r="I260" s="34"/>
      <c r="J260" s="34"/>
      <c r="K260" s="34"/>
      <c r="L260" s="34"/>
      <c r="M260" s="34"/>
      <c r="N260" s="2115"/>
      <c r="O260" s="34"/>
      <c r="P260" s="34"/>
      <c r="Q260" s="34"/>
      <c r="R260" s="34"/>
      <c r="S260" s="2042"/>
      <c r="T260" s="2040"/>
      <c r="U260" s="2040"/>
      <c r="V260" s="34"/>
      <c r="W260" s="2071"/>
      <c r="X260" s="34"/>
      <c r="Y260" s="34"/>
      <c r="Z260" s="34"/>
      <c r="AA260" s="1998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M260" s="120">
        <f>AM261+AM263+AM265</f>
        <v>14818.2</v>
      </c>
      <c r="AO260" s="139"/>
      <c r="BI260" s="144"/>
    </row>
    <row r="261" spans="3:61 15027:15419" s="16" customFormat="1" x14ac:dyDescent="0.2">
      <c r="C261" s="17"/>
      <c r="D261" s="242" t="s">
        <v>10</v>
      </c>
      <c r="E261" s="265">
        <v>93.6</v>
      </c>
      <c r="F261" s="243" t="s">
        <v>994</v>
      </c>
      <c r="G261" s="244">
        <v>0</v>
      </c>
      <c r="H261" s="244">
        <v>0</v>
      </c>
      <c r="I261" s="244">
        <v>0</v>
      </c>
      <c r="J261" s="244">
        <v>0</v>
      </c>
      <c r="K261" s="244">
        <v>0</v>
      </c>
      <c r="L261" s="244">
        <v>0</v>
      </c>
      <c r="M261" s="244">
        <v>113</v>
      </c>
      <c r="N261" s="2116">
        <v>152</v>
      </c>
      <c r="O261" s="244">
        <v>214</v>
      </c>
      <c r="P261" s="244">
        <v>201</v>
      </c>
      <c r="Q261" s="2162">
        <v>172</v>
      </c>
      <c r="R261" s="2163">
        <v>167</v>
      </c>
      <c r="S261" s="2163">
        <v>181</v>
      </c>
      <c r="T261" s="2177">
        <v>182</v>
      </c>
      <c r="U261" s="2044">
        <v>176</v>
      </c>
      <c r="V261" s="2044">
        <v>170</v>
      </c>
      <c r="W261" s="2073">
        <v>175</v>
      </c>
      <c r="X261" s="245">
        <v>169</v>
      </c>
      <c r="Y261" s="245">
        <v>176</v>
      </c>
      <c r="Z261" s="245">
        <v>180</v>
      </c>
      <c r="AA261" s="2000">
        <v>185</v>
      </c>
      <c r="AB261" s="245">
        <v>199</v>
      </c>
      <c r="AC261" s="245">
        <v>174</v>
      </c>
      <c r="AD261" s="245">
        <v>209</v>
      </c>
      <c r="AE261" s="245">
        <v>183</v>
      </c>
      <c r="AF261" s="245">
        <v>194</v>
      </c>
      <c r="AG261" s="245">
        <v>189</v>
      </c>
      <c r="AH261" s="245">
        <v>183</v>
      </c>
      <c r="AI261" s="245">
        <v>186</v>
      </c>
      <c r="AJ261" s="245">
        <v>173</v>
      </c>
      <c r="AK261" s="245">
        <v>167</v>
      </c>
      <c r="AM261" s="822">
        <f>SUM(G261:AK261)</f>
        <v>4470</v>
      </c>
      <c r="BI261" s="144"/>
    </row>
    <row r="262" spans="3:61 15027:15419" s="16" customFormat="1" x14ac:dyDescent="0.25">
      <c r="C262" s="17"/>
      <c r="D262" s="31"/>
      <c r="E262" s="265">
        <f>E261/2500</f>
        <v>3.7440000000000001E-2</v>
      </c>
      <c r="F262" s="32" t="s">
        <v>357</v>
      </c>
      <c r="G262" s="34" t="e">
        <f t="shared" ref="G262:L262" si="131">G261/(G9/1000)</f>
        <v>#DIV/0!</v>
      </c>
      <c r="H262" s="34" t="e">
        <f t="shared" si="131"/>
        <v>#DIV/0!</v>
      </c>
      <c r="I262" s="34" t="e">
        <f t="shared" si="131"/>
        <v>#DIV/0!</v>
      </c>
      <c r="J262" s="34" t="e">
        <f t="shared" si="131"/>
        <v>#DIV/0!</v>
      </c>
      <c r="K262" s="34" t="e">
        <f t="shared" si="131"/>
        <v>#DIV/0!</v>
      </c>
      <c r="L262" s="34" t="e">
        <f t="shared" si="131"/>
        <v>#DIV/0!</v>
      </c>
      <c r="M262" s="33">
        <f>M261/(M9/100000)</f>
        <v>38.037020455838345</v>
      </c>
      <c r="N262" s="33">
        <f>N261/(N9/100000)</f>
        <v>10.016203845563316</v>
      </c>
      <c r="O262" s="33">
        <f>O261/(O9/100000)</f>
        <v>14.293338035440801</v>
      </c>
      <c r="P262" s="33">
        <f>P261/(P9/100000)</f>
        <v>10.86128357676658</v>
      </c>
      <c r="Q262" s="33">
        <f t="shared" ref="Q262:AJ262" si="132">Q261/Q20*1000000</f>
        <v>108.36843756654893</v>
      </c>
      <c r="R262" s="33">
        <f t="shared" si="132"/>
        <v>122.22684130710994</v>
      </c>
      <c r="S262" s="33">
        <f t="shared" si="132"/>
        <v>121.41441759315035</v>
      </c>
      <c r="T262" s="33">
        <f t="shared" si="132"/>
        <v>98.992937234670364</v>
      </c>
      <c r="U262" s="33">
        <f t="shared" si="132"/>
        <v>99.393754570842049</v>
      </c>
      <c r="V262" s="33">
        <f t="shared" si="132"/>
        <v>119.5881104093712</v>
      </c>
      <c r="W262" s="33">
        <f t="shared" si="132"/>
        <v>132.37909439083299</v>
      </c>
      <c r="X262" s="33">
        <f t="shared" si="132"/>
        <v>196.29729864717476</v>
      </c>
      <c r="Y262" s="33">
        <f t="shared" si="132"/>
        <v>103.52941176470588</v>
      </c>
      <c r="Z262" s="33">
        <f t="shared" si="132"/>
        <v>97.085650579035004</v>
      </c>
      <c r="AA262" s="33">
        <f t="shared" si="132"/>
        <v>119.24836146305493</v>
      </c>
      <c r="AB262" s="33">
        <f t="shared" si="132"/>
        <v>108.65173569782806</v>
      </c>
      <c r="AC262" s="33">
        <f t="shared" si="132"/>
        <v>119.23247179877944</v>
      </c>
      <c r="AD262" s="33">
        <f t="shared" si="132"/>
        <v>159.34833393311337</v>
      </c>
      <c r="AE262" s="33">
        <f t="shared" si="132"/>
        <v>175.40076198691682</v>
      </c>
      <c r="AF262" s="33">
        <f t="shared" si="132"/>
        <v>114.76240927706189</v>
      </c>
      <c r="AG262" s="33">
        <f t="shared" si="132"/>
        <v>224.49861974922672</v>
      </c>
      <c r="AH262" s="33">
        <f t="shared" si="132"/>
        <v>270.99508506728233</v>
      </c>
      <c r="AI262" s="33">
        <f t="shared" si="132"/>
        <v>284.18640183346065</v>
      </c>
      <c r="AJ262" s="33">
        <f t="shared" si="132"/>
        <v>184.41196567165929</v>
      </c>
      <c r="AK262" s="33">
        <f t="shared" ref="AK262" si="133">AK261/AK20*1000000</f>
        <v>168.41451349887708</v>
      </c>
      <c r="AM262" s="1503">
        <f>AM261/AM9*100000</f>
        <v>12.931673809029727</v>
      </c>
      <c r="BI262" s="144"/>
    </row>
    <row r="263" spans="3:61 15027:15419" s="16" customFormat="1" x14ac:dyDescent="0.2">
      <c r="C263" s="17"/>
      <c r="D263" s="242" t="s">
        <v>9</v>
      </c>
      <c r="E263" s="1795">
        <v>326</v>
      </c>
      <c r="F263" s="243" t="s">
        <v>994</v>
      </c>
      <c r="G263" s="245"/>
      <c r="H263" s="245">
        <v>0</v>
      </c>
      <c r="I263" s="245">
        <v>0</v>
      </c>
      <c r="J263" s="245">
        <v>0</v>
      </c>
      <c r="K263" s="245">
        <v>0</v>
      </c>
      <c r="L263" s="245"/>
      <c r="M263" s="245">
        <v>26</v>
      </c>
      <c r="N263" s="2117">
        <v>27</v>
      </c>
      <c r="O263" s="245">
        <v>76</v>
      </c>
      <c r="P263" s="245">
        <v>105</v>
      </c>
      <c r="Q263" s="2164">
        <v>81</v>
      </c>
      <c r="R263" s="2165">
        <v>72</v>
      </c>
      <c r="S263" s="2165">
        <v>68</v>
      </c>
      <c r="T263" s="2178">
        <v>85</v>
      </c>
      <c r="U263" s="2045">
        <v>86</v>
      </c>
      <c r="V263" s="2045">
        <v>107</v>
      </c>
      <c r="W263" s="2074">
        <v>99</v>
      </c>
      <c r="X263" s="245">
        <v>76</v>
      </c>
      <c r="Y263" s="245">
        <v>87</v>
      </c>
      <c r="Z263" s="245">
        <v>104</v>
      </c>
      <c r="AA263" s="245">
        <v>115</v>
      </c>
      <c r="AB263" s="245">
        <v>114</v>
      </c>
      <c r="AC263" s="245">
        <v>113</v>
      </c>
      <c r="AD263" s="245">
        <v>102</v>
      </c>
      <c r="AE263" s="245">
        <v>80</v>
      </c>
      <c r="AF263" s="245">
        <v>94</v>
      </c>
      <c r="AG263" s="245">
        <v>64</v>
      </c>
      <c r="AH263" s="245">
        <v>81</v>
      </c>
      <c r="AI263" s="245">
        <v>58</v>
      </c>
      <c r="AJ263" s="245">
        <v>59</v>
      </c>
      <c r="AK263" s="245">
        <v>67</v>
      </c>
      <c r="AM263" s="822">
        <f>SUM(G263:AK263)</f>
        <v>2046</v>
      </c>
      <c r="BI263" s="144"/>
    </row>
    <row r="264" spans="3:61 15027:15419" s="16" customFormat="1" x14ac:dyDescent="0.25">
      <c r="C264" s="17"/>
      <c r="D264" s="31"/>
      <c r="E264" s="265">
        <f>E263/2500</f>
        <v>0.13039999999999999</v>
      </c>
      <c r="F264" s="32" t="s">
        <v>357</v>
      </c>
      <c r="G264" s="34" t="e">
        <f>G263/(G25/1000)</f>
        <v>#DIV/0!</v>
      </c>
      <c r="H264" s="34" t="e">
        <f>H263/(H25/1000)</f>
        <v>#DIV/0!</v>
      </c>
      <c r="I264" s="34" t="e">
        <f t="shared" ref="I264:L264" si="134">I263/(I25/1000)</f>
        <v>#DIV/0!</v>
      </c>
      <c r="J264" s="34" t="e">
        <f t="shared" si="134"/>
        <v>#DIV/0!</v>
      </c>
      <c r="K264" s="34" t="e">
        <f t="shared" si="134"/>
        <v>#DIV/0!</v>
      </c>
      <c r="L264" s="34" t="e">
        <f t="shared" si="134"/>
        <v>#DIV/0!</v>
      </c>
      <c r="M264" s="33">
        <f>M263/(M29/100000)</f>
        <v>12.527524416626916</v>
      </c>
      <c r="N264" s="33">
        <f>N263/(N29/100000)</f>
        <v>7.3230268510984544</v>
      </c>
      <c r="O264" s="33">
        <f>O263/(O29/100000)</f>
        <v>5.455913348609891</v>
      </c>
      <c r="P264" s="33">
        <f t="shared" ref="P264:AJ264" si="135">P263/P29*1000000</f>
        <v>66.660191105245019</v>
      </c>
      <c r="Q264" s="33">
        <f t="shared" si="135"/>
        <v>43.127109434773978</v>
      </c>
      <c r="R264" s="33">
        <f t="shared" si="135"/>
        <v>53.629487279755985</v>
      </c>
      <c r="S264" s="33">
        <f t="shared" si="135"/>
        <v>45.010577485709142</v>
      </c>
      <c r="T264" s="33">
        <f t="shared" si="135"/>
        <v>50.394021964679126</v>
      </c>
      <c r="U264" s="33">
        <f t="shared" si="135"/>
        <v>66.363657409193678</v>
      </c>
      <c r="V264" s="33">
        <f t="shared" si="135"/>
        <v>66.761255510923263</v>
      </c>
      <c r="W264" s="33">
        <f t="shared" si="135"/>
        <v>65.839833631386057</v>
      </c>
      <c r="X264" s="33">
        <f t="shared" si="135"/>
        <v>71.480972893662639</v>
      </c>
      <c r="Y264" s="33">
        <f t="shared" si="135"/>
        <v>59.274238053515781</v>
      </c>
      <c r="Z264" s="33">
        <f t="shared" si="135"/>
        <v>85.044861164264148</v>
      </c>
      <c r="AA264" s="33">
        <f t="shared" si="135"/>
        <v>66.106999064154834</v>
      </c>
      <c r="AB264" s="33">
        <f t="shared" si="135"/>
        <v>62.007846712251506</v>
      </c>
      <c r="AC264" s="33">
        <f t="shared" si="135"/>
        <v>61.962353209540233</v>
      </c>
      <c r="AD264" s="33">
        <f t="shared" si="135"/>
        <v>60.024115571138282</v>
      </c>
      <c r="AE264" s="33">
        <f t="shared" si="135"/>
        <v>75.684471438572587</v>
      </c>
      <c r="AF264" s="33">
        <f t="shared" si="135"/>
        <v>72.793955933326927</v>
      </c>
      <c r="AG264" s="33">
        <f t="shared" si="135"/>
        <v>62.910886728948441</v>
      </c>
      <c r="AH264" s="33">
        <f t="shared" si="135"/>
        <v>64.848299013104963</v>
      </c>
      <c r="AI264" s="33">
        <f t="shared" si="135"/>
        <v>131.91561949166999</v>
      </c>
      <c r="AJ264" s="33">
        <f t="shared" si="135"/>
        <v>91.523241473989572</v>
      </c>
      <c r="AK264" s="33">
        <f t="shared" ref="AK264" si="136">AK263/AK29*1000000</f>
        <v>79.332000871467955</v>
      </c>
      <c r="AL264" s="1501"/>
      <c r="AM264" s="1503">
        <f>(AM263/AM29)*100000</f>
        <v>6.4413848461100907</v>
      </c>
      <c r="BI264" s="144"/>
    </row>
    <row r="265" spans="3:61 15027:15419" s="16" customFormat="1" x14ac:dyDescent="0.2">
      <c r="C265" s="17"/>
      <c r="D265" s="242" t="s">
        <v>8</v>
      </c>
      <c r="E265" s="264">
        <v>491.59</v>
      </c>
      <c r="F265" s="243" t="s">
        <v>124</v>
      </c>
      <c r="G265" s="245">
        <v>0</v>
      </c>
      <c r="H265" s="245">
        <v>0</v>
      </c>
      <c r="I265" s="245">
        <v>0</v>
      </c>
      <c r="J265" s="245">
        <v>0</v>
      </c>
      <c r="K265" s="245">
        <v>0</v>
      </c>
      <c r="L265" s="245">
        <v>0</v>
      </c>
      <c r="M265" s="245">
        <v>256</v>
      </c>
      <c r="N265" s="2118">
        <v>384</v>
      </c>
      <c r="O265" s="245">
        <v>384</v>
      </c>
      <c r="P265" s="2135">
        <v>336</v>
      </c>
      <c r="Q265" s="2136">
        <v>384</v>
      </c>
      <c r="R265" s="2019">
        <v>320</v>
      </c>
      <c r="S265" s="2029">
        <v>320</v>
      </c>
      <c r="T265" s="2046">
        <v>304</v>
      </c>
      <c r="U265" s="2046">
        <v>192</v>
      </c>
      <c r="V265" s="245">
        <v>384</v>
      </c>
      <c r="W265" s="2075">
        <v>384</v>
      </c>
      <c r="X265" s="245">
        <v>384</v>
      </c>
      <c r="Y265" s="245">
        <v>303</v>
      </c>
      <c r="Z265" s="245">
        <v>261</v>
      </c>
      <c r="AA265" s="2001">
        <v>332</v>
      </c>
      <c r="AB265" s="245">
        <v>384</v>
      </c>
      <c r="AC265" s="245">
        <v>384</v>
      </c>
      <c r="AD265" s="245">
        <v>384</v>
      </c>
      <c r="AE265" s="245">
        <v>384</v>
      </c>
      <c r="AF265" s="245">
        <v>288</v>
      </c>
      <c r="AG265" s="245">
        <v>384</v>
      </c>
      <c r="AH265" s="245">
        <v>384</v>
      </c>
      <c r="AI265" s="245">
        <v>260</v>
      </c>
      <c r="AJ265" s="245">
        <v>274</v>
      </c>
      <c r="AK265" s="245">
        <v>248.2</v>
      </c>
      <c r="AM265" s="822">
        <f>SUM(G265:AK265)</f>
        <v>8302.2000000000007</v>
      </c>
      <c r="BI265" s="144"/>
    </row>
    <row r="266" spans="3:61 15027:15419" s="16" customFormat="1" x14ac:dyDescent="0.2">
      <c r="C266" s="17"/>
      <c r="D266" s="31" t="s">
        <v>7</v>
      </c>
      <c r="E266" s="264">
        <v>337.28</v>
      </c>
      <c r="F266" s="32" t="s">
        <v>124</v>
      </c>
      <c r="G266" s="34">
        <f>G259-G261-G263-G265</f>
        <v>0</v>
      </c>
      <c r="H266" s="34">
        <f>H259-H261-H263-H265</f>
        <v>0</v>
      </c>
      <c r="I266" s="34">
        <f t="shared" ref="I266:P266" si="137">I259-I261-I263-I265</f>
        <v>0</v>
      </c>
      <c r="J266" s="34">
        <f t="shared" si="137"/>
        <v>0</v>
      </c>
      <c r="K266" s="34">
        <v>0</v>
      </c>
      <c r="L266" s="34">
        <f t="shared" si="137"/>
        <v>0</v>
      </c>
      <c r="M266" s="34">
        <f>M259-M261-M263-M265</f>
        <v>144</v>
      </c>
      <c r="N266" s="34">
        <f t="shared" si="137"/>
        <v>266</v>
      </c>
      <c r="O266" s="34">
        <f t="shared" si="137"/>
        <v>153</v>
      </c>
      <c r="P266" s="34">
        <f t="shared" si="137"/>
        <v>132</v>
      </c>
      <c r="Q266" s="34">
        <f t="shared" ref="Q266:AJ266" si="138">Q259-Q261-Q263-Q265</f>
        <v>167</v>
      </c>
      <c r="R266" s="34">
        <f t="shared" si="138"/>
        <v>130</v>
      </c>
      <c r="S266" s="34">
        <f t="shared" si="138"/>
        <v>185</v>
      </c>
      <c r="T266" s="34">
        <f>T259-T261-T263-T265</f>
        <v>132</v>
      </c>
      <c r="U266" s="34">
        <f t="shared" si="138"/>
        <v>418</v>
      </c>
      <c r="V266" s="34">
        <f t="shared" si="138"/>
        <v>155</v>
      </c>
      <c r="W266" s="34">
        <f t="shared" si="138"/>
        <v>150</v>
      </c>
      <c r="X266" s="34">
        <f t="shared" si="138"/>
        <v>228</v>
      </c>
      <c r="Y266" s="34">
        <f t="shared" ref="Y266:AA266" si="139">Y259-Y261-Y263-Y265</f>
        <v>270</v>
      </c>
      <c r="Z266" s="34">
        <f t="shared" si="139"/>
        <v>327</v>
      </c>
      <c r="AA266" s="34">
        <f t="shared" si="139"/>
        <v>131</v>
      </c>
      <c r="AB266" s="34">
        <f t="shared" si="138"/>
        <v>293</v>
      </c>
      <c r="AC266" s="34">
        <f>AC259-AC261-AC263-AC265</f>
        <v>157</v>
      </c>
      <c r="AD266" s="34">
        <f t="shared" si="138"/>
        <v>82</v>
      </c>
      <c r="AE266" s="34">
        <f t="shared" si="138"/>
        <v>172</v>
      </c>
      <c r="AF266" s="34">
        <f t="shared" si="138"/>
        <v>252</v>
      </c>
      <c r="AG266" s="34">
        <f t="shared" si="138"/>
        <v>122</v>
      </c>
      <c r="AH266" s="34">
        <f t="shared" si="138"/>
        <v>209</v>
      </c>
      <c r="AI266" s="34">
        <f t="shared" si="138"/>
        <v>194</v>
      </c>
      <c r="AJ266" s="34">
        <f t="shared" si="138"/>
        <v>179</v>
      </c>
      <c r="AK266" s="34">
        <f t="shared" ref="AK266" si="140">AK259-AK261-AK263-AK265</f>
        <v>217.8</v>
      </c>
      <c r="AM266" s="54">
        <f>SUM(G266:AK266)</f>
        <v>4865.8</v>
      </c>
      <c r="BI266" s="144"/>
    </row>
    <row r="267" spans="3:61 15027:15419" s="16" customFormat="1" x14ac:dyDescent="0.2">
      <c r="C267" s="17"/>
      <c r="D267" s="242" t="s">
        <v>6</v>
      </c>
      <c r="E267" s="264">
        <v>330</v>
      </c>
      <c r="F267" s="243" t="s">
        <v>124</v>
      </c>
      <c r="G267" s="245">
        <v>0</v>
      </c>
      <c r="H267" s="245">
        <v>0</v>
      </c>
      <c r="I267" s="245">
        <v>0</v>
      </c>
      <c r="J267" s="245">
        <v>0</v>
      </c>
      <c r="K267" s="245">
        <v>0</v>
      </c>
      <c r="L267" s="245">
        <v>0</v>
      </c>
      <c r="M267" s="245">
        <v>72</v>
      </c>
      <c r="N267" s="2119">
        <v>297</v>
      </c>
      <c r="O267" s="245">
        <v>189</v>
      </c>
      <c r="P267" s="2135">
        <v>265</v>
      </c>
      <c r="Q267" s="2136">
        <v>206</v>
      </c>
      <c r="R267" s="2020">
        <v>139</v>
      </c>
      <c r="S267" s="2020">
        <v>0</v>
      </c>
      <c r="T267" s="2020">
        <v>0</v>
      </c>
      <c r="U267" s="2047">
        <v>246</v>
      </c>
      <c r="V267" s="245">
        <v>130</v>
      </c>
      <c r="W267" s="2076">
        <v>222</v>
      </c>
      <c r="X267" s="245">
        <v>180</v>
      </c>
      <c r="Y267" s="245">
        <v>204</v>
      </c>
      <c r="Z267" s="245">
        <v>208</v>
      </c>
      <c r="AA267" s="2001">
        <v>98</v>
      </c>
      <c r="AB267" s="245">
        <v>330</v>
      </c>
      <c r="AC267" s="245">
        <v>227</v>
      </c>
      <c r="AD267" s="245">
        <v>211</v>
      </c>
      <c r="AE267" s="245">
        <v>615</v>
      </c>
      <c r="AF267" s="245">
        <v>223</v>
      </c>
      <c r="AG267" s="245">
        <v>238</v>
      </c>
      <c r="AH267" s="245">
        <v>306</v>
      </c>
      <c r="AI267" s="245">
        <v>287</v>
      </c>
      <c r="AJ267" s="245">
        <v>171</v>
      </c>
      <c r="AK267" s="245">
        <v>273</v>
      </c>
      <c r="AM267" s="959">
        <f>SUM(G267:AK267)</f>
        <v>5337</v>
      </c>
      <c r="BI267" s="144"/>
    </row>
    <row r="268" spans="3:61 15027:15419" s="16" customFormat="1" x14ac:dyDescent="0.2">
      <c r="C268" s="954"/>
      <c r="D268" s="955"/>
      <c r="E268" s="956"/>
      <c r="F268" s="957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1967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807"/>
      <c r="AM268" s="958">
        <f>AM267/AM6</f>
        <v>213.48</v>
      </c>
      <c r="BI268" s="144"/>
    </row>
    <row r="269" spans="3:61 15027:15419" s="1" customFormat="1" x14ac:dyDescent="0.25">
      <c r="C269" s="83">
        <v>7</v>
      </c>
      <c r="D269" s="75" t="s">
        <v>5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63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M269" s="121" t="s">
        <v>135</v>
      </c>
      <c r="BI269" s="141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" customFormat="1" x14ac:dyDescent="0.25">
      <c r="C270" s="83"/>
      <c r="D270" s="122" t="s">
        <v>4</v>
      </c>
      <c r="E270" s="1065"/>
      <c r="F270" s="12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60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M270" s="52" t="s">
        <v>4</v>
      </c>
      <c r="BI270" s="141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3:61 15027:15419" s="1" customFormat="1" x14ac:dyDescent="0.25">
      <c r="C271" s="83"/>
      <c r="D271" s="235" t="s">
        <v>3</v>
      </c>
      <c r="E271" s="234">
        <v>50</v>
      </c>
      <c r="F271" s="246" t="s">
        <v>912</v>
      </c>
      <c r="G271" s="275">
        <v>0</v>
      </c>
      <c r="H271" s="1504">
        <v>0</v>
      </c>
      <c r="I271" s="1504">
        <v>0</v>
      </c>
      <c r="J271" s="1504">
        <v>0</v>
      </c>
      <c r="K271" s="1504">
        <v>0</v>
      </c>
      <c r="L271" s="1504">
        <v>0</v>
      </c>
      <c r="M271" s="1504">
        <v>23.2</v>
      </c>
      <c r="N271" s="2120">
        <v>33.1</v>
      </c>
      <c r="O271" s="1504">
        <v>39.9</v>
      </c>
      <c r="P271" s="2135">
        <v>46.4</v>
      </c>
      <c r="Q271" s="2136">
        <v>41.9</v>
      </c>
      <c r="R271" s="2021">
        <v>38.200000000000003</v>
      </c>
      <c r="S271" s="2051">
        <v>40.1</v>
      </c>
      <c r="T271" s="2050">
        <v>42</v>
      </c>
      <c r="U271" s="2050">
        <v>44.5</v>
      </c>
      <c r="V271" s="1504">
        <v>48.8</v>
      </c>
      <c r="W271" s="2079">
        <v>46.7</v>
      </c>
      <c r="X271" s="245">
        <v>40.6</v>
      </c>
      <c r="Y271" s="245">
        <v>49.1</v>
      </c>
      <c r="Z271" s="245">
        <v>49</v>
      </c>
      <c r="AA271" s="2002">
        <v>50.7</v>
      </c>
      <c r="AB271" s="245">
        <v>51.5</v>
      </c>
      <c r="AC271" s="245">
        <v>51.4</v>
      </c>
      <c r="AD271" s="245">
        <v>46.5</v>
      </c>
      <c r="AE271" s="245">
        <v>47.8</v>
      </c>
      <c r="AF271" s="245">
        <v>48.2</v>
      </c>
      <c r="AG271" s="245">
        <v>41.9</v>
      </c>
      <c r="AH271" s="245">
        <v>42.9</v>
      </c>
      <c r="AI271" s="245">
        <v>35.4</v>
      </c>
      <c r="AJ271" s="245">
        <v>38.799999999999997</v>
      </c>
      <c r="AK271" s="245">
        <v>42</v>
      </c>
      <c r="AM271" s="962">
        <f>SUM(G271:AK271)/AM6</f>
        <v>43.223999999999997</v>
      </c>
      <c r="AO271" s="2085">
        <f>AM271/AM9*100000</f>
        <v>0.12504668204060423</v>
      </c>
      <c r="BI271" s="141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</row>
    <row r="272" spans="3:61 15027:15419" s="1" customFormat="1" x14ac:dyDescent="0.25">
      <c r="C272" s="83"/>
      <c r="D272" s="122" t="s">
        <v>1</v>
      </c>
      <c r="E272" s="13"/>
      <c r="F272" s="69" t="s">
        <v>0</v>
      </c>
      <c r="G272" s="282">
        <f>G271</f>
        <v>0</v>
      </c>
      <c r="H272" s="282">
        <f t="shared" ref="H272:L272" si="141">H271*1000</f>
        <v>0</v>
      </c>
      <c r="I272" s="282">
        <f t="shared" si="141"/>
        <v>0</v>
      </c>
      <c r="J272" s="282">
        <f t="shared" si="141"/>
        <v>0</v>
      </c>
      <c r="K272" s="282">
        <f t="shared" si="141"/>
        <v>0</v>
      </c>
      <c r="L272" s="282">
        <f t="shared" si="141"/>
        <v>0</v>
      </c>
      <c r="M272" s="282">
        <f>M271*1000</f>
        <v>23200</v>
      </c>
      <c r="N272" s="282">
        <f t="shared" ref="N272:AK272" si="142">N271*1000</f>
        <v>33100</v>
      </c>
      <c r="O272" s="282">
        <f t="shared" si="142"/>
        <v>39900</v>
      </c>
      <c r="P272" s="282">
        <f t="shared" si="142"/>
        <v>46400</v>
      </c>
      <c r="Q272" s="282">
        <f t="shared" si="142"/>
        <v>41900</v>
      </c>
      <c r="R272" s="282">
        <f t="shared" si="142"/>
        <v>38200</v>
      </c>
      <c r="S272" s="282">
        <f t="shared" si="142"/>
        <v>40100</v>
      </c>
      <c r="T272" s="282">
        <f t="shared" si="142"/>
        <v>42000</v>
      </c>
      <c r="U272" s="282">
        <f t="shared" si="142"/>
        <v>44500</v>
      </c>
      <c r="V272" s="282">
        <f t="shared" si="142"/>
        <v>48800</v>
      </c>
      <c r="W272" s="282">
        <f t="shared" si="142"/>
        <v>46700</v>
      </c>
      <c r="X272" s="282">
        <f t="shared" si="142"/>
        <v>40600</v>
      </c>
      <c r="Y272" s="282">
        <f t="shared" si="142"/>
        <v>49100</v>
      </c>
      <c r="Z272" s="282">
        <f t="shared" si="142"/>
        <v>49000</v>
      </c>
      <c r="AA272" s="282">
        <f t="shared" si="142"/>
        <v>50700</v>
      </c>
      <c r="AB272" s="282">
        <f t="shared" si="142"/>
        <v>51500</v>
      </c>
      <c r="AC272" s="282">
        <f t="shared" si="142"/>
        <v>51400</v>
      </c>
      <c r="AD272" s="282">
        <f t="shared" si="142"/>
        <v>46500</v>
      </c>
      <c r="AE272" s="282">
        <f t="shared" si="142"/>
        <v>47800</v>
      </c>
      <c r="AF272" s="282">
        <f t="shared" si="142"/>
        <v>48200</v>
      </c>
      <c r="AG272" s="282">
        <f t="shared" si="142"/>
        <v>41900</v>
      </c>
      <c r="AH272" s="282">
        <f>AH271*1000</f>
        <v>42900</v>
      </c>
      <c r="AI272" s="282">
        <f t="shared" si="142"/>
        <v>35400</v>
      </c>
      <c r="AJ272" s="282">
        <f t="shared" si="142"/>
        <v>38800</v>
      </c>
      <c r="AK272" s="282">
        <f t="shared" si="142"/>
        <v>42000</v>
      </c>
      <c r="AL272" s="62"/>
      <c r="AM272" s="82">
        <f>SUM(G272:AK272)</f>
        <v>1080600</v>
      </c>
      <c r="BI272" s="141"/>
      <c r="VEY272" s="46"/>
      <c r="VEZ272" s="46"/>
      <c r="VFA272" s="46"/>
      <c r="VFB272" s="46"/>
      <c r="VFC272" s="46"/>
      <c r="VFD272" s="46"/>
      <c r="VFE272" s="46"/>
      <c r="VFF272" s="46"/>
      <c r="VFG272" s="46"/>
      <c r="VFH272" s="46"/>
      <c r="VFI272" s="46"/>
      <c r="VFJ272" s="46"/>
      <c r="VFK272" s="46"/>
      <c r="VFL272" s="46"/>
      <c r="VFM272" s="46"/>
      <c r="VFN272" s="46"/>
      <c r="VFO272" s="46"/>
      <c r="VFP272" s="46"/>
      <c r="VFQ272" s="46"/>
      <c r="VFR272" s="46"/>
      <c r="VFS272" s="46"/>
      <c r="VFT272" s="46"/>
      <c r="VFU272" s="46"/>
      <c r="VFV272" s="46"/>
      <c r="VFW272" s="46"/>
      <c r="VFX272" s="46"/>
      <c r="VFY272" s="46"/>
      <c r="VFZ272" s="46"/>
      <c r="VGA272" s="46"/>
      <c r="VGB272" s="46"/>
      <c r="VGC272" s="46"/>
      <c r="VGD272" s="46"/>
      <c r="VGE272" s="46"/>
      <c r="VGF272" s="46"/>
      <c r="VGG272" s="46"/>
      <c r="VGH272" s="46"/>
      <c r="VGI272" s="46"/>
      <c r="VGJ272" s="46"/>
      <c r="VGK272" s="46"/>
      <c r="VGL272" s="46"/>
      <c r="VGM272" s="46"/>
      <c r="VGN272" s="46"/>
      <c r="VGO272" s="46"/>
      <c r="VGP272" s="46"/>
      <c r="VGQ272" s="46"/>
      <c r="VGR272" s="46"/>
      <c r="VGS272" s="46"/>
      <c r="VGT272" s="46"/>
      <c r="VGU272" s="46"/>
      <c r="VGV272" s="46"/>
      <c r="VGW272" s="46"/>
      <c r="VGX272" s="46"/>
      <c r="VGY272" s="46"/>
      <c r="VGZ272" s="46"/>
      <c r="VHA272" s="46"/>
      <c r="VHB272" s="46"/>
      <c r="VHC272" s="46"/>
      <c r="VHD272" s="46"/>
      <c r="VHE272" s="46"/>
      <c r="VHF272" s="46"/>
      <c r="VHG272" s="46"/>
      <c r="VHH272" s="46"/>
      <c r="VHI272" s="46"/>
      <c r="VHJ272" s="46"/>
      <c r="VHK272" s="46"/>
      <c r="VHL272" s="46"/>
      <c r="VHM272" s="46"/>
      <c r="VHN272" s="46"/>
      <c r="VHO272" s="46"/>
      <c r="VHP272" s="46"/>
      <c r="VHQ272" s="46"/>
      <c r="VHR272" s="46"/>
      <c r="VHS272" s="46"/>
      <c r="VHT272" s="46"/>
      <c r="VHU272" s="46"/>
      <c r="VHV272" s="46"/>
      <c r="VHW272" s="46"/>
      <c r="VHX272" s="46"/>
      <c r="VHY272" s="46"/>
      <c r="VHZ272" s="46"/>
      <c r="VIA272" s="46"/>
      <c r="VIB272" s="46"/>
      <c r="VIC272" s="46"/>
      <c r="VID272" s="46"/>
      <c r="VIE272" s="46"/>
      <c r="VIF272" s="46"/>
      <c r="VIG272" s="46"/>
      <c r="VIH272" s="46"/>
      <c r="VII272" s="46"/>
      <c r="VIJ272" s="46"/>
      <c r="VIK272" s="46"/>
      <c r="VIL272" s="46"/>
      <c r="VIM272" s="46"/>
      <c r="VIN272" s="46"/>
      <c r="VIO272" s="46"/>
      <c r="VIP272" s="46"/>
      <c r="VIQ272" s="46"/>
      <c r="VIR272" s="46"/>
      <c r="VIS272" s="46"/>
      <c r="VIT272" s="46"/>
      <c r="VIU272" s="46"/>
      <c r="VIV272" s="46"/>
      <c r="VIW272" s="46"/>
      <c r="VIX272" s="46"/>
      <c r="VIY272" s="46"/>
      <c r="VIZ272" s="46"/>
      <c r="VJA272" s="46"/>
      <c r="VJB272" s="46"/>
      <c r="VJC272" s="46"/>
      <c r="VJD272" s="46"/>
      <c r="VJE272" s="46"/>
      <c r="VJF272" s="46"/>
      <c r="VJG272" s="46"/>
      <c r="VJH272" s="46"/>
      <c r="VJI272" s="46"/>
      <c r="VJJ272" s="46"/>
      <c r="VJK272" s="46"/>
      <c r="VJL272" s="46"/>
      <c r="VJM272" s="46"/>
      <c r="VJN272" s="46"/>
      <c r="VJO272" s="46"/>
      <c r="VJP272" s="46"/>
      <c r="VJQ272" s="46"/>
      <c r="VJR272" s="46"/>
      <c r="VJS272" s="46"/>
      <c r="VJT272" s="46"/>
      <c r="VJU272" s="46"/>
      <c r="VJV272" s="46"/>
      <c r="VJW272" s="46"/>
      <c r="VJX272" s="46"/>
      <c r="VJY272" s="46"/>
      <c r="VJZ272" s="46"/>
      <c r="VKA272" s="46"/>
      <c r="VKB272" s="46"/>
      <c r="VKC272" s="46"/>
      <c r="VKD272" s="46"/>
      <c r="VKE272" s="46"/>
      <c r="VKF272" s="46"/>
      <c r="VKG272" s="46"/>
      <c r="VKH272" s="46"/>
      <c r="VKI272" s="46"/>
      <c r="VKJ272" s="46"/>
      <c r="VKK272" s="46"/>
      <c r="VKL272" s="46"/>
      <c r="VKM272" s="46"/>
      <c r="VKN272" s="46"/>
      <c r="VKO272" s="46"/>
      <c r="VKP272" s="46"/>
      <c r="VKQ272" s="46"/>
      <c r="VKR272" s="46"/>
      <c r="VKS272" s="46"/>
      <c r="VKT272" s="46"/>
      <c r="VKU272" s="46"/>
      <c r="VKV272" s="46"/>
      <c r="VKW272" s="46"/>
      <c r="VKX272" s="46"/>
      <c r="VKY272" s="46"/>
      <c r="VKZ272" s="46"/>
      <c r="VLA272" s="46"/>
      <c r="VLB272" s="46"/>
      <c r="VLC272" s="46"/>
      <c r="VLD272" s="46"/>
      <c r="VLE272" s="46"/>
      <c r="VLF272" s="46"/>
      <c r="VLG272" s="46"/>
      <c r="VLH272" s="46"/>
      <c r="VLI272" s="46"/>
      <c r="VLJ272" s="46"/>
      <c r="VLK272" s="46"/>
      <c r="VLL272" s="46"/>
      <c r="VLM272" s="46"/>
      <c r="VLN272" s="46"/>
      <c r="VLO272" s="46"/>
      <c r="VLP272" s="46"/>
      <c r="VLQ272" s="46"/>
      <c r="VLR272" s="46"/>
      <c r="VLS272" s="46"/>
      <c r="VLT272" s="46"/>
      <c r="VLU272" s="46"/>
      <c r="VLV272" s="46"/>
      <c r="VLW272" s="46"/>
      <c r="VLX272" s="46"/>
      <c r="VLY272" s="46"/>
      <c r="VLZ272" s="46"/>
      <c r="VMA272" s="46"/>
      <c r="VMB272" s="46"/>
      <c r="VMC272" s="46"/>
      <c r="VMD272" s="46"/>
      <c r="VME272" s="46"/>
      <c r="VMF272" s="46"/>
      <c r="VMG272" s="46"/>
      <c r="VMH272" s="46"/>
      <c r="VMI272" s="46"/>
      <c r="VMJ272" s="46"/>
      <c r="VMK272" s="46"/>
      <c r="VML272" s="46"/>
      <c r="VMM272" s="46"/>
      <c r="VMN272" s="46"/>
      <c r="VMO272" s="46"/>
      <c r="VMP272" s="46"/>
      <c r="VMQ272" s="46"/>
      <c r="VMR272" s="46"/>
      <c r="VMS272" s="46"/>
      <c r="VMT272" s="46"/>
      <c r="VMU272" s="46"/>
      <c r="VMV272" s="46"/>
      <c r="VMW272" s="46"/>
      <c r="VMX272" s="46"/>
      <c r="VMY272" s="46"/>
      <c r="VMZ272" s="46"/>
      <c r="VNA272" s="46"/>
      <c r="VNB272" s="46"/>
      <c r="VNC272" s="46"/>
      <c r="VND272" s="46"/>
      <c r="VNE272" s="46"/>
      <c r="VNF272" s="46"/>
      <c r="VNG272" s="46"/>
      <c r="VNH272" s="46"/>
      <c r="VNI272" s="46"/>
      <c r="VNJ272" s="46"/>
      <c r="VNK272" s="46"/>
      <c r="VNL272" s="46"/>
      <c r="VNM272" s="46"/>
      <c r="VNN272" s="46"/>
      <c r="VNO272" s="46"/>
      <c r="VNP272" s="46"/>
      <c r="VNQ272" s="46"/>
      <c r="VNR272" s="46"/>
      <c r="VNS272" s="46"/>
      <c r="VNT272" s="46"/>
      <c r="VNU272" s="46"/>
      <c r="VNV272" s="46"/>
      <c r="VNW272" s="46"/>
      <c r="VNX272" s="46"/>
      <c r="VNY272" s="46"/>
      <c r="VNZ272" s="46"/>
      <c r="VOA272" s="46"/>
      <c r="VOB272" s="46"/>
      <c r="VOC272" s="46"/>
      <c r="VOD272" s="46"/>
      <c r="VOE272" s="46"/>
      <c r="VOF272" s="46"/>
      <c r="VOG272" s="46"/>
      <c r="VOH272" s="46"/>
      <c r="VOI272" s="46"/>
      <c r="VOJ272" s="46"/>
      <c r="VOK272" s="46"/>
      <c r="VOL272" s="46"/>
      <c r="VOM272" s="46"/>
      <c r="VON272" s="46"/>
      <c r="VOO272" s="46"/>
      <c r="VOP272" s="46"/>
      <c r="VOQ272" s="46"/>
      <c r="VOR272" s="46"/>
      <c r="VOS272" s="46"/>
      <c r="VOT272" s="46"/>
      <c r="VOU272" s="46"/>
      <c r="VOV272" s="46"/>
      <c r="VOW272" s="46"/>
      <c r="VOX272" s="46"/>
      <c r="VOY272" s="46"/>
      <c r="VOZ272" s="46"/>
      <c r="VPA272" s="46"/>
      <c r="VPB272" s="46"/>
      <c r="VPC272" s="46"/>
      <c r="VPD272" s="46"/>
      <c r="VPE272" s="46"/>
      <c r="VPF272" s="46"/>
      <c r="VPG272" s="46"/>
      <c r="VPH272" s="46"/>
      <c r="VPI272" s="46"/>
      <c r="VPJ272" s="46"/>
      <c r="VPK272" s="46"/>
      <c r="VPL272" s="46"/>
      <c r="VPM272" s="46"/>
      <c r="VPN272" s="46"/>
      <c r="VPO272" s="46"/>
      <c r="VPP272" s="46"/>
      <c r="VPQ272" s="46"/>
      <c r="VPR272" s="46"/>
      <c r="VPS272" s="46"/>
      <c r="VPT272" s="46"/>
      <c r="VPU272" s="46"/>
      <c r="VPV272" s="46"/>
      <c r="VPW272" s="46"/>
      <c r="VPX272" s="46"/>
      <c r="VPY272" s="46"/>
      <c r="VPZ272" s="46"/>
      <c r="VQA272" s="46"/>
      <c r="VQB272" s="46"/>
      <c r="VQC272" s="46"/>
      <c r="VQD272" s="46"/>
      <c r="VQE272" s="46"/>
      <c r="VQF272" s="46"/>
      <c r="VQG272" s="46"/>
      <c r="VQH272" s="46"/>
      <c r="VQI272" s="46"/>
      <c r="VQJ272" s="46"/>
      <c r="VQK272" s="46"/>
      <c r="VQL272" s="46"/>
      <c r="VQM272" s="46"/>
      <c r="VQN272" s="46"/>
      <c r="VQO272" s="46"/>
      <c r="VQP272" s="46"/>
      <c r="VQQ272" s="46"/>
      <c r="VQR272" s="46"/>
      <c r="VQS272" s="46"/>
      <c r="VQT272" s="46"/>
      <c r="VQU272" s="46"/>
      <c r="VQV272" s="46"/>
      <c r="VQW272" s="46"/>
      <c r="VQX272" s="46"/>
      <c r="VQY272" s="46"/>
      <c r="VQZ272" s="46"/>
      <c r="VRA272" s="46"/>
      <c r="VRB272" s="46"/>
      <c r="VRC272" s="46"/>
      <c r="VRD272" s="46"/>
      <c r="VRE272" s="46"/>
      <c r="VRF272" s="46"/>
      <c r="VRG272" s="46"/>
      <c r="VRH272" s="46"/>
      <c r="VRI272" s="46"/>
      <c r="VRJ272" s="46"/>
      <c r="VRK272" s="46"/>
      <c r="VRL272" s="46"/>
      <c r="VRM272" s="46"/>
      <c r="VRN272" s="46"/>
      <c r="VRO272" s="46"/>
      <c r="VRP272" s="46"/>
      <c r="VRQ272" s="46"/>
      <c r="VRR272" s="46"/>
      <c r="VRS272" s="46"/>
      <c r="VRT272" s="46"/>
      <c r="VRU272" s="46"/>
      <c r="VRV272" s="46"/>
      <c r="VRW272" s="46"/>
      <c r="VRX272" s="46"/>
      <c r="VRY272" s="46"/>
      <c r="VRZ272" s="46"/>
      <c r="VSA272" s="46"/>
      <c r="VSB272" s="46"/>
      <c r="VSC272" s="46"/>
      <c r="VSD272" s="46"/>
      <c r="VSE272" s="46"/>
      <c r="VSF272" s="46"/>
      <c r="VSG272" s="46"/>
      <c r="VSH272" s="46"/>
      <c r="VSI272" s="46"/>
      <c r="VSJ272" s="46"/>
      <c r="VSK272" s="46"/>
      <c r="VSL272" s="46"/>
      <c r="VSM272" s="46"/>
      <c r="VSN272" s="46"/>
      <c r="VSO272" s="46"/>
      <c r="VSP272" s="46"/>
      <c r="VSQ272" s="46"/>
      <c r="VSR272" s="46"/>
      <c r="VSS272" s="46"/>
      <c r="VST272" s="46"/>
      <c r="VSU272" s="46"/>
      <c r="VSV272" s="46"/>
      <c r="VSW272" s="46"/>
      <c r="VSX272" s="46"/>
      <c r="VSY272" s="46"/>
      <c r="VSZ272" s="46"/>
      <c r="VTA272" s="46"/>
      <c r="VTB272" s="46"/>
      <c r="VTC272" s="46"/>
      <c r="VTD272" s="46"/>
      <c r="VTE272" s="46"/>
      <c r="VTF272" s="46"/>
      <c r="VTG272" s="46"/>
      <c r="VTH272" s="46"/>
      <c r="VTI272" s="46"/>
      <c r="VTJ272" s="46"/>
      <c r="VTK272" s="46"/>
      <c r="VTL272" s="46"/>
      <c r="VTM272" s="46"/>
      <c r="VTN272" s="46"/>
      <c r="VTO272" s="46"/>
      <c r="VTP272" s="46"/>
      <c r="VTQ272" s="46"/>
      <c r="VTR272" s="46"/>
      <c r="VTS272" s="46"/>
      <c r="VTT272" s="46"/>
      <c r="VTU272" s="46"/>
      <c r="VTV272" s="46"/>
      <c r="VTW272" s="46"/>
      <c r="VTX272" s="46"/>
      <c r="VTY272" s="46"/>
      <c r="VTZ272" s="46"/>
      <c r="VUA272" s="46"/>
    </row>
    <row r="273" spans="3:61 15027:15419" s="1" customFormat="1" x14ac:dyDescent="0.25">
      <c r="C273" s="83"/>
      <c r="D273" s="122" t="s">
        <v>16</v>
      </c>
      <c r="E273" s="13"/>
      <c r="F273" s="69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038"/>
      <c r="T273" s="2049"/>
      <c r="U273" s="2049"/>
      <c r="V273" s="282"/>
      <c r="W273" s="2078"/>
      <c r="X273" s="282"/>
      <c r="Y273" s="282"/>
      <c r="Z273" s="282"/>
      <c r="AA273" s="282"/>
      <c r="AB273" s="282"/>
      <c r="AC273" s="282"/>
      <c r="AD273" s="282"/>
      <c r="AE273" s="282"/>
      <c r="AF273" s="282"/>
      <c r="AG273" s="282"/>
      <c r="AH273" s="282"/>
      <c r="AI273" s="282"/>
      <c r="AJ273" s="282"/>
      <c r="AK273" s="282"/>
      <c r="AL273" s="62"/>
      <c r="AM273" s="124" t="s">
        <v>16</v>
      </c>
      <c r="BI273" s="141"/>
      <c r="VEY273" s="46"/>
      <c r="VEZ273" s="46"/>
      <c r="VFA273" s="46"/>
      <c r="VFB273" s="46"/>
      <c r="VFC273" s="46"/>
      <c r="VFD273" s="46"/>
      <c r="VFE273" s="46"/>
      <c r="VFF273" s="46"/>
      <c r="VFG273" s="46"/>
      <c r="VFH273" s="46"/>
      <c r="VFI273" s="46"/>
      <c r="VFJ273" s="46"/>
      <c r="VFK273" s="46"/>
      <c r="VFL273" s="46"/>
      <c r="VFM273" s="46"/>
      <c r="VFN273" s="46"/>
      <c r="VFO273" s="46"/>
      <c r="VFP273" s="46"/>
      <c r="VFQ273" s="46"/>
      <c r="VFR273" s="46"/>
      <c r="VFS273" s="46"/>
      <c r="VFT273" s="46"/>
      <c r="VFU273" s="46"/>
      <c r="VFV273" s="46"/>
      <c r="VFW273" s="46"/>
      <c r="VFX273" s="46"/>
      <c r="VFY273" s="46"/>
      <c r="VFZ273" s="46"/>
      <c r="VGA273" s="46"/>
      <c r="VGB273" s="46"/>
      <c r="VGC273" s="46"/>
      <c r="VGD273" s="46"/>
      <c r="VGE273" s="46"/>
      <c r="VGF273" s="46"/>
      <c r="VGG273" s="46"/>
      <c r="VGH273" s="46"/>
      <c r="VGI273" s="46"/>
      <c r="VGJ273" s="46"/>
      <c r="VGK273" s="46"/>
      <c r="VGL273" s="46"/>
      <c r="VGM273" s="46"/>
      <c r="VGN273" s="46"/>
      <c r="VGO273" s="46"/>
      <c r="VGP273" s="46"/>
      <c r="VGQ273" s="46"/>
      <c r="VGR273" s="46"/>
      <c r="VGS273" s="46"/>
      <c r="VGT273" s="46"/>
      <c r="VGU273" s="46"/>
      <c r="VGV273" s="46"/>
      <c r="VGW273" s="46"/>
      <c r="VGX273" s="46"/>
      <c r="VGY273" s="46"/>
      <c r="VGZ273" s="46"/>
      <c r="VHA273" s="46"/>
      <c r="VHB273" s="46"/>
      <c r="VHC273" s="46"/>
      <c r="VHD273" s="46"/>
      <c r="VHE273" s="46"/>
      <c r="VHF273" s="46"/>
      <c r="VHG273" s="46"/>
      <c r="VHH273" s="46"/>
      <c r="VHI273" s="46"/>
      <c r="VHJ273" s="46"/>
      <c r="VHK273" s="46"/>
      <c r="VHL273" s="46"/>
      <c r="VHM273" s="46"/>
      <c r="VHN273" s="46"/>
      <c r="VHO273" s="46"/>
      <c r="VHP273" s="46"/>
      <c r="VHQ273" s="46"/>
      <c r="VHR273" s="46"/>
      <c r="VHS273" s="46"/>
      <c r="VHT273" s="46"/>
      <c r="VHU273" s="46"/>
      <c r="VHV273" s="46"/>
      <c r="VHW273" s="46"/>
      <c r="VHX273" s="46"/>
      <c r="VHY273" s="46"/>
      <c r="VHZ273" s="46"/>
      <c r="VIA273" s="46"/>
      <c r="VIB273" s="46"/>
      <c r="VIC273" s="46"/>
      <c r="VID273" s="46"/>
      <c r="VIE273" s="46"/>
      <c r="VIF273" s="46"/>
      <c r="VIG273" s="46"/>
      <c r="VIH273" s="46"/>
      <c r="VII273" s="46"/>
      <c r="VIJ273" s="46"/>
      <c r="VIK273" s="46"/>
      <c r="VIL273" s="46"/>
      <c r="VIM273" s="46"/>
      <c r="VIN273" s="46"/>
      <c r="VIO273" s="46"/>
      <c r="VIP273" s="46"/>
      <c r="VIQ273" s="46"/>
      <c r="VIR273" s="46"/>
      <c r="VIS273" s="46"/>
      <c r="VIT273" s="46"/>
      <c r="VIU273" s="46"/>
      <c r="VIV273" s="46"/>
      <c r="VIW273" s="46"/>
      <c r="VIX273" s="46"/>
      <c r="VIY273" s="46"/>
      <c r="VIZ273" s="46"/>
      <c r="VJA273" s="46"/>
      <c r="VJB273" s="46"/>
      <c r="VJC273" s="46"/>
      <c r="VJD273" s="46"/>
      <c r="VJE273" s="46"/>
      <c r="VJF273" s="46"/>
      <c r="VJG273" s="46"/>
      <c r="VJH273" s="46"/>
      <c r="VJI273" s="46"/>
      <c r="VJJ273" s="46"/>
      <c r="VJK273" s="46"/>
      <c r="VJL273" s="46"/>
      <c r="VJM273" s="46"/>
      <c r="VJN273" s="46"/>
      <c r="VJO273" s="46"/>
      <c r="VJP273" s="46"/>
      <c r="VJQ273" s="46"/>
      <c r="VJR273" s="46"/>
      <c r="VJS273" s="46"/>
      <c r="VJT273" s="46"/>
      <c r="VJU273" s="46"/>
      <c r="VJV273" s="46"/>
      <c r="VJW273" s="46"/>
      <c r="VJX273" s="46"/>
      <c r="VJY273" s="46"/>
      <c r="VJZ273" s="46"/>
      <c r="VKA273" s="46"/>
      <c r="VKB273" s="46"/>
      <c r="VKC273" s="46"/>
      <c r="VKD273" s="46"/>
      <c r="VKE273" s="46"/>
      <c r="VKF273" s="46"/>
      <c r="VKG273" s="46"/>
      <c r="VKH273" s="46"/>
      <c r="VKI273" s="46"/>
      <c r="VKJ273" s="46"/>
      <c r="VKK273" s="46"/>
      <c r="VKL273" s="46"/>
      <c r="VKM273" s="46"/>
      <c r="VKN273" s="46"/>
      <c r="VKO273" s="46"/>
      <c r="VKP273" s="46"/>
      <c r="VKQ273" s="46"/>
      <c r="VKR273" s="46"/>
      <c r="VKS273" s="46"/>
      <c r="VKT273" s="46"/>
      <c r="VKU273" s="46"/>
      <c r="VKV273" s="46"/>
      <c r="VKW273" s="46"/>
      <c r="VKX273" s="46"/>
      <c r="VKY273" s="46"/>
      <c r="VKZ273" s="46"/>
      <c r="VLA273" s="46"/>
      <c r="VLB273" s="46"/>
      <c r="VLC273" s="46"/>
      <c r="VLD273" s="46"/>
      <c r="VLE273" s="46"/>
      <c r="VLF273" s="46"/>
      <c r="VLG273" s="46"/>
      <c r="VLH273" s="46"/>
      <c r="VLI273" s="46"/>
      <c r="VLJ273" s="46"/>
      <c r="VLK273" s="46"/>
      <c r="VLL273" s="46"/>
      <c r="VLM273" s="46"/>
      <c r="VLN273" s="46"/>
      <c r="VLO273" s="46"/>
      <c r="VLP273" s="46"/>
      <c r="VLQ273" s="46"/>
      <c r="VLR273" s="46"/>
      <c r="VLS273" s="46"/>
      <c r="VLT273" s="46"/>
      <c r="VLU273" s="46"/>
      <c r="VLV273" s="46"/>
      <c r="VLW273" s="46"/>
      <c r="VLX273" s="46"/>
      <c r="VLY273" s="46"/>
      <c r="VLZ273" s="46"/>
      <c r="VMA273" s="46"/>
      <c r="VMB273" s="46"/>
      <c r="VMC273" s="46"/>
      <c r="VMD273" s="46"/>
      <c r="VME273" s="46"/>
      <c r="VMF273" s="46"/>
      <c r="VMG273" s="46"/>
      <c r="VMH273" s="46"/>
      <c r="VMI273" s="46"/>
      <c r="VMJ273" s="46"/>
      <c r="VMK273" s="46"/>
      <c r="VML273" s="46"/>
      <c r="VMM273" s="46"/>
      <c r="VMN273" s="46"/>
      <c r="VMO273" s="46"/>
      <c r="VMP273" s="46"/>
      <c r="VMQ273" s="46"/>
      <c r="VMR273" s="46"/>
      <c r="VMS273" s="46"/>
      <c r="VMT273" s="46"/>
      <c r="VMU273" s="46"/>
      <c r="VMV273" s="46"/>
      <c r="VMW273" s="46"/>
      <c r="VMX273" s="46"/>
      <c r="VMY273" s="46"/>
      <c r="VMZ273" s="46"/>
      <c r="VNA273" s="46"/>
      <c r="VNB273" s="46"/>
      <c r="VNC273" s="46"/>
      <c r="VND273" s="46"/>
      <c r="VNE273" s="46"/>
      <c r="VNF273" s="46"/>
      <c r="VNG273" s="46"/>
      <c r="VNH273" s="46"/>
      <c r="VNI273" s="46"/>
      <c r="VNJ273" s="46"/>
      <c r="VNK273" s="46"/>
      <c r="VNL273" s="46"/>
      <c r="VNM273" s="46"/>
      <c r="VNN273" s="46"/>
      <c r="VNO273" s="46"/>
      <c r="VNP273" s="46"/>
      <c r="VNQ273" s="46"/>
      <c r="VNR273" s="46"/>
      <c r="VNS273" s="46"/>
      <c r="VNT273" s="46"/>
      <c r="VNU273" s="46"/>
      <c r="VNV273" s="46"/>
      <c r="VNW273" s="46"/>
      <c r="VNX273" s="46"/>
      <c r="VNY273" s="46"/>
      <c r="VNZ273" s="46"/>
      <c r="VOA273" s="46"/>
      <c r="VOB273" s="46"/>
      <c r="VOC273" s="46"/>
      <c r="VOD273" s="46"/>
      <c r="VOE273" s="46"/>
      <c r="VOF273" s="46"/>
      <c r="VOG273" s="46"/>
      <c r="VOH273" s="46"/>
      <c r="VOI273" s="46"/>
      <c r="VOJ273" s="46"/>
      <c r="VOK273" s="46"/>
      <c r="VOL273" s="46"/>
      <c r="VOM273" s="46"/>
      <c r="VON273" s="46"/>
      <c r="VOO273" s="46"/>
      <c r="VOP273" s="46"/>
      <c r="VOQ273" s="46"/>
      <c r="VOR273" s="46"/>
      <c r="VOS273" s="46"/>
      <c r="VOT273" s="46"/>
      <c r="VOU273" s="46"/>
      <c r="VOV273" s="46"/>
      <c r="VOW273" s="46"/>
      <c r="VOX273" s="46"/>
      <c r="VOY273" s="46"/>
      <c r="VOZ273" s="46"/>
      <c r="VPA273" s="46"/>
      <c r="VPB273" s="46"/>
      <c r="VPC273" s="46"/>
      <c r="VPD273" s="46"/>
      <c r="VPE273" s="46"/>
      <c r="VPF273" s="46"/>
      <c r="VPG273" s="46"/>
      <c r="VPH273" s="46"/>
      <c r="VPI273" s="46"/>
      <c r="VPJ273" s="46"/>
      <c r="VPK273" s="46"/>
      <c r="VPL273" s="46"/>
      <c r="VPM273" s="46"/>
      <c r="VPN273" s="46"/>
      <c r="VPO273" s="46"/>
      <c r="VPP273" s="46"/>
      <c r="VPQ273" s="46"/>
      <c r="VPR273" s="46"/>
      <c r="VPS273" s="46"/>
      <c r="VPT273" s="46"/>
      <c r="VPU273" s="46"/>
      <c r="VPV273" s="46"/>
      <c r="VPW273" s="46"/>
      <c r="VPX273" s="46"/>
      <c r="VPY273" s="46"/>
      <c r="VPZ273" s="46"/>
      <c r="VQA273" s="46"/>
      <c r="VQB273" s="46"/>
      <c r="VQC273" s="46"/>
      <c r="VQD273" s="46"/>
      <c r="VQE273" s="46"/>
      <c r="VQF273" s="46"/>
      <c r="VQG273" s="46"/>
      <c r="VQH273" s="46"/>
      <c r="VQI273" s="46"/>
      <c r="VQJ273" s="46"/>
      <c r="VQK273" s="46"/>
      <c r="VQL273" s="46"/>
      <c r="VQM273" s="46"/>
      <c r="VQN273" s="46"/>
      <c r="VQO273" s="46"/>
      <c r="VQP273" s="46"/>
      <c r="VQQ273" s="46"/>
      <c r="VQR273" s="46"/>
      <c r="VQS273" s="46"/>
      <c r="VQT273" s="46"/>
      <c r="VQU273" s="46"/>
      <c r="VQV273" s="46"/>
      <c r="VQW273" s="46"/>
      <c r="VQX273" s="46"/>
      <c r="VQY273" s="46"/>
      <c r="VQZ273" s="46"/>
      <c r="VRA273" s="46"/>
      <c r="VRB273" s="46"/>
      <c r="VRC273" s="46"/>
      <c r="VRD273" s="46"/>
      <c r="VRE273" s="46"/>
      <c r="VRF273" s="46"/>
      <c r="VRG273" s="46"/>
      <c r="VRH273" s="46"/>
      <c r="VRI273" s="46"/>
      <c r="VRJ273" s="46"/>
      <c r="VRK273" s="46"/>
      <c r="VRL273" s="46"/>
      <c r="VRM273" s="46"/>
      <c r="VRN273" s="46"/>
      <c r="VRO273" s="46"/>
      <c r="VRP273" s="46"/>
      <c r="VRQ273" s="46"/>
      <c r="VRR273" s="46"/>
      <c r="VRS273" s="46"/>
      <c r="VRT273" s="46"/>
      <c r="VRU273" s="46"/>
      <c r="VRV273" s="46"/>
      <c r="VRW273" s="46"/>
      <c r="VRX273" s="46"/>
      <c r="VRY273" s="46"/>
      <c r="VRZ273" s="46"/>
      <c r="VSA273" s="46"/>
      <c r="VSB273" s="46"/>
      <c r="VSC273" s="46"/>
      <c r="VSD273" s="46"/>
      <c r="VSE273" s="46"/>
      <c r="VSF273" s="46"/>
      <c r="VSG273" s="46"/>
      <c r="VSH273" s="46"/>
      <c r="VSI273" s="46"/>
      <c r="VSJ273" s="46"/>
      <c r="VSK273" s="46"/>
      <c r="VSL273" s="46"/>
      <c r="VSM273" s="46"/>
      <c r="VSN273" s="46"/>
      <c r="VSO273" s="46"/>
      <c r="VSP273" s="46"/>
      <c r="VSQ273" s="46"/>
      <c r="VSR273" s="46"/>
      <c r="VSS273" s="46"/>
      <c r="VST273" s="46"/>
      <c r="VSU273" s="46"/>
      <c r="VSV273" s="46"/>
      <c r="VSW273" s="46"/>
      <c r="VSX273" s="46"/>
      <c r="VSY273" s="46"/>
      <c r="VSZ273" s="46"/>
      <c r="VTA273" s="46"/>
      <c r="VTB273" s="46"/>
      <c r="VTC273" s="46"/>
      <c r="VTD273" s="46"/>
      <c r="VTE273" s="46"/>
      <c r="VTF273" s="46"/>
      <c r="VTG273" s="46"/>
      <c r="VTH273" s="46"/>
      <c r="VTI273" s="46"/>
      <c r="VTJ273" s="46"/>
      <c r="VTK273" s="46"/>
      <c r="VTL273" s="46"/>
      <c r="VTM273" s="46"/>
      <c r="VTN273" s="46"/>
      <c r="VTO273" s="46"/>
      <c r="VTP273" s="46"/>
      <c r="VTQ273" s="46"/>
      <c r="VTR273" s="46"/>
      <c r="VTS273" s="46"/>
      <c r="VTT273" s="46"/>
      <c r="VTU273" s="46"/>
      <c r="VTV273" s="46"/>
      <c r="VTW273" s="46"/>
      <c r="VTX273" s="46"/>
      <c r="VTY273" s="46"/>
      <c r="VTZ273" s="46"/>
      <c r="VUA273" s="46"/>
    </row>
    <row r="274" spans="3:61 15027:15419" x14ac:dyDescent="0.25">
      <c r="C274" s="15"/>
      <c r="D274" s="247" t="s">
        <v>909</v>
      </c>
      <c r="E274" s="266">
        <v>18374.400000000001</v>
      </c>
      <c r="F274" s="246" t="s">
        <v>995</v>
      </c>
      <c r="G274" s="275"/>
      <c r="H274" s="275">
        <v>0</v>
      </c>
      <c r="I274" s="275">
        <v>0</v>
      </c>
      <c r="J274" s="275">
        <v>0</v>
      </c>
      <c r="K274" s="275">
        <v>0</v>
      </c>
      <c r="L274" s="275">
        <v>0</v>
      </c>
      <c r="M274" s="275">
        <v>8085.5</v>
      </c>
      <c r="N274" s="2121">
        <v>1401.5</v>
      </c>
      <c r="O274" s="275">
        <v>13729.7</v>
      </c>
      <c r="P274" s="275">
        <v>14469.3</v>
      </c>
      <c r="Q274" s="2166">
        <v>14265.7</v>
      </c>
      <c r="R274" s="2167">
        <v>13736.3</v>
      </c>
      <c r="S274" s="2148">
        <v>13482</v>
      </c>
      <c r="T274" s="2179">
        <v>14540.8</v>
      </c>
      <c r="U274" s="2048">
        <v>14411</v>
      </c>
      <c r="V274" s="275">
        <v>13895</v>
      </c>
      <c r="W274" s="2077">
        <v>13510</v>
      </c>
      <c r="X274" s="275">
        <v>14037</v>
      </c>
      <c r="Y274" s="275">
        <v>13555</v>
      </c>
      <c r="Z274" s="275">
        <v>13464</v>
      </c>
      <c r="AA274" s="2003">
        <v>12703</v>
      </c>
      <c r="AB274" s="275">
        <v>13300.1</v>
      </c>
      <c r="AC274" s="275">
        <v>13082.7</v>
      </c>
      <c r="AD274" s="275">
        <v>12639</v>
      </c>
      <c r="AE274" s="275">
        <v>13403.8</v>
      </c>
      <c r="AF274" s="275">
        <v>13309.5</v>
      </c>
      <c r="AG274" s="275">
        <v>13637.7</v>
      </c>
      <c r="AH274" s="275">
        <v>12185.5</v>
      </c>
      <c r="AI274" s="275">
        <v>11787.82</v>
      </c>
      <c r="AJ274" s="275">
        <v>13421.1</v>
      </c>
      <c r="AK274" s="275">
        <v>13891.7</v>
      </c>
      <c r="AM274" s="82">
        <f>SUM(G274:AK274)</f>
        <v>319944.71999999997</v>
      </c>
      <c r="AO274" s="3"/>
    </row>
    <row r="275" spans="3:61 15027:15419" x14ac:dyDescent="0.25">
      <c r="C275" s="15"/>
      <c r="D275" s="952"/>
      <c r="E275" s="1704">
        <f>E274/2500</f>
        <v>7.3497600000000007</v>
      </c>
      <c r="F275" s="61" t="s">
        <v>986</v>
      </c>
      <c r="G275" s="947" t="e">
        <f>G274/G9*1000000</f>
        <v>#DIV/0!</v>
      </c>
      <c r="H275" s="947" t="e">
        <f>H274/H9*1000000</f>
        <v>#DIV/0!</v>
      </c>
      <c r="I275" s="947" t="e">
        <f>I274/I9*1000000</f>
        <v>#DIV/0!</v>
      </c>
      <c r="J275" s="1791">
        <f>J274/J7*1000</f>
        <v>0</v>
      </c>
      <c r="K275" s="947" t="e">
        <f>K274/K9*100000</f>
        <v>#DIV/0!</v>
      </c>
      <c r="L275" s="947" t="e">
        <f>L274/L9*1000000</f>
        <v>#DIV/0!</v>
      </c>
      <c r="M275" s="1791">
        <f>M274/M9*1000</f>
        <v>27.216666273954065</v>
      </c>
      <c r="N275" s="1791">
        <f>N274/N9*1000</f>
        <v>0.92353353220769652</v>
      </c>
      <c r="O275" s="1791">
        <f t="shared" ref="O275:S275" si="143">(O274/O9)*1000</f>
        <v>9.1702450105229705</v>
      </c>
      <c r="P275" s="1791">
        <f t="shared" si="143"/>
        <v>7.8186651968810281</v>
      </c>
      <c r="Q275" s="1791">
        <f t="shared" si="143"/>
        <v>8.4942638993337702</v>
      </c>
      <c r="R275" s="1791">
        <f t="shared" si="143"/>
        <v>9.9156008494775936</v>
      </c>
      <c r="S275" s="273">
        <f t="shared" si="143"/>
        <v>8.3244780530032525</v>
      </c>
      <c r="T275" s="1791">
        <f>(T274/T9)*1000</f>
        <v>7.3599969225364976</v>
      </c>
      <c r="U275" s="1791">
        <f t="shared" ref="U275:V275" si="144">(U274/U9)*1000</f>
        <v>7.5297026417965123</v>
      </c>
      <c r="V275" s="1791">
        <f t="shared" si="144"/>
        <v>9.8314189366076903</v>
      </c>
      <c r="W275" s="1791">
        <f>(W274/W9)*100</f>
        <v>1.0133536154071754</v>
      </c>
      <c r="X275" s="1791">
        <f>(X274/X9)*100</f>
        <v>1.570833547821066</v>
      </c>
      <c r="Y275" s="1791">
        <f t="shared" ref="Y275:AJ275" si="145">(Y274/Y9)*1000</f>
        <v>7.4110847520826759</v>
      </c>
      <c r="Z275" s="1791">
        <f t="shared" si="145"/>
        <v>7.1195039190584746</v>
      </c>
      <c r="AA275" s="1791">
        <f t="shared" si="145"/>
        <v>7.5249033248663606</v>
      </c>
      <c r="AB275" s="1791">
        <f t="shared" si="145"/>
        <v>7.1815570362530918</v>
      </c>
      <c r="AC275" s="1791">
        <f t="shared" si="145"/>
        <v>9.9462118303562939</v>
      </c>
      <c r="AD275" s="1791">
        <f t="shared" si="145"/>
        <v>9.6186555799846118</v>
      </c>
      <c r="AE275" s="1791">
        <f t="shared" si="145"/>
        <v>13.285242495965999</v>
      </c>
      <c r="AF275" s="1791">
        <f t="shared" si="145"/>
        <v>6.9832123773825661</v>
      </c>
      <c r="AG275" s="1791">
        <f t="shared" si="145"/>
        <v>15.975676327879915</v>
      </c>
      <c r="AH275" s="1791">
        <f t="shared" si="145"/>
        <v>17.23511207667153</v>
      </c>
      <c r="AI275" s="1791">
        <f t="shared" si="145"/>
        <v>16.611805159208291</v>
      </c>
      <c r="AJ275" s="1791">
        <f t="shared" si="145"/>
        <v>12.963964677540565</v>
      </c>
      <c r="AK275" s="1791">
        <f t="shared" ref="AK275" si="146">(AK274/AK9)*1000</f>
        <v>12.864471917395935</v>
      </c>
      <c r="AL275" s="62"/>
      <c r="AM275" s="1987">
        <f>(AM274/AM9)*1000</f>
        <v>9.2559748455511173</v>
      </c>
      <c r="AO275" s="2058"/>
      <c r="AU275" s="2058"/>
    </row>
    <row r="276" spans="3:61 15027:15419" x14ac:dyDescent="0.25">
      <c r="C276" s="15"/>
      <c r="D276" s="247" t="s">
        <v>119</v>
      </c>
      <c r="E276" s="266">
        <v>10946.28</v>
      </c>
      <c r="F276" s="246" t="s">
        <v>995</v>
      </c>
      <c r="G276" s="275"/>
      <c r="H276" s="275">
        <v>0</v>
      </c>
      <c r="I276" s="275">
        <v>0</v>
      </c>
      <c r="J276" s="1504">
        <v>0</v>
      </c>
      <c r="K276" s="275">
        <v>0</v>
      </c>
      <c r="L276" s="275">
        <v>0</v>
      </c>
      <c r="M276" s="275">
        <v>7010.1</v>
      </c>
      <c r="N276" s="2122">
        <v>9078.2999999999993</v>
      </c>
      <c r="O276" s="275">
        <v>9139.7999999999993</v>
      </c>
      <c r="P276" s="275">
        <v>9627</v>
      </c>
      <c r="Q276" s="275">
        <v>9030</v>
      </c>
      <c r="R276" s="2022">
        <v>8984</v>
      </c>
      <c r="S276" s="2027">
        <v>8850</v>
      </c>
      <c r="T276" s="2180">
        <v>9989.7999999999993</v>
      </c>
      <c r="U276" s="2052">
        <v>9587</v>
      </c>
      <c r="V276" s="275">
        <v>8818</v>
      </c>
      <c r="W276" s="2080">
        <v>8941</v>
      </c>
      <c r="X276" s="275">
        <v>8536</v>
      </c>
      <c r="Y276" s="275">
        <v>9311</v>
      </c>
      <c r="Z276" s="275">
        <v>9827</v>
      </c>
      <c r="AA276" s="2004">
        <v>9432</v>
      </c>
      <c r="AB276" s="275">
        <v>9930.1</v>
      </c>
      <c r="AC276" s="275">
        <v>9243.6</v>
      </c>
      <c r="AD276" s="275">
        <v>9405.9</v>
      </c>
      <c r="AE276" s="275">
        <v>9267.5</v>
      </c>
      <c r="AF276" s="275">
        <v>9832.4</v>
      </c>
      <c r="AG276" s="275">
        <v>8940.5</v>
      </c>
      <c r="AH276" s="275">
        <v>8284.1</v>
      </c>
      <c r="AI276" s="275">
        <v>8030.4</v>
      </c>
      <c r="AJ276" s="275">
        <v>8518.6</v>
      </c>
      <c r="AK276" s="275">
        <v>8218.9</v>
      </c>
      <c r="AM276" s="82">
        <f>SUM(G276:AK276)</f>
        <v>225833</v>
      </c>
      <c r="AO276" s="3">
        <f>AM274+AM276</f>
        <v>545777.72</v>
      </c>
    </row>
    <row r="277" spans="3:61 15027:15419" x14ac:dyDescent="0.25">
      <c r="C277" s="15"/>
      <c r="D277" s="952"/>
      <c r="E277" s="1704">
        <f>E276/2500</f>
        <v>4.3785120000000006</v>
      </c>
      <c r="F277" s="61" t="s">
        <v>986</v>
      </c>
      <c r="G277" s="947" t="e">
        <f>G276/G9*1000000</f>
        <v>#DIV/0!</v>
      </c>
      <c r="H277" s="947" t="e">
        <f>H276/H9*1000000</f>
        <v>#DIV/0!</v>
      </c>
      <c r="I277" s="947" t="e">
        <f>I276/I9*1000000</f>
        <v>#DIV/0!</v>
      </c>
      <c r="J277" s="1791" t="e">
        <f>J276/J9*1000</f>
        <v>#DIV/0!</v>
      </c>
      <c r="K277" s="947" t="e">
        <f>K276/K9*1000000</f>
        <v>#DIV/0!</v>
      </c>
      <c r="L277" s="947" t="e">
        <f>L276/L9*1000000</f>
        <v>#DIV/0!</v>
      </c>
      <c r="M277" s="1791">
        <f>M276/M9*1000</f>
        <v>23.596753725440035</v>
      </c>
      <c r="N277" s="1791">
        <f>N276/N9*1000</f>
        <v>5.9822436428406212</v>
      </c>
      <c r="O277" s="1791">
        <f>O276/O9*1000</f>
        <v>6.1045911671178414</v>
      </c>
      <c r="P277" s="1791">
        <f>P276/P9*1000</f>
        <v>5.202068507140889</v>
      </c>
      <c r="Q277" s="1791">
        <f t="shared" ref="Q277:AJ277" si="147">(Q276/Q9)*1000</f>
        <v>5.3767570473922728</v>
      </c>
      <c r="R277" s="1791">
        <f t="shared" si="147"/>
        <v>6.485134863952208</v>
      </c>
      <c r="S277" s="1791">
        <f t="shared" si="147"/>
        <v>5.4644437597595887</v>
      </c>
      <c r="T277" s="1791">
        <f t="shared" si="147"/>
        <v>5.0564547519225291</v>
      </c>
      <c r="U277" s="1791">
        <f t="shared" si="147"/>
        <v>5.0091776578241038</v>
      </c>
      <c r="V277" s="1791">
        <f t="shared" si="147"/>
        <v>6.2391833165172077</v>
      </c>
      <c r="W277" s="1791">
        <f>(W276/W9)*1000</f>
        <v>6.7064357330537048</v>
      </c>
      <c r="X277" s="1791">
        <f>(X276/X9)*1000</f>
        <v>9.5523510466628316</v>
      </c>
      <c r="Y277" s="1791">
        <f t="shared" si="147"/>
        <v>5.0907126615006852</v>
      </c>
      <c r="Z277" s="1791">
        <f t="shared" si="147"/>
        <v>5.1963283580353252</v>
      </c>
      <c r="AA277" s="1791">
        <f t="shared" si="147"/>
        <v>5.5872540470864767</v>
      </c>
      <c r="AB277" s="1791">
        <f t="shared" si="147"/>
        <v>5.3618829576993274</v>
      </c>
      <c r="AC277" s="1791">
        <f t="shared" si="147"/>
        <v>7.0275098928418025</v>
      </c>
      <c r="AD277" s="1791">
        <f t="shared" si="147"/>
        <v>7.158170149519524</v>
      </c>
      <c r="AE277" s="1791">
        <f t="shared" si="147"/>
        <v>9.1855283450487839</v>
      </c>
      <c r="AF277" s="1791">
        <f t="shared" si="147"/>
        <v>5.1588517509580631</v>
      </c>
      <c r="AG277" s="1791">
        <f t="shared" si="147"/>
        <v>10.473212800502312</v>
      </c>
      <c r="AH277" s="1791">
        <f t="shared" si="147"/>
        <v>11.716990846034602</v>
      </c>
      <c r="AI277" s="1791">
        <f t="shared" si="147"/>
        <v>11.316718456042445</v>
      </c>
      <c r="AJ277" s="1791">
        <f t="shared" si="147"/>
        <v>8.2284484507303457</v>
      </c>
      <c r="AK277" s="1791">
        <f t="shared" ref="AK277" si="148">(AK276/AK9)*1000</f>
        <v>7.6111496967171366</v>
      </c>
      <c r="AL277" s="62"/>
      <c r="AM277" s="1987">
        <f>AM276/AM9*1000</f>
        <v>6.5333304056255264</v>
      </c>
    </row>
    <row r="278" spans="3:61 15027:15419" x14ac:dyDescent="0.25">
      <c r="C278" s="15"/>
      <c r="D278" s="44" t="s">
        <v>15</v>
      </c>
      <c r="E278" s="532"/>
      <c r="F278" s="45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1983"/>
      <c r="T278" s="299"/>
      <c r="U278" s="299"/>
      <c r="V278" s="299"/>
      <c r="W278" s="299"/>
      <c r="X278" s="299"/>
      <c r="Y278" s="299"/>
      <c r="Z278" s="299"/>
      <c r="AA278" s="299"/>
      <c r="AB278" s="299"/>
      <c r="AC278" s="299"/>
      <c r="AD278" s="299"/>
      <c r="AE278" s="299"/>
      <c r="AF278" s="299"/>
      <c r="AG278" s="299"/>
      <c r="AH278" s="299"/>
      <c r="AI278" s="299"/>
      <c r="AJ278" s="299"/>
      <c r="AK278" s="299"/>
      <c r="AM278" s="125" t="s">
        <v>15</v>
      </c>
    </row>
    <row r="279" spans="3:61 15027:15419" x14ac:dyDescent="0.25">
      <c r="C279" s="15"/>
      <c r="D279" s="247" t="s">
        <v>920</v>
      </c>
      <c r="E279" s="266">
        <v>10272</v>
      </c>
      <c r="F279" s="246" t="s">
        <v>995</v>
      </c>
      <c r="G279" s="275">
        <v>0</v>
      </c>
      <c r="H279" s="275">
        <v>0</v>
      </c>
      <c r="I279" s="275">
        <v>0</v>
      </c>
      <c r="J279" s="275">
        <v>0</v>
      </c>
      <c r="K279" s="275">
        <v>0</v>
      </c>
      <c r="L279" s="275">
        <v>0</v>
      </c>
      <c r="M279" s="275">
        <f>313*24*1</f>
        <v>7512</v>
      </c>
      <c r="N279" s="2123">
        <v>7512</v>
      </c>
      <c r="O279" s="2123">
        <v>7512</v>
      </c>
      <c r="P279" s="2123">
        <v>7512</v>
      </c>
      <c r="Q279" s="275">
        <v>7512</v>
      </c>
      <c r="R279" s="275">
        <v>7512</v>
      </c>
      <c r="S279" s="275">
        <v>7512</v>
      </c>
      <c r="T279" s="2181">
        <v>7512</v>
      </c>
      <c r="U279" s="275">
        <f>313*24*2</f>
        <v>15024</v>
      </c>
      <c r="V279" s="275">
        <f t="shared" ref="V279:AC279" si="149">313*24*2</f>
        <v>15024</v>
      </c>
      <c r="W279" s="275">
        <f t="shared" si="149"/>
        <v>15024</v>
      </c>
      <c r="X279" s="275">
        <f t="shared" si="149"/>
        <v>15024</v>
      </c>
      <c r="Y279" s="275">
        <f t="shared" si="149"/>
        <v>15024</v>
      </c>
      <c r="Z279" s="275">
        <f t="shared" si="149"/>
        <v>15024</v>
      </c>
      <c r="AA279" s="275">
        <f t="shared" si="149"/>
        <v>15024</v>
      </c>
      <c r="AB279" s="275">
        <f t="shared" si="149"/>
        <v>15024</v>
      </c>
      <c r="AC279" s="275">
        <f t="shared" si="149"/>
        <v>15024</v>
      </c>
      <c r="AD279" s="275">
        <v>15024</v>
      </c>
      <c r="AE279" s="275">
        <v>15024</v>
      </c>
      <c r="AF279" s="275">
        <v>15024</v>
      </c>
      <c r="AG279" s="275">
        <v>15024</v>
      </c>
      <c r="AH279" s="275">
        <v>15024</v>
      </c>
      <c r="AI279" s="275">
        <v>15024</v>
      </c>
      <c r="AJ279" s="275">
        <v>15024</v>
      </c>
      <c r="AK279" s="275">
        <v>15024</v>
      </c>
      <c r="AM279" s="82">
        <f>SUM(G279:AK279)</f>
        <v>315504</v>
      </c>
    </row>
    <row r="280" spans="3:61 15027:15419" x14ac:dyDescent="0.25">
      <c r="C280" s="15"/>
      <c r="D280" s="952"/>
      <c r="E280" s="1704">
        <f>E279/2500</f>
        <v>4.1087999999999996</v>
      </c>
      <c r="F280" s="61" t="s">
        <v>986</v>
      </c>
      <c r="G280" s="33"/>
      <c r="H280" s="33"/>
      <c r="I280" s="33"/>
      <c r="J280" s="33"/>
      <c r="K280" s="33"/>
      <c r="L280" s="33"/>
      <c r="M280" s="947">
        <f>M279/M29*1000</f>
        <v>36.194909006808224</v>
      </c>
      <c r="N280" s="947">
        <f>N279/N29*1000</f>
        <v>20.374288039056143</v>
      </c>
      <c r="O280" s="1713">
        <f t="shared" ref="O280:Q280" si="150">(O279/O29)*1000</f>
        <v>5.3927396150996705</v>
      </c>
      <c r="P280" s="1713">
        <f t="shared" si="150"/>
        <v>4.7690605293581001</v>
      </c>
      <c r="Q280" s="1713">
        <f t="shared" si="150"/>
        <v>3.9996400749879268</v>
      </c>
      <c r="R280" s="34">
        <f>(R279/R25)*1000</f>
        <v>5.4004313443565781</v>
      </c>
      <c r="S280" s="34">
        <f>(S279/S29)*1000</f>
        <v>4.9723449716565744</v>
      </c>
      <c r="T280" s="34">
        <f>(T279/T29)*1000</f>
        <v>4.453645799984348</v>
      </c>
      <c r="U280" s="34">
        <f t="shared" ref="U280:W280" si="151">(U279/U29)*1000</f>
        <v>11.593576615299138</v>
      </c>
      <c r="V280" s="34">
        <f t="shared" si="151"/>
        <v>9.3740289980944969</v>
      </c>
      <c r="W280" s="34">
        <f t="shared" si="151"/>
        <v>9.9916935401812523</v>
      </c>
      <c r="X280" s="34">
        <f>(X279/X29)*10000</f>
        <v>141.30659694136679</v>
      </c>
      <c r="Y280" s="34">
        <f t="shared" ref="Y280:Z280" si="152">(Y279/Y29)*1000</f>
        <v>10.236047730069208</v>
      </c>
      <c r="Z280" s="34">
        <f t="shared" si="152"/>
        <v>12.285711482037545</v>
      </c>
      <c r="AA280" s="34">
        <f t="shared" ref="AA280:AC280" si="153">(AA279/AA29)*1000</f>
        <v>8.6364482951292363</v>
      </c>
      <c r="AB280" s="34">
        <f t="shared" si="153"/>
        <v>8.1719814824988291</v>
      </c>
      <c r="AC280" s="34">
        <f t="shared" si="153"/>
        <v>8.2382512798241798</v>
      </c>
      <c r="AD280" s="34">
        <f t="shared" ref="AD280:AJ280" si="154">(AD279/AD29)*1000</f>
        <v>8.841199140595899</v>
      </c>
      <c r="AE280" s="34">
        <f t="shared" si="154"/>
        <v>14.213543736163933</v>
      </c>
      <c r="AF280" s="34">
        <f t="shared" si="154"/>
        <v>11.634642488747913</v>
      </c>
      <c r="AG280" s="34">
        <f t="shared" si="154"/>
        <v>14.768330659620649</v>
      </c>
      <c r="AH280" s="34">
        <f t="shared" si="154"/>
        <v>12.0281585725048</v>
      </c>
      <c r="AI280" s="34">
        <f t="shared" si="154"/>
        <v>34.170694262807757</v>
      </c>
      <c r="AJ280" s="34">
        <f t="shared" si="154"/>
        <v>23.305850506868119</v>
      </c>
      <c r="AK280" s="34">
        <f t="shared" ref="AK280" si="155">(AK279/AK29)*1000</f>
        <v>17.789313150640812</v>
      </c>
      <c r="AM280" s="1986">
        <f>AM279/AM32*1000</f>
        <v>25.631501829359241</v>
      </c>
      <c r="AO280" s="140"/>
    </row>
    <row r="281" spans="3:61 15027:15419" x14ac:dyDescent="0.25">
      <c r="C281" s="15"/>
      <c r="D281" s="247" t="s">
        <v>121</v>
      </c>
      <c r="E281" s="266">
        <v>11201.3</v>
      </c>
      <c r="F281" s="246" t="s">
        <v>995</v>
      </c>
      <c r="G281" s="275">
        <v>0</v>
      </c>
      <c r="H281" s="275">
        <v>0</v>
      </c>
      <c r="I281" s="275">
        <v>0</v>
      </c>
      <c r="J281" s="275">
        <v>0</v>
      </c>
      <c r="K281" s="275">
        <v>0</v>
      </c>
      <c r="L281" s="275">
        <v>0</v>
      </c>
      <c r="M281" s="275">
        <v>2430.6999999999998</v>
      </c>
      <c r="N281" s="2124">
        <v>390.4</v>
      </c>
      <c r="O281" s="275">
        <v>5965.4</v>
      </c>
      <c r="P281" s="275">
        <v>7626.1</v>
      </c>
      <c r="Q281" s="275">
        <v>6402</v>
      </c>
      <c r="R281" s="2023">
        <v>5489</v>
      </c>
      <c r="S281" s="2027">
        <v>5891</v>
      </c>
      <c r="T281" s="2182">
        <v>6268.9</v>
      </c>
      <c r="U281" s="2053">
        <v>7191</v>
      </c>
      <c r="V281" s="1634">
        <v>9124</v>
      </c>
      <c r="W281" s="2081">
        <v>8942</v>
      </c>
      <c r="X281" s="275">
        <v>6720</v>
      </c>
      <c r="Y281" s="275">
        <v>8875</v>
      </c>
      <c r="Z281" s="275">
        <v>9160</v>
      </c>
      <c r="AA281" s="275">
        <v>9219</v>
      </c>
      <c r="AB281" s="275">
        <v>9520.2000000000007</v>
      </c>
      <c r="AC281" s="275">
        <v>9446.1</v>
      </c>
      <c r="AD281" s="275">
        <v>8438.2999999999993</v>
      </c>
      <c r="AE281" s="275">
        <v>7683.9</v>
      </c>
      <c r="AF281" s="1634">
        <v>8135.1</v>
      </c>
      <c r="AG281" s="275">
        <v>6789.1</v>
      </c>
      <c r="AH281" s="275">
        <v>7568.3</v>
      </c>
      <c r="AI281" s="275">
        <v>5694.5</v>
      </c>
      <c r="AJ281" s="275">
        <v>6349.6</v>
      </c>
      <c r="AK281" s="275">
        <v>7010.2</v>
      </c>
      <c r="AM281" s="82">
        <f>SUM(G281:AK281)</f>
        <v>176329.80000000002</v>
      </c>
      <c r="AO281" s="2059"/>
      <c r="AU281" s="140"/>
    </row>
    <row r="282" spans="3:61 15027:15419" x14ac:dyDescent="0.25">
      <c r="C282" s="15"/>
      <c r="D282" s="952"/>
      <c r="E282" s="1704">
        <f>E281/2500</f>
        <v>4.4805199999999994</v>
      </c>
      <c r="F282" s="61" t="s">
        <v>986</v>
      </c>
      <c r="G282" s="947" t="e">
        <f t="shared" ref="G282:L282" si="156">G281/G29*1000000</f>
        <v>#DIV/0!</v>
      </c>
      <c r="H282" s="947" t="e">
        <f t="shared" si="156"/>
        <v>#DIV/0!</v>
      </c>
      <c r="I282" s="947" t="e">
        <f t="shared" si="156"/>
        <v>#DIV/0!</v>
      </c>
      <c r="J282" s="947" t="e">
        <f t="shared" si="156"/>
        <v>#DIV/0!</v>
      </c>
      <c r="K282" s="947" t="e">
        <f t="shared" si="156"/>
        <v>#DIV/0!</v>
      </c>
      <c r="L282" s="947" t="e">
        <f t="shared" si="156"/>
        <v>#DIV/0!</v>
      </c>
      <c r="M282" s="947">
        <f>M281/M29*1000</f>
        <v>11.711789845959633</v>
      </c>
      <c r="N282" s="273">
        <f>N281/N29*1000</f>
        <v>1.0588554380254949</v>
      </c>
      <c r="O282" s="1791">
        <f>O281/O29*1000</f>
        <v>4.2824612486575573</v>
      </c>
      <c r="P282" s="1791">
        <f>(P281/P29)*1000</f>
        <v>4.8414979370257996</v>
      </c>
      <c r="Q282" s="1791">
        <f>(Q281/Q29)*1000</f>
        <v>3.40863894569658</v>
      </c>
      <c r="R282" s="1791">
        <f>(R281/R25)*1000</f>
        <v>3.9460819554277498</v>
      </c>
      <c r="S282" s="1791">
        <f t="shared" ref="S282:X282" si="157">(S281/S29)*1000</f>
        <v>3.8993722348281254</v>
      </c>
      <c r="T282" s="1791">
        <f>(T281/T29)*1000</f>
        <v>3.7166480505220818</v>
      </c>
      <c r="U282" s="1791">
        <f>(U281/U29)*1000</f>
        <v>5.5490820980175783</v>
      </c>
      <c r="V282" s="1791">
        <f>(V281/V29)*1000</f>
        <v>5.6928008904828395</v>
      </c>
      <c r="W282" s="1791">
        <f t="shared" si="157"/>
        <v>5.9468665892106465</v>
      </c>
      <c r="X282" s="1791">
        <f t="shared" si="157"/>
        <v>6.3204228663870134</v>
      </c>
      <c r="Y282" s="1791">
        <f t="shared" ref="Y282:Z282" si="158">(Y281/Y29)*1000</f>
        <v>6.0466535945396851</v>
      </c>
      <c r="Z282" s="1791">
        <f t="shared" si="158"/>
        <v>7.4904896948524966</v>
      </c>
      <c r="AA282" s="1791">
        <f t="shared" ref="AA282:AB282" si="159">(AA281/AA29)*1000</f>
        <v>5.2994819510647249</v>
      </c>
      <c r="AB282" s="1791">
        <f t="shared" si="159"/>
        <v>5.1783079146489195</v>
      </c>
      <c r="AC282" s="1791">
        <f t="shared" ref="AC282" si="160">(AC281/AC29)*1000</f>
        <v>5.1796688907313095</v>
      </c>
      <c r="AD282" s="1791">
        <f t="shared" ref="AD282:AK282" si="161">(AD281/AD29)*1000</f>
        <v>4.9657009257248639</v>
      </c>
      <c r="AE282" s="1791">
        <f t="shared" si="161"/>
        <v>7.2693988760855985</v>
      </c>
      <c r="AF282" s="1791">
        <f t="shared" si="161"/>
        <v>6.2998522437575311</v>
      </c>
      <c r="AG282" s="1791">
        <f t="shared" si="161"/>
        <v>6.6735672045547485</v>
      </c>
      <c r="AH282" s="1791">
        <f t="shared" si="161"/>
        <v>6.0591528570479287</v>
      </c>
      <c r="AI282" s="1791">
        <f t="shared" si="161"/>
        <v>12.951611986126117</v>
      </c>
      <c r="AJ282" s="1791">
        <f t="shared" si="161"/>
        <v>9.849762272258376</v>
      </c>
      <c r="AK282" s="1791">
        <f t="shared" si="161"/>
        <v>8.3004954105845474</v>
      </c>
      <c r="AL282" s="62"/>
      <c r="AM282" s="1986">
        <f>AM281/AM32*1000</f>
        <v>14.325008847021115</v>
      </c>
      <c r="AO282" s="3"/>
    </row>
    <row r="283" spans="3:61 15027:15419" x14ac:dyDescent="0.25">
      <c r="C283" s="1931"/>
      <c r="D283" s="1932" t="s">
        <v>7</v>
      </c>
      <c r="E283" s="547"/>
      <c r="F283" s="1933"/>
      <c r="G283" s="1934"/>
      <c r="H283" s="1934"/>
      <c r="I283" s="1934"/>
      <c r="J283" s="1934"/>
      <c r="K283" s="1934"/>
      <c r="L283" s="1934"/>
      <c r="M283" s="1934"/>
      <c r="N283" s="2007">
        <f>N271-N274-N276-N279-N281</f>
        <v>-18349.099999999999</v>
      </c>
      <c r="O283" s="2007">
        <f t="shared" ref="O283:AG283" si="162">O271-O274-O276-O279-O281</f>
        <v>-36307</v>
      </c>
      <c r="P283" s="2007">
        <f t="shared" si="162"/>
        <v>-39188</v>
      </c>
      <c r="Q283" s="2007">
        <f t="shared" si="162"/>
        <v>-37167.800000000003</v>
      </c>
      <c r="R283" s="2007">
        <f t="shared" si="162"/>
        <v>-35683.1</v>
      </c>
      <c r="S283" s="2007">
        <f t="shared" si="162"/>
        <v>-35694.9</v>
      </c>
      <c r="T283" s="2007">
        <f t="shared" si="162"/>
        <v>-38269.5</v>
      </c>
      <c r="U283" s="2007">
        <f t="shared" si="162"/>
        <v>-46168.5</v>
      </c>
      <c r="V283" s="2007">
        <f t="shared" si="162"/>
        <v>-46812.2</v>
      </c>
      <c r="W283" s="2007">
        <f t="shared" si="162"/>
        <v>-46370.3</v>
      </c>
      <c r="X283" s="2007">
        <f t="shared" si="162"/>
        <v>-44276.4</v>
      </c>
      <c r="Y283" s="2007">
        <f t="shared" si="162"/>
        <v>-46715.9</v>
      </c>
      <c r="Z283" s="2007">
        <f t="shared" si="162"/>
        <v>-47426</v>
      </c>
      <c r="AA283" s="2007">
        <f t="shared" si="162"/>
        <v>-46327.3</v>
      </c>
      <c r="AB283" s="2007">
        <f t="shared" si="162"/>
        <v>-47722.899999999994</v>
      </c>
      <c r="AC283" s="2007">
        <f t="shared" si="162"/>
        <v>-46745</v>
      </c>
      <c r="AD283" s="2007">
        <f t="shared" si="162"/>
        <v>-45460.7</v>
      </c>
      <c r="AE283" s="2007">
        <f t="shared" si="162"/>
        <v>-45331.4</v>
      </c>
      <c r="AF283" s="2007">
        <f t="shared" si="162"/>
        <v>-46252.799999999996</v>
      </c>
      <c r="AG283" s="2007">
        <f t="shared" si="162"/>
        <v>-44349.4</v>
      </c>
      <c r="AH283" s="2007">
        <f>AH271-AH274-AH276-AH279-AH281</f>
        <v>-43019</v>
      </c>
      <c r="AI283" s="2007">
        <f>AI271-AI274-AI276-AI279-AI281</f>
        <v>-40501.32</v>
      </c>
      <c r="AJ283" s="2007">
        <f>AJ271-AJ274-AJ276-AJ279-AJ281</f>
        <v>-43274.5</v>
      </c>
      <c r="AK283" s="2007">
        <f>AK271-AK274-AK276-AK279-AK281</f>
        <v>-44102.799999999996</v>
      </c>
      <c r="AL283" s="1935"/>
      <c r="AM283" s="1936" t="s">
        <v>7</v>
      </c>
      <c r="AO283" s="2060"/>
    </row>
    <row r="284" spans="3:61 15027:15419" hidden="1" x14ac:dyDescent="0.25">
      <c r="C284" s="15"/>
      <c r="D284" s="247" t="s">
        <v>122</v>
      </c>
      <c r="E284" s="266">
        <v>11.81</v>
      </c>
      <c r="F284" s="246" t="s">
        <v>2</v>
      </c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202"/>
      <c r="AM284" s="82">
        <f>SUM(G284:AJ284)</f>
        <v>0</v>
      </c>
    </row>
    <row r="285" spans="3:61 15027:15419" ht="15.75" hidden="1" thickBot="1" x14ac:dyDescent="0.3">
      <c r="C285" s="19"/>
      <c r="D285" s="248" t="s">
        <v>123</v>
      </c>
      <c r="E285" s="267">
        <v>241.12</v>
      </c>
      <c r="F285" s="249" t="s">
        <v>2</v>
      </c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2202"/>
      <c r="AM285" s="268">
        <f>SUM(G285:AJ285)</f>
        <v>0</v>
      </c>
    </row>
    <row r="287" spans="3:61 15027:15419" x14ac:dyDescent="0.25">
      <c r="E287" s="1915"/>
      <c r="M287" s="3">
        <f>M274+M276</f>
        <v>15095.6</v>
      </c>
      <c r="N287" s="3">
        <f t="shared" ref="N287:AI287" si="163">N274+N276</f>
        <v>10479.799999999999</v>
      </c>
      <c r="O287" s="3">
        <f t="shared" si="163"/>
        <v>22869.5</v>
      </c>
      <c r="P287" s="3">
        <f t="shared" si="163"/>
        <v>24096.3</v>
      </c>
      <c r="Q287" s="3">
        <f t="shared" si="163"/>
        <v>23295.7</v>
      </c>
      <c r="R287" s="3">
        <f t="shared" si="163"/>
        <v>22720.3</v>
      </c>
      <c r="S287" s="3">
        <f t="shared" si="163"/>
        <v>22332</v>
      </c>
      <c r="T287" s="3">
        <f t="shared" si="163"/>
        <v>24530.6</v>
      </c>
      <c r="U287" s="3">
        <f t="shared" si="163"/>
        <v>23998</v>
      </c>
      <c r="V287" s="3">
        <f t="shared" si="163"/>
        <v>22713</v>
      </c>
      <c r="W287" s="3">
        <f t="shared" si="163"/>
        <v>22451</v>
      </c>
      <c r="X287" s="3">
        <f t="shared" si="163"/>
        <v>22573</v>
      </c>
      <c r="Y287" s="3">
        <f t="shared" si="163"/>
        <v>22866</v>
      </c>
      <c r="Z287" s="3">
        <f t="shared" si="163"/>
        <v>23291</v>
      </c>
      <c r="AA287" s="3">
        <f t="shared" si="163"/>
        <v>22135</v>
      </c>
      <c r="AB287" s="3">
        <f t="shared" si="163"/>
        <v>23230.2</v>
      </c>
      <c r="AC287" s="3">
        <f>AC274+AC276</f>
        <v>22326.300000000003</v>
      </c>
      <c r="AD287" s="3">
        <f t="shared" si="163"/>
        <v>22044.9</v>
      </c>
      <c r="AE287" s="3">
        <f t="shared" si="163"/>
        <v>22671.3</v>
      </c>
      <c r="AF287" s="3">
        <f t="shared" si="163"/>
        <v>23141.9</v>
      </c>
      <c r="AG287" s="3">
        <f t="shared" si="163"/>
        <v>22578.2</v>
      </c>
      <c r="AH287" s="3">
        <f t="shared" si="163"/>
        <v>20469.599999999999</v>
      </c>
      <c r="AI287" s="3">
        <f t="shared" si="163"/>
        <v>19818.22</v>
      </c>
    </row>
    <row r="289" spans="5:37" x14ac:dyDescent="0.25">
      <c r="M289" s="3">
        <f>M279+M281</f>
        <v>9942.7000000000007</v>
      </c>
      <c r="N289" s="3">
        <f t="shared" ref="N289:AJ289" si="164">N279+N281</f>
        <v>7902.4</v>
      </c>
      <c r="O289" s="3">
        <f t="shared" si="164"/>
        <v>13477.4</v>
      </c>
      <c r="P289" s="3">
        <f t="shared" si="164"/>
        <v>15138.1</v>
      </c>
      <c r="Q289" s="3">
        <f t="shared" si="164"/>
        <v>13914</v>
      </c>
      <c r="R289" s="3">
        <f t="shared" si="164"/>
        <v>13001</v>
      </c>
      <c r="S289" s="3">
        <f t="shared" si="164"/>
        <v>13403</v>
      </c>
      <c r="T289" s="3">
        <f t="shared" si="164"/>
        <v>13780.9</v>
      </c>
      <c r="U289" s="3">
        <f t="shared" si="164"/>
        <v>22215</v>
      </c>
      <c r="V289" s="3">
        <f t="shared" si="164"/>
        <v>24148</v>
      </c>
      <c r="W289" s="3">
        <f t="shared" si="164"/>
        <v>23966</v>
      </c>
      <c r="X289" s="3">
        <f t="shared" si="164"/>
        <v>21744</v>
      </c>
      <c r="Y289" s="3">
        <f t="shared" si="164"/>
        <v>23899</v>
      </c>
      <c r="Z289" s="3">
        <f t="shared" si="164"/>
        <v>24184</v>
      </c>
      <c r="AA289" s="3">
        <f t="shared" si="164"/>
        <v>24243</v>
      </c>
      <c r="AB289" s="3">
        <f t="shared" si="164"/>
        <v>24544.2</v>
      </c>
      <c r="AC289" s="3">
        <f t="shared" si="164"/>
        <v>24470.1</v>
      </c>
      <c r="AD289" s="3">
        <f t="shared" si="164"/>
        <v>23462.3</v>
      </c>
      <c r="AE289" s="3">
        <f t="shared" si="164"/>
        <v>22707.9</v>
      </c>
      <c r="AF289" s="3">
        <f t="shared" si="164"/>
        <v>23159.1</v>
      </c>
      <c r="AG289" s="3">
        <f t="shared" si="164"/>
        <v>21813.1</v>
      </c>
      <c r="AH289" s="3">
        <f t="shared" si="164"/>
        <v>22592.3</v>
      </c>
      <c r="AI289" s="3">
        <f t="shared" si="164"/>
        <v>20718.5</v>
      </c>
      <c r="AJ289" s="3">
        <f t="shared" si="164"/>
        <v>21373.599999999999</v>
      </c>
      <c r="AK289" s="3"/>
    </row>
    <row r="290" spans="5:37" x14ac:dyDescent="0.25">
      <c r="E290" s="1985"/>
    </row>
    <row r="291" spans="5:37" x14ac:dyDescent="0.25">
      <c r="E291" s="1985"/>
      <c r="N291" s="3"/>
    </row>
    <row r="292" spans="5:37" x14ac:dyDescent="0.25">
      <c r="E292" s="1985"/>
      <c r="N292" s="2085"/>
    </row>
    <row r="293" spans="5:37" x14ac:dyDescent="0.25">
      <c r="E293" s="1985"/>
      <c r="N293" s="2060"/>
    </row>
    <row r="294" spans="5:37" x14ac:dyDescent="0.25">
      <c r="E294" s="1985"/>
      <c r="X294" s="1">
        <f>48*25</f>
        <v>1200</v>
      </c>
    </row>
    <row r="302" spans="5:37" x14ac:dyDescent="0.25">
      <c r="U302" s="1985"/>
    </row>
    <row r="303" spans="5:37" x14ac:dyDescent="0.25">
      <c r="U303" s="1985"/>
      <c r="V303" s="1985"/>
      <c r="W303" s="3">
        <f>S55</f>
        <v>0</v>
      </c>
      <c r="X303" s="3">
        <f>W303-V303</f>
        <v>0</v>
      </c>
      <c r="Y303" s="1985">
        <v>330482</v>
      </c>
    </row>
    <row r="304" spans="5:37" x14ac:dyDescent="0.25">
      <c r="U304" s="1985"/>
      <c r="Y304" s="1985">
        <v>490703</v>
      </c>
    </row>
    <row r="305" spans="3:61 15027:15419" x14ac:dyDescent="0.25">
      <c r="U305" s="1985"/>
      <c r="Y305" s="1985">
        <v>16008</v>
      </c>
    </row>
    <row r="306" spans="3:61 15027:15419" x14ac:dyDescent="0.25">
      <c r="Y306" s="1985">
        <v>146060</v>
      </c>
    </row>
    <row r="307" spans="3:61 15027:15419" x14ac:dyDescent="0.25">
      <c r="Y307" s="1985">
        <v>9572</v>
      </c>
    </row>
    <row r="308" spans="3:61 15027:15419" s="1" customFormat="1" x14ac:dyDescent="0.25">
      <c r="C308" s="5"/>
      <c r="F308" s="2"/>
      <c r="Y308" s="1985">
        <v>20000</v>
      </c>
      <c r="BI308" s="141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  <c r="VUA308" s="46"/>
    </row>
    <row r="309" spans="3:61 15027:15419" x14ac:dyDescent="0.25">
      <c r="Y309" s="1985">
        <v>88783</v>
      </c>
    </row>
    <row r="310" spans="3:61 15027:15419" x14ac:dyDescent="0.25">
      <c r="Y310" s="1985">
        <v>37983</v>
      </c>
    </row>
  </sheetData>
  <mergeCells count="7">
    <mergeCell ref="AM2:AM3"/>
    <mergeCell ref="G2:U2"/>
    <mergeCell ref="C1:U1"/>
    <mergeCell ref="C2:C3"/>
    <mergeCell ref="D2:D3"/>
    <mergeCell ref="E2:E3"/>
    <mergeCell ref="F2:F3"/>
  </mergeCells>
  <pageMargins left="0.39370078740157483" right="0.39370078740157483" top="0.59055118110236227" bottom="0.39370078740157483" header="0.31496062992125984" footer="0.31496062992125984"/>
  <pageSetup paperSize="9" scale="49" orientation="landscape" horizontalDpi="90" verticalDpi="90" r:id="rId1"/>
  <rowBreaks count="1" manualBreakCount="1">
    <brk id="73" min="2" max="38" man="1"/>
  </rowBreaks>
  <colBreaks count="1" manualBreakCount="1">
    <brk id="21" max="282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74"/>
      <c r="B1" s="1858"/>
      <c r="C1" s="2277" t="s">
        <v>1020</v>
      </c>
      <c r="D1" s="2278"/>
      <c r="E1" s="2278"/>
      <c r="F1" s="2278"/>
      <c r="G1" s="2278"/>
      <c r="H1" s="2278"/>
      <c r="I1" s="2279"/>
    </row>
    <row r="2" spans="1:9" ht="14.85" customHeight="1" x14ac:dyDescent="0.25">
      <c r="A2" s="2275"/>
      <c r="B2" s="1859"/>
      <c r="C2" s="2280" t="s">
        <v>1021</v>
      </c>
      <c r="D2" s="2281"/>
      <c r="E2" s="2281"/>
      <c r="F2" s="2281"/>
      <c r="G2" s="2281"/>
      <c r="H2" s="2281"/>
      <c r="I2" s="2282"/>
    </row>
    <row r="3" spans="1:9" ht="14.85" customHeight="1" x14ac:dyDescent="0.25">
      <c r="A3" s="2275"/>
      <c r="B3" s="1860"/>
      <c r="C3" s="2283" t="s">
        <v>1022</v>
      </c>
      <c r="D3" s="2284"/>
      <c r="E3" s="2284"/>
      <c r="F3" s="2284"/>
      <c r="G3" s="2284"/>
      <c r="H3" s="2284"/>
      <c r="I3" s="2285"/>
    </row>
    <row r="4" spans="1:9" ht="14.85" customHeight="1" x14ac:dyDescent="0.25">
      <c r="A4" s="2275"/>
      <c r="B4" s="1860"/>
      <c r="C4" s="2286" t="s">
        <v>1023</v>
      </c>
      <c r="D4" s="2287"/>
      <c r="E4" s="2287"/>
      <c r="F4" s="2287"/>
      <c r="G4" s="2287"/>
      <c r="H4" s="1848" t="s">
        <v>1027</v>
      </c>
      <c r="I4" s="1862">
        <v>1</v>
      </c>
    </row>
    <row r="5" spans="1:9" ht="14.85" customHeight="1" x14ac:dyDescent="0.25">
      <c r="A5" s="2275"/>
      <c r="B5" s="1860"/>
      <c r="C5" s="2288"/>
      <c r="D5" s="2289"/>
      <c r="E5" s="2289"/>
      <c r="F5" s="2289"/>
      <c r="G5" s="2289"/>
      <c r="H5" s="1863" t="s">
        <v>1024</v>
      </c>
      <c r="I5" s="1864" t="s">
        <v>1026</v>
      </c>
    </row>
    <row r="6" spans="1:9" ht="15" customHeight="1" thickBot="1" x14ac:dyDescent="0.3">
      <c r="A6" s="2276"/>
      <c r="B6" s="1861"/>
      <c r="C6" s="2290"/>
      <c r="D6" s="2291"/>
      <c r="E6" s="2291"/>
      <c r="F6" s="2291"/>
      <c r="G6" s="2291"/>
      <c r="H6" s="1849" t="s">
        <v>1025</v>
      </c>
      <c r="I6" s="1865" t="s">
        <v>1026</v>
      </c>
    </row>
    <row r="7" spans="1:9" ht="21" customHeight="1" thickTop="1" thickBot="1" x14ac:dyDescent="0.4">
      <c r="A7" s="1839"/>
      <c r="B7" s="1839"/>
      <c r="C7" s="1839"/>
      <c r="D7" s="1839"/>
      <c r="E7" s="1840"/>
      <c r="F7" s="1840"/>
      <c r="G7" s="1840"/>
      <c r="H7" s="1840"/>
    </row>
    <row r="8" spans="1:9" ht="14.85" customHeight="1" x14ac:dyDescent="0.25">
      <c r="A8" s="2257" t="s">
        <v>99</v>
      </c>
      <c r="B8" s="2261" t="s">
        <v>100</v>
      </c>
      <c r="C8" s="2259" t="s">
        <v>1017</v>
      </c>
      <c r="D8" s="2266" t="s">
        <v>1004</v>
      </c>
      <c r="E8" s="2268" t="s">
        <v>1019</v>
      </c>
      <c r="F8" s="2269"/>
      <c r="G8" s="2269"/>
      <c r="H8" s="2269"/>
      <c r="I8" s="2270"/>
    </row>
    <row r="9" spans="1:9" ht="15.75" thickBot="1" x14ac:dyDescent="0.3">
      <c r="A9" s="2264"/>
      <c r="B9" s="2265"/>
      <c r="C9" s="2263"/>
      <c r="D9" s="2267"/>
      <c r="E9" s="2271"/>
      <c r="F9" s="2272"/>
      <c r="G9" s="2272"/>
      <c r="H9" s="2272"/>
      <c r="I9" s="2273"/>
    </row>
    <row r="10" spans="1:9" ht="15.75" thickBot="1" x14ac:dyDescent="0.3">
      <c r="A10" s="1806">
        <v>1</v>
      </c>
      <c r="B10" s="1667" t="s">
        <v>85</v>
      </c>
      <c r="C10" s="1764" t="s">
        <v>962</v>
      </c>
      <c r="D10" s="1764" t="s">
        <v>1015</v>
      </c>
      <c r="E10" s="1850" t="s">
        <v>914</v>
      </c>
      <c r="F10" s="1850" t="s">
        <v>915</v>
      </c>
      <c r="G10" s="1765" t="s">
        <v>188</v>
      </c>
      <c r="H10" s="1766" t="s">
        <v>968</v>
      </c>
      <c r="I10" s="1856" t="s">
        <v>1018</v>
      </c>
    </row>
    <row r="11" spans="1:9" ht="15.75" x14ac:dyDescent="0.25">
      <c r="A11" s="8"/>
      <c r="B11" s="1776" t="s">
        <v>555</v>
      </c>
      <c r="C11" s="251"/>
      <c r="D11" s="251"/>
      <c r="E11" s="33"/>
      <c r="F11" s="1807"/>
      <c r="G11" s="1807"/>
      <c r="H11" s="1841"/>
      <c r="I11" s="1851"/>
    </row>
    <row r="12" spans="1:9" hidden="1" x14ac:dyDescent="0.25">
      <c r="A12" s="8"/>
      <c r="B12" s="11" t="s">
        <v>84</v>
      </c>
      <c r="C12" s="251"/>
      <c r="D12" s="251"/>
      <c r="E12" s="33"/>
      <c r="I12" s="1852"/>
    </row>
    <row r="13" spans="1:9" hidden="1" x14ac:dyDescent="0.25">
      <c r="A13" s="8"/>
      <c r="B13" s="71" t="s">
        <v>125</v>
      </c>
      <c r="C13" s="251"/>
      <c r="D13" s="251"/>
      <c r="E13" s="270"/>
      <c r="I13" s="1852"/>
    </row>
    <row r="14" spans="1:9" hidden="1" x14ac:dyDescent="0.25">
      <c r="A14" s="8"/>
      <c r="B14" s="11" t="s">
        <v>103</v>
      </c>
      <c r="C14" s="251"/>
      <c r="D14" s="251"/>
      <c r="E14" s="34"/>
      <c r="I14" s="1852"/>
    </row>
    <row r="15" spans="1:9" x14ac:dyDescent="0.25">
      <c r="A15" s="8"/>
      <c r="B15" s="1664" t="s">
        <v>961</v>
      </c>
      <c r="C15" s="1781">
        <v>2500</v>
      </c>
      <c r="D15" s="1782" t="s">
        <v>379</v>
      </c>
      <c r="E15" s="1504">
        <v>8982.7999999999993</v>
      </c>
      <c r="F15" s="1504">
        <v>11717.8</v>
      </c>
      <c r="G15" s="245">
        <f>F15-E15</f>
        <v>2735</v>
      </c>
      <c r="H15" s="1842">
        <f>G15/25000*10</f>
        <v>1.0939999999999999</v>
      </c>
      <c r="I15" s="1855" t="s">
        <v>820</v>
      </c>
    </row>
    <row r="16" spans="1:9" hidden="1" x14ac:dyDescent="0.25">
      <c r="A16" s="8"/>
      <c r="B16" s="945" t="s">
        <v>377</v>
      </c>
      <c r="C16" s="946"/>
      <c r="D16" s="1813"/>
      <c r="E16" s="947"/>
      <c r="I16" s="1852"/>
    </row>
    <row r="17" spans="1:9" hidden="1" x14ac:dyDescent="0.25">
      <c r="A17" s="8"/>
      <c r="B17" s="21" t="s">
        <v>97</v>
      </c>
      <c r="C17" s="234">
        <v>29045000</v>
      </c>
      <c r="D17" s="1810"/>
      <c r="E17" s="33"/>
      <c r="I17" s="1852"/>
    </row>
    <row r="18" spans="1:9" hidden="1" x14ac:dyDescent="0.25">
      <c r="A18" s="8"/>
      <c r="B18" s="21" t="s">
        <v>98</v>
      </c>
      <c r="C18" s="234">
        <v>7314000</v>
      </c>
      <c r="D18" s="1810"/>
      <c r="E18" s="33">
        <f>E49+E58+E63</f>
        <v>0</v>
      </c>
      <c r="I18" s="1852"/>
    </row>
    <row r="19" spans="1:9" x14ac:dyDescent="0.25">
      <c r="A19" s="8"/>
      <c r="B19" s="1767" t="s">
        <v>966</v>
      </c>
      <c r="C19" s="1773"/>
      <c r="D19" s="1814"/>
      <c r="E19" s="33"/>
      <c r="F19" s="751"/>
      <c r="G19" s="751"/>
      <c r="I19" s="1852"/>
    </row>
    <row r="20" spans="1:9" x14ac:dyDescent="0.25">
      <c r="A20" s="8"/>
      <c r="B20" s="14" t="s">
        <v>82</v>
      </c>
      <c r="C20" s="1836">
        <v>0.1</v>
      </c>
      <c r="D20" s="264" t="s">
        <v>1005</v>
      </c>
      <c r="E20" s="1672"/>
      <c r="F20" s="1657"/>
      <c r="G20" s="1656"/>
      <c r="H20" s="1656">
        <v>6.3E-2</v>
      </c>
      <c r="I20" s="1852"/>
    </row>
    <row r="21" spans="1:9" x14ac:dyDescent="0.25">
      <c r="A21" s="8"/>
      <c r="B21" s="14" t="s">
        <v>81</v>
      </c>
      <c r="C21" s="1836">
        <v>0.1</v>
      </c>
      <c r="D21" s="264" t="s">
        <v>1005</v>
      </c>
      <c r="E21" s="1672"/>
      <c r="F21" s="1657"/>
      <c r="G21" s="1656"/>
      <c r="H21" s="1656">
        <v>0.05</v>
      </c>
      <c r="I21" s="1852"/>
    </row>
    <row r="22" spans="1:9" x14ac:dyDescent="0.25">
      <c r="A22" s="8"/>
      <c r="B22" s="14" t="s">
        <v>963</v>
      </c>
      <c r="C22" s="253" t="s">
        <v>964</v>
      </c>
      <c r="D22" s="1812"/>
      <c r="E22" s="1672"/>
      <c r="F22" s="1657"/>
      <c r="G22" s="1656"/>
      <c r="H22" s="1656">
        <v>51.8</v>
      </c>
      <c r="I22" s="1852"/>
    </row>
    <row r="23" spans="1:9" x14ac:dyDescent="0.25">
      <c r="A23" s="8"/>
      <c r="B23" s="14" t="s">
        <v>919</v>
      </c>
      <c r="C23" s="1768"/>
      <c r="D23" s="1812"/>
      <c r="E23" s="1672"/>
      <c r="F23" s="1657"/>
      <c r="G23" s="1656"/>
      <c r="H23" s="1656" t="s">
        <v>975</v>
      </c>
      <c r="I23" s="1852"/>
    </row>
    <row r="24" spans="1:9" x14ac:dyDescent="0.25">
      <c r="A24" s="8"/>
      <c r="B24" s="14" t="s">
        <v>965</v>
      </c>
      <c r="C24" s="1707">
        <v>68</v>
      </c>
      <c r="D24" s="264" t="s">
        <v>1007</v>
      </c>
      <c r="E24" s="1672"/>
      <c r="F24" s="1657"/>
      <c r="G24" s="1656"/>
      <c r="H24" s="1656">
        <v>65</v>
      </c>
      <c r="I24" s="1852"/>
    </row>
    <row r="25" spans="1:9" x14ac:dyDescent="0.25">
      <c r="A25" s="8"/>
      <c r="B25" s="235" t="s">
        <v>910</v>
      </c>
      <c r="C25" s="1661"/>
      <c r="D25" s="1815"/>
      <c r="E25" s="1673"/>
      <c r="F25" s="1662"/>
      <c r="G25" s="1663"/>
      <c r="H25" s="1663" t="s">
        <v>974</v>
      </c>
      <c r="I25" s="1852"/>
    </row>
    <row r="26" spans="1:9" ht="15.75" x14ac:dyDescent="0.25">
      <c r="A26" s="8"/>
      <c r="B26" s="1775" t="s">
        <v>78</v>
      </c>
      <c r="C26" s="1654"/>
      <c r="D26" s="1801"/>
      <c r="E26" s="272"/>
      <c r="F26" s="1674"/>
      <c r="G26" s="1655"/>
      <c r="H26" s="1843"/>
      <c r="I26" s="1852"/>
    </row>
    <row r="27" spans="1:9" x14ac:dyDescent="0.25">
      <c r="A27" s="8"/>
      <c r="B27" s="1774" t="s">
        <v>74</v>
      </c>
      <c r="C27" s="1665">
        <f>C15*84%</f>
        <v>2100</v>
      </c>
      <c r="D27" s="1816" t="s">
        <v>379</v>
      </c>
      <c r="E27" s="1504">
        <v>6537.1</v>
      </c>
      <c r="F27" s="1504">
        <v>8213</v>
      </c>
      <c r="G27" s="1504">
        <f>F27-E27</f>
        <v>1675.8999999999996</v>
      </c>
      <c r="H27" s="1844">
        <f>G27/(G27+G32)</f>
        <v>0.82838218575453493</v>
      </c>
      <c r="I27" s="1855" t="s">
        <v>820</v>
      </c>
    </row>
    <row r="28" spans="1:9" x14ac:dyDescent="0.25">
      <c r="A28" s="8"/>
      <c r="B28" s="1767" t="s">
        <v>966</v>
      </c>
      <c r="C28" s="1772"/>
      <c r="D28" s="1817"/>
      <c r="E28" s="1672"/>
      <c r="F28" s="1657"/>
      <c r="G28" s="1769"/>
      <c r="H28" s="750"/>
      <c r="I28" s="1852"/>
    </row>
    <row r="29" spans="1:9" x14ac:dyDescent="0.25">
      <c r="A29" s="8"/>
      <c r="B29" s="14" t="s">
        <v>963</v>
      </c>
      <c r="C29" s="1707">
        <v>56</v>
      </c>
      <c r="D29" s="264" t="s">
        <v>978</v>
      </c>
      <c r="E29" s="1672"/>
      <c r="F29" s="1657"/>
      <c r="G29" s="1771"/>
      <c r="H29" s="750"/>
      <c r="I29" s="1852"/>
    </row>
    <row r="30" spans="1:9" x14ac:dyDescent="0.25">
      <c r="A30" s="8"/>
      <c r="B30" s="14" t="s">
        <v>919</v>
      </c>
      <c r="C30" s="252"/>
      <c r="D30" s="264"/>
      <c r="E30" s="1672"/>
      <c r="F30" s="1657"/>
      <c r="G30" s="1770"/>
      <c r="H30" s="750"/>
      <c r="I30" s="1852"/>
    </row>
    <row r="31" spans="1:9" x14ac:dyDescent="0.25">
      <c r="A31" s="8"/>
      <c r="B31" s="14" t="s">
        <v>967</v>
      </c>
      <c r="C31" s="253">
        <v>10</v>
      </c>
      <c r="D31" s="264" t="s">
        <v>1008</v>
      </c>
      <c r="E31" s="1672"/>
      <c r="F31" s="1657"/>
      <c r="G31" s="1699"/>
      <c r="I31" s="1852"/>
    </row>
    <row r="32" spans="1:9" x14ac:dyDescent="0.25">
      <c r="A32" s="15"/>
      <c r="B32" s="1777" t="s">
        <v>73</v>
      </c>
      <c r="C32" s="1782">
        <f>C15*16%</f>
        <v>400</v>
      </c>
      <c r="D32" s="1782"/>
      <c r="E32" s="1504">
        <v>2268.1</v>
      </c>
      <c r="F32" s="1504">
        <v>2615.3000000000002</v>
      </c>
      <c r="G32" s="1504">
        <f>F32-E32</f>
        <v>347.20000000000027</v>
      </c>
      <c r="H32" s="1845">
        <f>G32/(G32+G27)</f>
        <v>0.17161781424546502</v>
      </c>
      <c r="I32" s="1855" t="s">
        <v>820</v>
      </c>
    </row>
    <row r="33" spans="1:9" hidden="1" x14ac:dyDescent="0.25">
      <c r="A33" s="15"/>
      <c r="B33" s="716" t="s">
        <v>351</v>
      </c>
      <c r="C33" s="741"/>
      <c r="D33" s="1810"/>
      <c r="E33" s="33"/>
      <c r="I33" s="1852"/>
    </row>
    <row r="34" spans="1:9" hidden="1" x14ac:dyDescent="0.25">
      <c r="A34" s="8"/>
      <c r="B34" s="11" t="s">
        <v>84</v>
      </c>
      <c r="C34" s="251"/>
      <c r="D34" s="251"/>
      <c r="E34" s="33"/>
      <c r="I34" s="1852"/>
    </row>
    <row r="35" spans="1:9" hidden="1" x14ac:dyDescent="0.25">
      <c r="A35" s="8"/>
      <c r="B35" s="11" t="s">
        <v>355</v>
      </c>
      <c r="C35" s="251"/>
      <c r="D35" s="251"/>
      <c r="E35" s="33">
        <v>0</v>
      </c>
      <c r="I35" s="1852"/>
    </row>
    <row r="36" spans="1:9" hidden="1" x14ac:dyDescent="0.25">
      <c r="A36" s="15"/>
      <c r="B36" s="64" t="s">
        <v>354</v>
      </c>
      <c r="C36" s="234"/>
      <c r="D36" s="1810"/>
      <c r="E36" s="270">
        <v>392100</v>
      </c>
      <c r="I36" s="1852"/>
    </row>
    <row r="37" spans="1:9" hidden="1" x14ac:dyDescent="0.25">
      <c r="A37" s="15"/>
      <c r="B37" s="945" t="s">
        <v>376</v>
      </c>
      <c r="C37" s="946"/>
      <c r="D37" s="1813"/>
      <c r="E37" s="947"/>
      <c r="I37" s="1852"/>
    </row>
    <row r="38" spans="1:9" hidden="1" x14ac:dyDescent="0.25">
      <c r="A38" s="15"/>
      <c r="B38" s="14" t="s">
        <v>353</v>
      </c>
      <c r="C38" s="740"/>
      <c r="D38" s="1818"/>
      <c r="E38" s="33">
        <f>SUM(E41,E45,E50,E54,E64)</f>
        <v>0</v>
      </c>
      <c r="I38" s="1852"/>
    </row>
    <row r="39" spans="1:9" hidden="1" x14ac:dyDescent="0.25">
      <c r="A39" s="15"/>
      <c r="B39" s="14" t="s">
        <v>352</v>
      </c>
      <c r="C39" s="742"/>
      <c r="D39" s="1818"/>
      <c r="E39" s="33">
        <f>E36-E38</f>
        <v>392100</v>
      </c>
      <c r="I39" s="1852"/>
    </row>
    <row r="40" spans="1:9" hidden="1" x14ac:dyDescent="0.25">
      <c r="A40" s="15"/>
      <c r="B40" s="230" t="s">
        <v>76</v>
      </c>
      <c r="C40" s="231"/>
      <c r="D40" s="1819"/>
      <c r="E40" s="94"/>
      <c r="I40" s="1852"/>
    </row>
    <row r="41" spans="1:9" hidden="1" x14ac:dyDescent="0.25">
      <c r="A41" s="15"/>
      <c r="B41" s="14" t="s">
        <v>75</v>
      </c>
      <c r="C41" s="255"/>
      <c r="D41" s="1820"/>
      <c r="E41" s="33">
        <f>E42+E43</f>
        <v>0</v>
      </c>
      <c r="I41" s="1852"/>
    </row>
    <row r="42" spans="1:9" hidden="1" x14ac:dyDescent="0.25">
      <c r="A42" s="15"/>
      <c r="B42" s="64" t="s">
        <v>74</v>
      </c>
      <c r="C42" s="255"/>
      <c r="D42" s="1820"/>
      <c r="E42" s="270">
        <v>0</v>
      </c>
      <c r="I42" s="1852"/>
    </row>
    <row r="43" spans="1:9" hidden="1" x14ac:dyDescent="0.25">
      <c r="A43" s="15"/>
      <c r="B43" s="64" t="s">
        <v>73</v>
      </c>
      <c r="C43" s="255"/>
      <c r="D43" s="1820"/>
      <c r="E43" s="271">
        <v>0</v>
      </c>
      <c r="I43" s="1852"/>
    </row>
    <row r="44" spans="1:9" hidden="1" x14ac:dyDescent="0.25">
      <c r="A44" s="68"/>
      <c r="B44" s="230" t="s">
        <v>104</v>
      </c>
      <c r="C44" s="305"/>
      <c r="D44" s="1821"/>
      <c r="E44" s="272"/>
      <c r="I44" s="1852"/>
    </row>
    <row r="45" spans="1:9" hidden="1" x14ac:dyDescent="0.25">
      <c r="A45" s="15"/>
      <c r="B45" s="14" t="s">
        <v>75</v>
      </c>
      <c r="C45" s="255"/>
      <c r="D45" s="1820"/>
      <c r="E45" s="33">
        <f>E46+E47</f>
        <v>0</v>
      </c>
      <c r="I45" s="1852"/>
    </row>
    <row r="46" spans="1:9" hidden="1" x14ac:dyDescent="0.25">
      <c r="A46" s="15"/>
      <c r="B46" s="64" t="s">
        <v>105</v>
      </c>
      <c r="C46" s="255"/>
      <c r="D46" s="1820"/>
      <c r="E46" s="270">
        <v>0</v>
      </c>
      <c r="I46" s="1852"/>
    </row>
    <row r="47" spans="1:9" hidden="1" x14ac:dyDescent="0.25">
      <c r="A47" s="15"/>
      <c r="B47" s="64" t="s">
        <v>73</v>
      </c>
      <c r="C47" s="255"/>
      <c r="D47" s="1820"/>
      <c r="E47" s="270">
        <v>0</v>
      </c>
      <c r="I47" s="1852"/>
    </row>
    <row r="48" spans="1:9" hidden="1" x14ac:dyDescent="0.25">
      <c r="A48" s="15"/>
      <c r="B48" s="230" t="s">
        <v>107</v>
      </c>
      <c r="C48" s="233"/>
      <c r="D48" s="1822"/>
      <c r="E48" s="94"/>
      <c r="I48" s="1852"/>
    </row>
    <row r="49" spans="1:9" hidden="1" x14ac:dyDescent="0.25">
      <c r="A49" s="17"/>
      <c r="B49" s="11" t="s">
        <v>71</v>
      </c>
      <c r="C49" s="256"/>
      <c r="D49" s="256"/>
      <c r="E49" s="33"/>
      <c r="I49" s="1852"/>
    </row>
    <row r="50" spans="1:9" hidden="1" x14ac:dyDescent="0.25">
      <c r="A50" s="15"/>
      <c r="B50" s="14" t="s">
        <v>70</v>
      </c>
      <c r="C50" s="255"/>
      <c r="D50" s="1820"/>
      <c r="E50" s="33">
        <f>E51+E52</f>
        <v>0</v>
      </c>
      <c r="I50" s="1852"/>
    </row>
    <row r="51" spans="1:9" hidden="1" x14ac:dyDescent="0.25">
      <c r="A51" s="15"/>
      <c r="B51" s="64" t="s">
        <v>109</v>
      </c>
      <c r="C51" s="255"/>
      <c r="D51" s="1820"/>
      <c r="E51" s="270">
        <v>0</v>
      </c>
      <c r="I51" s="1852"/>
    </row>
    <row r="52" spans="1:9" hidden="1" x14ac:dyDescent="0.25">
      <c r="A52" s="15"/>
      <c r="B52" s="55" t="s">
        <v>73</v>
      </c>
      <c r="C52" s="255"/>
      <c r="D52" s="1820"/>
      <c r="E52" s="271">
        <v>0</v>
      </c>
      <c r="I52" s="1852"/>
    </row>
    <row r="53" spans="1:9" hidden="1" x14ac:dyDescent="0.25">
      <c r="A53" s="68"/>
      <c r="B53" s="230" t="s">
        <v>110</v>
      </c>
      <c r="C53" s="305"/>
      <c r="D53" s="1823"/>
      <c r="E53" s="94"/>
      <c r="I53" s="1852"/>
    </row>
    <row r="54" spans="1:9" hidden="1" x14ac:dyDescent="0.25">
      <c r="A54" s="15"/>
      <c r="B54" s="14" t="s">
        <v>75</v>
      </c>
      <c r="C54" s="229">
        <f>C55+C56</f>
        <v>21429000</v>
      </c>
      <c r="D54" s="1824"/>
      <c r="E54" s="33">
        <f>E55+E56</f>
        <v>0</v>
      </c>
      <c r="I54" s="1852"/>
    </row>
    <row r="55" spans="1:9" hidden="1" x14ac:dyDescent="0.25">
      <c r="A55" s="15"/>
      <c r="B55" s="64" t="s">
        <v>112</v>
      </c>
      <c r="C55" s="67">
        <v>15000000</v>
      </c>
      <c r="D55" s="1825"/>
      <c r="E55" s="270"/>
      <c r="I55" s="1852"/>
    </row>
    <row r="56" spans="1:9" hidden="1" x14ac:dyDescent="0.25">
      <c r="A56" s="15"/>
      <c r="B56" s="64" t="s">
        <v>73</v>
      </c>
      <c r="C56" s="67">
        <v>6429000</v>
      </c>
      <c r="D56" s="1825"/>
      <c r="E56" s="271"/>
      <c r="I56" s="1852"/>
    </row>
    <row r="57" spans="1:9" hidden="1" x14ac:dyDescent="0.25">
      <c r="A57" s="68"/>
      <c r="B57" s="230" t="s">
        <v>817</v>
      </c>
      <c r="C57" s="305"/>
      <c r="D57" s="1821"/>
      <c r="E57" s="272"/>
      <c r="I57" s="1852"/>
    </row>
    <row r="58" spans="1:9" hidden="1" x14ac:dyDescent="0.25">
      <c r="A58" s="17"/>
      <c r="B58" s="11" t="s">
        <v>71</v>
      </c>
      <c r="C58" s="256"/>
      <c r="D58" s="256"/>
      <c r="E58" s="33"/>
      <c r="I58" s="1852"/>
    </row>
    <row r="59" spans="1:9" hidden="1" x14ac:dyDescent="0.25">
      <c r="A59" s="15"/>
      <c r="B59" s="14" t="s">
        <v>75</v>
      </c>
      <c r="C59" s="229">
        <f>C60+C61</f>
        <v>21429000</v>
      </c>
      <c r="D59" s="1824"/>
      <c r="E59" s="33">
        <f>E60+E61</f>
        <v>0</v>
      </c>
      <c r="I59" s="1852"/>
    </row>
    <row r="60" spans="1:9" hidden="1" x14ac:dyDescent="0.25">
      <c r="A60" s="15"/>
      <c r="B60" s="64" t="s">
        <v>112</v>
      </c>
      <c r="C60" s="67">
        <v>15000000</v>
      </c>
      <c r="D60" s="1825"/>
      <c r="E60" s="270">
        <v>0</v>
      </c>
      <c r="I60" s="1852"/>
    </row>
    <row r="61" spans="1:9" hidden="1" x14ac:dyDescent="0.25">
      <c r="A61" s="15"/>
      <c r="B61" s="64" t="s">
        <v>73</v>
      </c>
      <c r="C61" s="67">
        <v>6429000</v>
      </c>
      <c r="D61" s="1825"/>
      <c r="E61" s="270">
        <v>0</v>
      </c>
      <c r="I61" s="1852"/>
    </row>
    <row r="62" spans="1:9" hidden="1" x14ac:dyDescent="0.25">
      <c r="A62" s="15"/>
      <c r="B62" s="230" t="s">
        <v>72</v>
      </c>
      <c r="C62" s="233"/>
      <c r="D62" s="1822"/>
      <c r="E62" s="94"/>
      <c r="I62" s="1852"/>
    </row>
    <row r="63" spans="1:9" hidden="1" x14ac:dyDescent="0.25">
      <c r="A63" s="17"/>
      <c r="B63" s="11" t="s">
        <v>71</v>
      </c>
      <c r="C63" s="256"/>
      <c r="D63" s="256"/>
      <c r="E63" s="33"/>
      <c r="I63" s="1852"/>
    </row>
    <row r="64" spans="1:9" hidden="1" x14ac:dyDescent="0.25">
      <c r="A64" s="15"/>
      <c r="B64" s="14" t="s">
        <v>70</v>
      </c>
      <c r="C64" s="255"/>
      <c r="D64" s="1820"/>
      <c r="E64" s="33">
        <f>E66+E67</f>
        <v>0</v>
      </c>
      <c r="I64" s="1852"/>
    </row>
    <row r="65" spans="1:9" hidden="1" x14ac:dyDescent="0.25">
      <c r="A65" s="15"/>
      <c r="B65" s="64" t="s">
        <v>69</v>
      </c>
      <c r="C65" s="255"/>
      <c r="D65" s="1820"/>
      <c r="E65" s="270">
        <v>0</v>
      </c>
      <c r="I65" s="1852"/>
    </row>
    <row r="66" spans="1:9" hidden="1" x14ac:dyDescent="0.25">
      <c r="A66" s="15"/>
      <c r="B66" s="64" t="s">
        <v>68</v>
      </c>
      <c r="C66" s="255"/>
      <c r="D66" s="1820"/>
      <c r="E66" s="270">
        <v>0</v>
      </c>
      <c r="I66" s="1852"/>
    </row>
    <row r="67" spans="1:9" hidden="1" x14ac:dyDescent="0.25">
      <c r="A67" s="15"/>
      <c r="B67" s="64" t="s">
        <v>67</v>
      </c>
      <c r="C67" s="255"/>
      <c r="D67" s="1820"/>
      <c r="E67" s="270">
        <v>0</v>
      </c>
      <c r="I67" s="1852"/>
    </row>
    <row r="68" spans="1:9" hidden="1" x14ac:dyDescent="0.25">
      <c r="A68" s="15"/>
      <c r="B68" s="74" t="s">
        <v>113</v>
      </c>
      <c r="C68" s="255"/>
      <c r="D68" s="1820"/>
      <c r="E68" s="273">
        <v>0</v>
      </c>
      <c r="I68" s="1852"/>
    </row>
    <row r="69" spans="1:9" hidden="1" x14ac:dyDescent="0.25">
      <c r="A69" s="8"/>
      <c r="B69" s="75" t="s">
        <v>66</v>
      </c>
      <c r="C69" s="76"/>
      <c r="D69" s="48"/>
      <c r="E69" s="94"/>
      <c r="I69" s="1852"/>
    </row>
    <row r="70" spans="1:9" hidden="1" x14ac:dyDescent="0.25">
      <c r="A70" s="15"/>
      <c r="B70" s="74" t="s">
        <v>65</v>
      </c>
      <c r="C70" s="1573">
        <v>94.2</v>
      </c>
      <c r="D70" s="1826"/>
      <c r="E70" s="274" t="e">
        <f>(#REF!/(E15))*100</f>
        <v>#REF!</v>
      </c>
      <c r="I70" s="1852"/>
    </row>
    <row r="71" spans="1:9" hidden="1" x14ac:dyDescent="0.25">
      <c r="A71" s="15"/>
      <c r="B71" s="74" t="s">
        <v>64</v>
      </c>
      <c r="C71" s="126">
        <v>5</v>
      </c>
      <c r="D71" s="1827"/>
      <c r="E71" s="274">
        <f>(E32/(E15))*100</f>
        <v>25.249365453978719</v>
      </c>
      <c r="I71" s="1852"/>
    </row>
    <row r="72" spans="1:9" hidden="1" x14ac:dyDescent="0.25">
      <c r="A72" s="15"/>
      <c r="B72" s="74" t="s">
        <v>63</v>
      </c>
      <c r="C72" s="126">
        <v>82</v>
      </c>
      <c r="D72" s="1827"/>
      <c r="E72" s="274" t="e">
        <f>E42/(E42+E43)*100</f>
        <v>#DIV/0!</v>
      </c>
      <c r="I72" s="1852"/>
    </row>
    <row r="73" spans="1:9" hidden="1" x14ac:dyDescent="0.25">
      <c r="A73" s="15"/>
      <c r="B73" s="74" t="s">
        <v>62</v>
      </c>
      <c r="C73" s="126">
        <v>18</v>
      </c>
      <c r="D73" s="1827"/>
      <c r="E73" s="274" t="e">
        <f>(E43/E41)*100</f>
        <v>#DIV/0!</v>
      </c>
      <c r="I73" s="1852"/>
    </row>
    <row r="74" spans="1:9" hidden="1" x14ac:dyDescent="0.25">
      <c r="A74" s="15"/>
      <c r="B74" s="74" t="s">
        <v>106</v>
      </c>
      <c r="C74" s="126">
        <v>75</v>
      </c>
      <c r="D74" s="1827"/>
      <c r="E74" s="274" t="e">
        <f>(E46/E45)*100</f>
        <v>#DIV/0!</v>
      </c>
      <c r="I74" s="1852"/>
    </row>
    <row r="75" spans="1:9" hidden="1" x14ac:dyDescent="0.25">
      <c r="A75" s="15"/>
      <c r="B75" s="74" t="s">
        <v>62</v>
      </c>
      <c r="C75" s="126">
        <v>25</v>
      </c>
      <c r="D75" s="1827"/>
      <c r="E75" s="274" t="e">
        <f>(E47/E45)*100</f>
        <v>#DIV/0!</v>
      </c>
      <c r="I75" s="1852"/>
    </row>
    <row r="76" spans="1:9" hidden="1" x14ac:dyDescent="0.25">
      <c r="A76" s="15"/>
      <c r="B76" s="74" t="s">
        <v>108</v>
      </c>
      <c r="C76" s="126">
        <v>75</v>
      </c>
      <c r="D76" s="1827"/>
      <c r="E76" s="274" t="e">
        <f>E51/E50*100</f>
        <v>#DIV/0!</v>
      </c>
      <c r="I76" s="1852"/>
    </row>
    <row r="77" spans="1:9" hidden="1" x14ac:dyDescent="0.25">
      <c r="A77" s="15"/>
      <c r="B77" s="74" t="s">
        <v>62</v>
      </c>
      <c r="C77" s="126">
        <v>25</v>
      </c>
      <c r="D77" s="1827"/>
      <c r="E77" s="274" t="e">
        <f>E52/E50*100</f>
        <v>#DIV/0!</v>
      </c>
      <c r="I77" s="1852"/>
    </row>
    <row r="78" spans="1:9" hidden="1" x14ac:dyDescent="0.25">
      <c r="A78" s="15"/>
      <c r="B78" s="74" t="s">
        <v>111</v>
      </c>
      <c r="C78" s="126">
        <v>70</v>
      </c>
      <c r="D78" s="1827"/>
      <c r="E78" s="274" t="e">
        <f>E55/(E55+E56)*100</f>
        <v>#DIV/0!</v>
      </c>
      <c r="I78" s="1852"/>
    </row>
    <row r="79" spans="1:9" hidden="1" x14ac:dyDescent="0.25">
      <c r="A79" s="15"/>
      <c r="B79" s="74" t="s">
        <v>62</v>
      </c>
      <c r="C79" s="126">
        <v>30</v>
      </c>
      <c r="D79" s="1827"/>
      <c r="E79" s="274" t="e">
        <f>E56/(E56+E55)*100</f>
        <v>#DIV/0!</v>
      </c>
      <c r="I79" s="1852"/>
    </row>
    <row r="80" spans="1:9" hidden="1" x14ac:dyDescent="0.25">
      <c r="A80" s="15"/>
      <c r="B80" s="74" t="s">
        <v>818</v>
      </c>
      <c r="C80" s="126">
        <v>70</v>
      </c>
      <c r="D80" s="1827"/>
      <c r="E80" s="274" t="e">
        <f>E60/(E60+E61)*100</f>
        <v>#DIV/0!</v>
      </c>
      <c r="I80" s="1852"/>
    </row>
    <row r="81" spans="1:9" hidden="1" x14ac:dyDescent="0.25">
      <c r="A81" s="15"/>
      <c r="B81" s="74" t="s">
        <v>62</v>
      </c>
      <c r="C81" s="126">
        <v>30</v>
      </c>
      <c r="D81" s="1827"/>
      <c r="E81" s="274" t="e">
        <f>E61/(E60+E61)*100</f>
        <v>#DIV/0!</v>
      </c>
      <c r="I81" s="1852"/>
    </row>
    <row r="82" spans="1:9" hidden="1" x14ac:dyDescent="0.25">
      <c r="A82" s="15"/>
      <c r="B82" s="74" t="s">
        <v>61</v>
      </c>
      <c r="C82" s="126">
        <v>60</v>
      </c>
      <c r="D82" s="1827"/>
      <c r="E82" s="274" t="e">
        <f>E65/E64*100</f>
        <v>#DIV/0!</v>
      </c>
      <c r="I82" s="1852"/>
    </row>
    <row r="83" spans="1:9" ht="15.75" hidden="1" thickBot="1" x14ac:dyDescent="0.3">
      <c r="A83" s="19"/>
      <c r="B83" s="74" t="s">
        <v>60</v>
      </c>
      <c r="C83" s="126">
        <v>40</v>
      </c>
      <c r="D83" s="1827"/>
      <c r="E83" s="274" t="e">
        <f>E67/E64*100</f>
        <v>#DIV/0!</v>
      </c>
      <c r="I83" s="1852"/>
    </row>
    <row r="84" spans="1:9" x14ac:dyDescent="0.25">
      <c r="A84" s="15"/>
      <c r="B84" s="1767" t="s">
        <v>966</v>
      </c>
      <c r="C84" s="1772"/>
      <c r="D84" s="1817"/>
      <c r="E84" s="274"/>
      <c r="F84" s="751"/>
      <c r="G84" s="751"/>
      <c r="I84" s="1852"/>
    </row>
    <row r="85" spans="1:9" x14ac:dyDescent="0.25">
      <c r="A85" s="8"/>
      <c r="B85" s="14" t="s">
        <v>969</v>
      </c>
      <c r="C85" s="1707">
        <v>32</v>
      </c>
      <c r="D85" s="264" t="s">
        <v>1006</v>
      </c>
      <c r="E85" s="1672"/>
      <c r="F85" s="1657"/>
      <c r="G85" s="1656"/>
      <c r="H85" s="750"/>
      <c r="I85" s="1852"/>
    </row>
    <row r="86" spans="1:9" ht="15.75" thickBot="1" x14ac:dyDescent="0.3">
      <c r="A86" s="8"/>
      <c r="B86" s="14" t="s">
        <v>970</v>
      </c>
      <c r="C86" s="1707" t="s">
        <v>1016</v>
      </c>
      <c r="D86" s="264" t="s">
        <v>1007</v>
      </c>
      <c r="E86" s="1672"/>
      <c r="F86" s="1657"/>
      <c r="G86" s="1656"/>
      <c r="H86" s="750"/>
      <c r="I86" s="1852"/>
    </row>
    <row r="87" spans="1:9" ht="15.75" thickBot="1" x14ac:dyDescent="0.3">
      <c r="A87" s="1806">
        <v>2</v>
      </c>
      <c r="B87" s="1779" t="s">
        <v>18</v>
      </c>
      <c r="C87" s="1765"/>
      <c r="D87" s="1828"/>
      <c r="E87" s="1780" t="s">
        <v>914</v>
      </c>
      <c r="F87" s="1778" t="s">
        <v>915</v>
      </c>
      <c r="G87" s="1765" t="s">
        <v>188</v>
      </c>
      <c r="H87" s="1811" t="s">
        <v>1010</v>
      </c>
      <c r="I87" s="1852"/>
    </row>
    <row r="88" spans="1:9" x14ac:dyDescent="0.25">
      <c r="A88" s="8"/>
      <c r="B88" s="235" t="s">
        <v>4</v>
      </c>
      <c r="C88" s="1665">
        <v>408000</v>
      </c>
      <c r="D88" s="1816" t="s">
        <v>998</v>
      </c>
      <c r="E88" s="1635"/>
      <c r="F88" s="1659"/>
      <c r="G88" s="298">
        <v>183211</v>
      </c>
      <c r="H88" s="1659"/>
      <c r="I88" s="1852"/>
    </row>
    <row r="89" spans="1:9" x14ac:dyDescent="0.25">
      <c r="A89" s="8"/>
      <c r="B89" s="30" t="s">
        <v>17</v>
      </c>
      <c r="C89" s="61"/>
      <c r="D89" s="1838"/>
      <c r="E89" s="282"/>
      <c r="G89" s="751"/>
      <c r="I89" s="1852"/>
    </row>
    <row r="90" spans="1:9" x14ac:dyDescent="0.25">
      <c r="A90" s="15"/>
      <c r="B90" s="235" t="s">
        <v>971</v>
      </c>
      <c r="C90" s="1837">
        <v>87.5</v>
      </c>
      <c r="D90" s="1816" t="s">
        <v>998</v>
      </c>
      <c r="E90" s="1504">
        <v>308052</v>
      </c>
      <c r="F90" s="1685">
        <v>366933</v>
      </c>
      <c r="G90" s="1784">
        <f>F90-E90</f>
        <v>58881</v>
      </c>
      <c r="H90" s="1846">
        <f>G90/G15</f>
        <v>21.528702010968921</v>
      </c>
      <c r="I90" s="1855" t="s">
        <v>820</v>
      </c>
    </row>
    <row r="91" spans="1:9" hidden="1" x14ac:dyDescent="0.25">
      <c r="A91" s="15"/>
      <c r="B91" s="14"/>
      <c r="C91" s="234">
        <f>C90/2000</f>
        <v>4.3749999999999997E-2</v>
      </c>
      <c r="D91" s="1810"/>
      <c r="E91" s="33"/>
      <c r="G91" s="751"/>
      <c r="I91" s="1852"/>
    </row>
    <row r="92" spans="1:9" x14ac:dyDescent="0.25">
      <c r="A92" s="15"/>
      <c r="B92" s="14"/>
      <c r="C92" s="1799">
        <f>C90/2.5</f>
        <v>35</v>
      </c>
      <c r="D92" s="1829" t="s">
        <v>1009</v>
      </c>
      <c r="E92" s="33"/>
      <c r="G92" s="751"/>
      <c r="I92" s="1852"/>
    </row>
    <row r="93" spans="1:9" hidden="1" x14ac:dyDescent="0.25">
      <c r="A93" s="15"/>
      <c r="B93" s="235" t="s">
        <v>15</v>
      </c>
      <c r="C93" s="234">
        <v>122000</v>
      </c>
      <c r="D93" s="1810"/>
      <c r="E93" s="275"/>
      <c r="F93" s="1659"/>
      <c r="G93" s="1676"/>
      <c r="H93" s="1659"/>
      <c r="I93" s="1852"/>
    </row>
    <row r="94" spans="1:9" x14ac:dyDescent="0.25">
      <c r="A94" s="15"/>
      <c r="B94" s="14" t="s">
        <v>917</v>
      </c>
      <c r="C94" s="234">
        <v>106000</v>
      </c>
      <c r="D94" s="1810" t="s">
        <v>998</v>
      </c>
      <c r="E94" s="947"/>
      <c r="F94" s="511"/>
      <c r="G94" s="1688"/>
      <c r="H94" s="511"/>
      <c r="I94" s="1852"/>
    </row>
    <row r="95" spans="1:9" ht="15.75" thickBot="1" x14ac:dyDescent="0.3">
      <c r="A95" s="8"/>
      <c r="B95" s="28" t="s">
        <v>1</v>
      </c>
      <c r="C95" s="263">
        <v>408000</v>
      </c>
      <c r="D95" s="1830" t="s">
        <v>998</v>
      </c>
      <c r="E95" s="282"/>
      <c r="G95" s="42">
        <f>SUM(G90,G93,G94)</f>
        <v>58881</v>
      </c>
      <c r="I95" s="1852"/>
    </row>
    <row r="96" spans="1:9" ht="15.75" thickBot="1" x14ac:dyDescent="0.3">
      <c r="A96" s="1806">
        <v>3</v>
      </c>
      <c r="B96" s="1809" t="s">
        <v>13</v>
      </c>
      <c r="C96" s="1670"/>
      <c r="D96" s="1668"/>
      <c r="E96" s="1780" t="s">
        <v>914</v>
      </c>
      <c r="F96" s="1778" t="s">
        <v>915</v>
      </c>
      <c r="G96" s="1765" t="s">
        <v>188</v>
      </c>
      <c r="H96" s="1811" t="s">
        <v>1011</v>
      </c>
      <c r="I96" s="1852"/>
    </row>
    <row r="97" spans="1:11" hidden="1" x14ac:dyDescent="0.25">
      <c r="A97" s="17"/>
      <c r="B97" s="242" t="s">
        <v>12</v>
      </c>
      <c r="C97" s="264">
        <v>1100</v>
      </c>
      <c r="D97" s="264" t="s">
        <v>1001</v>
      </c>
      <c r="E97" s="244"/>
      <c r="F97" s="1659"/>
      <c r="G97" s="244">
        <v>818</v>
      </c>
      <c r="H97" s="1659"/>
      <c r="I97" s="1852"/>
    </row>
    <row r="98" spans="1:11" x14ac:dyDescent="0.25">
      <c r="A98" s="17"/>
      <c r="B98" s="43" t="s">
        <v>11</v>
      </c>
      <c r="C98" s="251"/>
      <c r="D98" s="251"/>
      <c r="E98" s="34"/>
      <c r="G98" s="751"/>
      <c r="I98" s="1852"/>
      <c r="K98" s="1918"/>
    </row>
    <row r="99" spans="1:11" ht="15.75" thickBot="1" x14ac:dyDescent="0.3">
      <c r="A99" s="17"/>
      <c r="B99" s="242" t="s">
        <v>972</v>
      </c>
      <c r="C99" s="1812">
        <v>0.13</v>
      </c>
      <c r="D99" s="264" t="s">
        <v>1001</v>
      </c>
      <c r="E99" s="245">
        <v>58</v>
      </c>
      <c r="F99" s="1785">
        <v>106</v>
      </c>
      <c r="G99" s="1786">
        <f>F99-E99</f>
        <v>48</v>
      </c>
      <c r="H99" s="1846">
        <f>G99/G15</f>
        <v>1.7550274223034734E-2</v>
      </c>
      <c r="I99" s="1852"/>
    </row>
    <row r="100" spans="1:11" hidden="1" x14ac:dyDescent="0.25">
      <c r="A100" s="17"/>
      <c r="B100" s="242" t="s">
        <v>9</v>
      </c>
      <c r="C100" s="265">
        <v>179.63</v>
      </c>
      <c r="D100" s="265"/>
      <c r="E100" s="245"/>
      <c r="F100" s="1659"/>
      <c r="G100" s="1676"/>
      <c r="H100" s="1659"/>
      <c r="I100" s="1852"/>
    </row>
    <row r="101" spans="1:11" hidden="1" x14ac:dyDescent="0.25">
      <c r="A101" s="17"/>
      <c r="B101" s="242"/>
      <c r="C101" s="265">
        <f>C99/2500</f>
        <v>5.2000000000000004E-5</v>
      </c>
      <c r="D101" s="264" t="s">
        <v>1012</v>
      </c>
      <c r="E101" s="245"/>
      <c r="F101" s="1659"/>
      <c r="G101" s="1676"/>
      <c r="H101" s="1659"/>
      <c r="I101" s="1852"/>
    </row>
    <row r="102" spans="1:11" hidden="1" x14ac:dyDescent="0.25">
      <c r="A102" s="17"/>
      <c r="B102" s="242" t="s">
        <v>8</v>
      </c>
      <c r="C102" s="264">
        <v>491.59</v>
      </c>
      <c r="D102" s="264" t="s">
        <v>1001</v>
      </c>
      <c r="E102" s="245"/>
      <c r="F102" s="1659"/>
      <c r="G102" s="245">
        <v>304</v>
      </c>
      <c r="H102" s="1659"/>
      <c r="I102" s="1852"/>
    </row>
    <row r="103" spans="1:11" hidden="1" x14ac:dyDescent="0.25">
      <c r="A103" s="17"/>
      <c r="B103" s="31" t="s">
        <v>7</v>
      </c>
      <c r="C103" s="956">
        <v>337.28</v>
      </c>
      <c r="D103" s="956" t="s">
        <v>1001</v>
      </c>
      <c r="E103" s="34"/>
      <c r="G103" s="34">
        <f>G97-G99-G100-G102</f>
        <v>466</v>
      </c>
      <c r="I103" s="1852"/>
    </row>
    <row r="104" spans="1:11" ht="15.75" hidden="1" thickBot="1" x14ac:dyDescent="0.3">
      <c r="A104" s="17"/>
      <c r="B104" s="242" t="s">
        <v>6</v>
      </c>
      <c r="C104" s="264">
        <v>330</v>
      </c>
      <c r="D104" s="264" t="s">
        <v>1001</v>
      </c>
      <c r="E104" s="245"/>
      <c r="F104" s="1659"/>
      <c r="G104" s="245">
        <v>164</v>
      </c>
      <c r="H104" s="1659"/>
      <c r="I104" s="1852"/>
    </row>
    <row r="105" spans="1:11" ht="15.75" thickBot="1" x14ac:dyDescent="0.3">
      <c r="A105" s="1808">
        <v>4</v>
      </c>
      <c r="B105" s="1809" t="s">
        <v>5</v>
      </c>
      <c r="C105" s="1670"/>
      <c r="D105" s="1668"/>
      <c r="E105" s="1780" t="s">
        <v>914</v>
      </c>
      <c r="F105" s="1778" t="s">
        <v>915</v>
      </c>
      <c r="G105" s="1765" t="s">
        <v>188</v>
      </c>
      <c r="H105" s="1811" t="s">
        <v>1013</v>
      </c>
      <c r="I105" s="1852"/>
    </row>
    <row r="106" spans="1:11" x14ac:dyDescent="0.25">
      <c r="A106" s="83"/>
      <c r="B106" s="122" t="s">
        <v>4</v>
      </c>
      <c r="C106" s="1065"/>
      <c r="D106" s="1831"/>
      <c r="E106" s="33"/>
      <c r="G106" s="751"/>
      <c r="I106" s="1852"/>
    </row>
    <row r="107" spans="1:11" hidden="1" x14ac:dyDescent="0.25">
      <c r="A107" s="83"/>
      <c r="B107" s="235" t="s">
        <v>3</v>
      </c>
      <c r="C107" s="234">
        <v>28770</v>
      </c>
      <c r="D107" s="1810" t="s">
        <v>2</v>
      </c>
      <c r="E107" s="245"/>
      <c r="F107" s="1659"/>
      <c r="G107" s="245">
        <v>5.3</v>
      </c>
      <c r="H107" s="1659"/>
      <c r="I107" s="1853"/>
    </row>
    <row r="108" spans="1:11" x14ac:dyDescent="0.25">
      <c r="A108" s="83"/>
      <c r="B108" s="122" t="s">
        <v>1</v>
      </c>
      <c r="C108" s="13"/>
      <c r="D108" s="12"/>
      <c r="E108" s="1651"/>
      <c r="G108" s="1651">
        <f>G107</f>
        <v>5.3</v>
      </c>
      <c r="I108" s="1852"/>
    </row>
    <row r="109" spans="1:11" x14ac:dyDescent="0.25">
      <c r="A109" s="83"/>
      <c r="B109" s="122" t="s">
        <v>15</v>
      </c>
      <c r="C109" s="13"/>
      <c r="D109" s="12"/>
      <c r="E109" s="282"/>
      <c r="G109" s="751"/>
      <c r="I109" s="1852"/>
    </row>
    <row r="110" spans="1:11" x14ac:dyDescent="0.25">
      <c r="A110" s="15"/>
      <c r="B110" s="247" t="s">
        <v>909</v>
      </c>
      <c r="C110" s="1783">
        <v>10632</v>
      </c>
      <c r="D110" s="1832" t="s">
        <v>1014</v>
      </c>
      <c r="E110" s="275"/>
      <c r="F110" s="1686"/>
      <c r="G110" s="1504">
        <f>F110-E110</f>
        <v>0</v>
      </c>
      <c r="H110" s="1846">
        <f>G110/G15</f>
        <v>0</v>
      </c>
      <c r="I110" s="1852"/>
    </row>
    <row r="111" spans="1:11" x14ac:dyDescent="0.25">
      <c r="A111" s="15"/>
      <c r="B111" s="247"/>
      <c r="C111" s="1783">
        <v>4.3</v>
      </c>
      <c r="D111" s="251" t="s">
        <v>1003</v>
      </c>
      <c r="E111" s="275"/>
      <c r="F111" s="1686"/>
      <c r="G111" s="1504"/>
      <c r="H111" s="1847"/>
      <c r="I111" s="1852"/>
    </row>
    <row r="112" spans="1:11" x14ac:dyDescent="0.25">
      <c r="A112" s="15"/>
      <c r="B112" s="247" t="s">
        <v>973</v>
      </c>
      <c r="C112" s="266">
        <v>10503.3</v>
      </c>
      <c r="D112" s="1832" t="s">
        <v>1014</v>
      </c>
      <c r="E112" s="275">
        <v>65910.899999999994</v>
      </c>
      <c r="F112" s="1686">
        <v>75191.7</v>
      </c>
      <c r="G112" s="275">
        <f>F112-E112</f>
        <v>9280.8000000000029</v>
      </c>
      <c r="H112" s="1846">
        <f>G112/G15</f>
        <v>3.3933455210237669</v>
      </c>
      <c r="I112" s="1855" t="s">
        <v>820</v>
      </c>
    </row>
    <row r="113" spans="1:9" hidden="1" x14ac:dyDescent="0.25">
      <c r="A113" s="15"/>
      <c r="B113" s="952"/>
      <c r="C113" s="953"/>
      <c r="D113" s="1833"/>
      <c r="E113" s="947"/>
      <c r="G113" s="751"/>
      <c r="I113" s="1852"/>
    </row>
    <row r="114" spans="1:9" hidden="1" x14ac:dyDescent="0.25">
      <c r="A114" s="15"/>
      <c r="B114" s="44" t="s">
        <v>15</v>
      </c>
      <c r="C114" s="532"/>
      <c r="D114" s="435"/>
      <c r="E114" s="299"/>
      <c r="G114" s="751"/>
      <c r="I114" s="1852"/>
    </row>
    <row r="115" spans="1:9" hidden="1" x14ac:dyDescent="0.25">
      <c r="A115" s="15"/>
      <c r="B115" s="247" t="s">
        <v>120</v>
      </c>
      <c r="C115" s="266">
        <v>1308.96</v>
      </c>
      <c r="D115" s="1834"/>
      <c r="E115" s="275"/>
      <c r="G115" s="751"/>
      <c r="I115" s="1852"/>
    </row>
    <row r="116" spans="1:9" hidden="1" x14ac:dyDescent="0.25">
      <c r="A116" s="15"/>
      <c r="B116" s="952"/>
      <c r="C116" s="953"/>
      <c r="D116" s="1833"/>
      <c r="E116" s="33"/>
      <c r="G116" s="751"/>
      <c r="I116" s="1852"/>
    </row>
    <row r="117" spans="1:9" hidden="1" x14ac:dyDescent="0.25">
      <c r="A117" s="15"/>
      <c r="B117" s="247" t="s">
        <v>121</v>
      </c>
      <c r="C117" s="266">
        <v>5759.67</v>
      </c>
      <c r="D117" s="1834"/>
      <c r="E117" s="275">
        <v>792.3</v>
      </c>
      <c r="G117" s="751"/>
      <c r="I117" s="1852"/>
    </row>
    <row r="118" spans="1:9" hidden="1" x14ac:dyDescent="0.25">
      <c r="A118" s="15"/>
      <c r="B118" s="952"/>
      <c r="C118" s="953"/>
      <c r="D118" s="1833"/>
      <c r="E118" s="947"/>
      <c r="G118" s="751"/>
      <c r="I118" s="1852"/>
    </row>
    <row r="119" spans="1:9" hidden="1" x14ac:dyDescent="0.25">
      <c r="A119" s="15"/>
      <c r="B119" s="44" t="s">
        <v>7</v>
      </c>
      <c r="C119" s="532"/>
      <c r="D119" s="435"/>
      <c r="E119" s="299"/>
      <c r="G119" s="751"/>
      <c r="I119" s="1852"/>
    </row>
    <row r="120" spans="1:9" ht="15.75" thickBot="1" x14ac:dyDescent="0.3">
      <c r="A120" s="15"/>
      <c r="B120" s="1758"/>
      <c r="C120" s="1857">
        <v>4.2</v>
      </c>
      <c r="D120" s="1835" t="s">
        <v>1003</v>
      </c>
      <c r="E120" s="1760"/>
      <c r="F120" s="1761"/>
      <c r="G120" s="1762"/>
      <c r="H120" s="1761"/>
      <c r="I120" s="1854"/>
    </row>
    <row r="121" spans="1:9" ht="15.75" hidden="1" thickBot="1" x14ac:dyDescent="0.3">
      <c r="A121" s="19"/>
      <c r="B121" s="248" t="s">
        <v>123</v>
      </c>
      <c r="C121" s="267">
        <v>241.12</v>
      </c>
      <c r="D121" s="267"/>
      <c r="E121" s="1694"/>
      <c r="F121" s="1695"/>
      <c r="G121" s="1696"/>
      <c r="H121" s="1697"/>
    </row>
  </sheetData>
  <mergeCells count="10">
    <mergeCell ref="A1:A6"/>
    <mergeCell ref="C1:I1"/>
    <mergeCell ref="C2:I2"/>
    <mergeCell ref="C3:I3"/>
    <mergeCell ref="C4:G6"/>
    <mergeCell ref="C8:C9"/>
    <mergeCell ref="A8:A9"/>
    <mergeCell ref="B8:B9"/>
    <mergeCell ref="D8:D9"/>
    <mergeCell ref="E8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74"/>
      <c r="B1" s="1858"/>
      <c r="C1" s="2277" t="s">
        <v>1020</v>
      </c>
      <c r="D1" s="2278"/>
      <c r="E1" s="2278"/>
      <c r="F1" s="2278"/>
      <c r="G1" s="2278"/>
      <c r="H1" s="2278"/>
      <c r="I1" s="2279"/>
    </row>
    <row r="2" spans="1:9" ht="14.85" customHeight="1" x14ac:dyDescent="0.25">
      <c r="A2" s="2275"/>
      <c r="B2" s="1859"/>
      <c r="C2" s="2280" t="s">
        <v>1021</v>
      </c>
      <c r="D2" s="2281"/>
      <c r="E2" s="2281"/>
      <c r="F2" s="2281"/>
      <c r="G2" s="2281"/>
      <c r="H2" s="2281"/>
      <c r="I2" s="2282"/>
    </row>
    <row r="3" spans="1:9" ht="14.85" customHeight="1" x14ac:dyDescent="0.25">
      <c r="A3" s="2275"/>
      <c r="B3" s="1860"/>
      <c r="C3" s="2292" t="s">
        <v>1022</v>
      </c>
      <c r="D3" s="2293"/>
      <c r="E3" s="2293"/>
      <c r="F3" s="2293"/>
      <c r="G3" s="2293"/>
      <c r="H3" s="2293"/>
      <c r="I3" s="2294"/>
    </row>
    <row r="4" spans="1:9" ht="14.85" customHeight="1" x14ac:dyDescent="0.25">
      <c r="A4" s="2275"/>
      <c r="B4" s="1860"/>
      <c r="C4" s="2286" t="s">
        <v>1028</v>
      </c>
      <c r="D4" s="2287"/>
      <c r="E4" s="2287"/>
      <c r="F4" s="2287"/>
      <c r="G4" s="2287"/>
      <c r="H4" s="1867" t="s">
        <v>1029</v>
      </c>
      <c r="I4" s="1868">
        <v>1</v>
      </c>
    </row>
    <row r="5" spans="1:9" ht="14.85" customHeight="1" x14ac:dyDescent="0.25">
      <c r="A5" s="2275"/>
      <c r="B5" s="1860"/>
      <c r="C5" s="2288"/>
      <c r="D5" s="2289"/>
      <c r="E5" s="2289"/>
      <c r="F5" s="2289"/>
      <c r="G5" s="2289"/>
      <c r="H5" s="1869" t="s">
        <v>1024</v>
      </c>
      <c r="I5" s="1870" t="s">
        <v>1030</v>
      </c>
    </row>
    <row r="6" spans="1:9" ht="15" customHeight="1" thickBot="1" x14ac:dyDescent="0.3">
      <c r="A6" s="2276"/>
      <c r="B6" s="1861"/>
      <c r="C6" s="2290"/>
      <c r="D6" s="2291"/>
      <c r="E6" s="2291"/>
      <c r="F6" s="2291"/>
      <c r="G6" s="2291"/>
      <c r="H6" s="1871" t="s">
        <v>1025</v>
      </c>
      <c r="I6" s="1872" t="s">
        <v>1031</v>
      </c>
    </row>
    <row r="7" spans="1:9" ht="14.85" customHeight="1" thickTop="1" x14ac:dyDescent="0.25">
      <c r="A7" s="2257" t="s">
        <v>99</v>
      </c>
      <c r="B7" s="2261" t="s">
        <v>100</v>
      </c>
      <c r="C7" s="2259" t="s">
        <v>1017</v>
      </c>
      <c r="D7" s="2259" t="s">
        <v>977</v>
      </c>
      <c r="E7" s="2268" t="s">
        <v>1019</v>
      </c>
      <c r="F7" s="2269"/>
      <c r="G7" s="2269"/>
      <c r="H7" s="2269"/>
      <c r="I7" s="2270"/>
    </row>
    <row r="8" spans="1:9" ht="15.75" thickBot="1" x14ac:dyDescent="0.3">
      <c r="A8" s="2264"/>
      <c r="B8" s="2265"/>
      <c r="C8" s="2263"/>
      <c r="D8" s="2263"/>
      <c r="E8" s="2271"/>
      <c r="F8" s="2272"/>
      <c r="G8" s="2272"/>
      <c r="H8" s="2272"/>
      <c r="I8" s="2273"/>
    </row>
    <row r="9" spans="1:9" ht="15.75" thickBot="1" x14ac:dyDescent="0.3">
      <c r="A9" s="1806">
        <v>1</v>
      </c>
      <c r="B9" s="1667" t="s">
        <v>85</v>
      </c>
      <c r="C9" s="1668"/>
      <c r="D9" s="1668"/>
      <c r="E9" s="1669" t="s">
        <v>914</v>
      </c>
      <c r="F9" s="1669" t="s">
        <v>915</v>
      </c>
      <c r="G9" s="1670" t="s">
        <v>188</v>
      </c>
      <c r="H9" s="1671" t="s">
        <v>985</v>
      </c>
      <c r="I9" s="1856" t="s">
        <v>1018</v>
      </c>
    </row>
    <row r="10" spans="1:9" x14ac:dyDescent="0.25">
      <c r="A10" s="8"/>
      <c r="B10" s="1666" t="s">
        <v>16</v>
      </c>
      <c r="C10" s="251"/>
      <c r="D10" s="251"/>
      <c r="E10" s="33"/>
      <c r="F10" s="1698"/>
      <c r="G10" s="1698"/>
      <c r="H10" s="1698"/>
      <c r="I10" s="1851"/>
    </row>
    <row r="11" spans="1:9" ht="14.85" hidden="1" customHeight="1" x14ac:dyDescent="0.25">
      <c r="A11" s="8"/>
      <c r="B11" s="11" t="s">
        <v>84</v>
      </c>
      <c r="C11" s="251"/>
      <c r="D11" s="251"/>
      <c r="E11" s="33"/>
      <c r="I11" s="1852"/>
    </row>
    <row r="12" spans="1:9" ht="14.85" hidden="1" customHeight="1" x14ac:dyDescent="0.25">
      <c r="A12" s="8"/>
      <c r="B12" s="71" t="s">
        <v>125</v>
      </c>
      <c r="C12" s="251"/>
      <c r="D12" s="251"/>
      <c r="E12" s="270"/>
      <c r="I12" s="1852"/>
    </row>
    <row r="13" spans="1:9" ht="14.85" hidden="1" customHeight="1" x14ac:dyDescent="0.25">
      <c r="A13" s="8"/>
      <c r="B13" s="11" t="s">
        <v>103</v>
      </c>
      <c r="C13" s="251"/>
      <c r="D13" s="251"/>
      <c r="E13" s="34"/>
      <c r="I13" s="1852"/>
    </row>
    <row r="14" spans="1:9" x14ac:dyDescent="0.25">
      <c r="A14" s="8"/>
      <c r="B14" s="1664" t="s">
        <v>96</v>
      </c>
      <c r="C14" s="1665">
        <v>2500</v>
      </c>
      <c r="D14" s="1665" t="s">
        <v>379</v>
      </c>
      <c r="E14" s="1504">
        <v>13533.82</v>
      </c>
      <c r="F14" s="1504">
        <v>16053.42</v>
      </c>
      <c r="G14" s="245">
        <f>F14-E14</f>
        <v>2519.6000000000004</v>
      </c>
      <c r="H14" s="245"/>
      <c r="I14" s="1855" t="s">
        <v>820</v>
      </c>
    </row>
    <row r="15" spans="1:9" ht="14.85" hidden="1" customHeight="1" x14ac:dyDescent="0.25">
      <c r="A15" s="8"/>
      <c r="B15" s="945" t="s">
        <v>377</v>
      </c>
      <c r="C15" s="946"/>
      <c r="D15" s="946"/>
      <c r="E15" s="947"/>
      <c r="H15" s="1675"/>
      <c r="I15" s="1852"/>
    </row>
    <row r="16" spans="1:9" ht="14.85" hidden="1" customHeight="1" x14ac:dyDescent="0.25">
      <c r="A16" s="8"/>
      <c r="B16" s="21" t="s">
        <v>97</v>
      </c>
      <c r="C16" s="234">
        <v>29045000</v>
      </c>
      <c r="D16" s="234"/>
      <c r="E16" s="33"/>
      <c r="H16" s="1675"/>
      <c r="I16" s="1852"/>
    </row>
    <row r="17" spans="1:9" ht="14.85" hidden="1" customHeight="1" x14ac:dyDescent="0.25">
      <c r="A17" s="8"/>
      <c r="B17" s="21" t="s">
        <v>98</v>
      </c>
      <c r="C17" s="234">
        <v>7314000</v>
      </c>
      <c r="D17" s="234"/>
      <c r="E17" s="33">
        <f>E53+E62+E67</f>
        <v>0</v>
      </c>
      <c r="H17" s="1675"/>
      <c r="I17" s="1852"/>
    </row>
    <row r="18" spans="1:9" x14ac:dyDescent="0.25">
      <c r="A18" s="8"/>
      <c r="B18" s="14" t="s">
        <v>82</v>
      </c>
      <c r="C18" s="252">
        <v>5</v>
      </c>
      <c r="D18" s="252" t="s">
        <v>25</v>
      </c>
      <c r="E18" s="1672"/>
      <c r="F18" s="1657"/>
      <c r="G18" s="1873">
        <v>4</v>
      </c>
      <c r="H18" s="751"/>
      <c r="I18" s="1852"/>
    </row>
    <row r="19" spans="1:9" x14ac:dyDescent="0.25">
      <c r="A19" s="8"/>
      <c r="B19" s="14" t="s">
        <v>81</v>
      </c>
      <c r="C19" s="252">
        <v>0.5</v>
      </c>
      <c r="D19" s="252" t="s">
        <v>25</v>
      </c>
      <c r="E19" s="1672"/>
      <c r="F19" s="1657"/>
      <c r="G19" s="1656">
        <v>0.41</v>
      </c>
      <c r="H19" s="751"/>
      <c r="I19" s="1852"/>
    </row>
    <row r="20" spans="1:9" x14ac:dyDescent="0.25">
      <c r="A20" s="8"/>
      <c r="B20" s="14" t="s">
        <v>80</v>
      </c>
      <c r="C20" s="253">
        <v>2.2000000000000002</v>
      </c>
      <c r="D20" s="252" t="s">
        <v>978</v>
      </c>
      <c r="E20" s="1672"/>
      <c r="F20" s="1657"/>
      <c r="G20" s="1656">
        <v>2.42</v>
      </c>
      <c r="H20" s="751"/>
      <c r="I20" s="1852"/>
    </row>
    <row r="21" spans="1:9" x14ac:dyDescent="0.25">
      <c r="A21" s="8"/>
      <c r="B21" s="14" t="s">
        <v>1032</v>
      </c>
      <c r="C21" s="1707">
        <v>12</v>
      </c>
      <c r="D21" s="252" t="s">
        <v>1006</v>
      </c>
      <c r="E21" s="1672"/>
      <c r="F21" s="1657"/>
      <c r="G21" s="1757" t="s">
        <v>1033</v>
      </c>
      <c r="H21" s="751"/>
      <c r="I21" s="1852"/>
    </row>
    <row r="22" spans="1:9" x14ac:dyDescent="0.25">
      <c r="A22" s="8"/>
      <c r="B22" s="14" t="s">
        <v>1034</v>
      </c>
      <c r="C22" s="1707" t="s">
        <v>1035</v>
      </c>
      <c r="D22" s="252" t="s">
        <v>1036</v>
      </c>
      <c r="E22" s="1672"/>
      <c r="F22" s="1657"/>
      <c r="G22" s="1757" t="s">
        <v>1033</v>
      </c>
      <c r="H22" s="751"/>
      <c r="I22" s="1852"/>
    </row>
    <row r="23" spans="1:9" x14ac:dyDescent="0.25">
      <c r="A23" s="8"/>
      <c r="B23" s="14" t="s">
        <v>1037</v>
      </c>
      <c r="C23" s="1707" t="s">
        <v>1038</v>
      </c>
      <c r="D23" s="252" t="s">
        <v>1039</v>
      </c>
      <c r="E23" s="1672"/>
      <c r="F23" s="1657"/>
      <c r="G23" s="1757" t="s">
        <v>1033</v>
      </c>
      <c r="H23" s="751"/>
      <c r="I23" s="1852"/>
    </row>
    <row r="24" spans="1:9" x14ac:dyDescent="0.25">
      <c r="A24" s="8"/>
      <c r="B24" s="14" t="s">
        <v>1040</v>
      </c>
      <c r="C24" s="1707">
        <v>25</v>
      </c>
      <c r="D24" s="252" t="s">
        <v>1036</v>
      </c>
      <c r="E24" s="1672"/>
      <c r="F24" s="1657"/>
      <c r="G24" s="1757" t="s">
        <v>1033</v>
      </c>
      <c r="H24" s="751"/>
      <c r="I24" s="1852"/>
    </row>
    <row r="25" spans="1:9" x14ac:dyDescent="0.25">
      <c r="A25" s="8"/>
      <c r="B25" s="235" t="s">
        <v>1041</v>
      </c>
      <c r="C25" s="1665">
        <v>50</v>
      </c>
      <c r="D25" s="1665" t="s">
        <v>1042</v>
      </c>
      <c r="E25" s="1673"/>
      <c r="F25" s="1662"/>
      <c r="G25" s="1663">
        <v>50</v>
      </c>
      <c r="H25" s="1676"/>
      <c r="I25" s="1852"/>
    </row>
    <row r="26" spans="1:9" x14ac:dyDescent="0.25">
      <c r="A26" s="8"/>
      <c r="B26" s="1653" t="s">
        <v>78</v>
      </c>
      <c r="C26" s="1654"/>
      <c r="D26" s="1654"/>
      <c r="E26" s="272"/>
      <c r="F26" s="1674"/>
      <c r="G26" s="1655"/>
      <c r="H26" s="1674"/>
      <c r="I26" s="1852"/>
    </row>
    <row r="27" spans="1:9" x14ac:dyDescent="0.25">
      <c r="A27" s="15"/>
      <c r="B27" s="235" t="s">
        <v>193</v>
      </c>
      <c r="C27" s="1665">
        <f>C14*94.2%</f>
        <v>2355</v>
      </c>
      <c r="D27" s="1665" t="s">
        <v>379</v>
      </c>
      <c r="E27" s="1504">
        <v>12357.54</v>
      </c>
      <c r="F27" s="1504">
        <v>14705.95</v>
      </c>
      <c r="G27" s="1874">
        <f>F27-E27</f>
        <v>2348.41</v>
      </c>
      <c r="H27" s="1875">
        <f>G27/G14</f>
        <v>0.93205667566280348</v>
      </c>
      <c r="I27" s="1852"/>
    </row>
    <row r="28" spans="1:9" x14ac:dyDescent="0.25">
      <c r="A28" s="8"/>
      <c r="B28" s="14" t="s">
        <v>82</v>
      </c>
      <c r="C28" s="252">
        <v>0.05</v>
      </c>
      <c r="D28" s="252" t="s">
        <v>25</v>
      </c>
      <c r="E28" s="1672"/>
      <c r="F28" s="1876"/>
      <c r="G28" s="1877">
        <v>0.06</v>
      </c>
      <c r="H28" s="1878"/>
      <c r="I28" s="1852"/>
    </row>
    <row r="29" spans="1:9" x14ac:dyDescent="0.25">
      <c r="A29" s="8"/>
      <c r="B29" s="14" t="s">
        <v>81</v>
      </c>
      <c r="C29" s="252">
        <v>0.03</v>
      </c>
      <c r="D29" s="252" t="s">
        <v>25</v>
      </c>
      <c r="E29" s="1672"/>
      <c r="F29" s="1879"/>
      <c r="G29" s="1880">
        <v>0.05</v>
      </c>
      <c r="H29" s="1881"/>
      <c r="I29" s="1855"/>
    </row>
    <row r="30" spans="1:9" x14ac:dyDescent="0.25">
      <c r="A30" s="8"/>
      <c r="B30" s="14" t="s">
        <v>1043</v>
      </c>
      <c r="C30" s="252"/>
      <c r="D30" s="252" t="s">
        <v>1044</v>
      </c>
      <c r="E30" s="1672"/>
      <c r="F30" s="1879"/>
      <c r="G30" s="1880" t="s">
        <v>1045</v>
      </c>
      <c r="H30" s="1881"/>
      <c r="I30" s="1855"/>
    </row>
    <row r="31" spans="1:9" x14ac:dyDescent="0.25">
      <c r="A31" s="8"/>
      <c r="B31" s="14" t="s">
        <v>1046</v>
      </c>
      <c r="C31" s="234">
        <v>2</v>
      </c>
      <c r="D31" s="252" t="s">
        <v>1036</v>
      </c>
      <c r="E31" s="1672"/>
      <c r="F31" s="1879"/>
      <c r="G31" s="1880" t="s">
        <v>1033</v>
      </c>
      <c r="H31" s="1881"/>
      <c r="I31" s="1855"/>
    </row>
    <row r="32" spans="1:9" x14ac:dyDescent="0.25">
      <c r="A32" s="8"/>
      <c r="B32" s="14" t="s">
        <v>919</v>
      </c>
      <c r="C32" s="253">
        <v>2.5</v>
      </c>
      <c r="D32" s="252" t="s">
        <v>25</v>
      </c>
      <c r="E32" s="1672"/>
      <c r="F32" s="1879"/>
      <c r="G32" s="1880">
        <v>2.5</v>
      </c>
      <c r="H32" s="1881"/>
      <c r="I32" s="1852"/>
    </row>
    <row r="33" spans="1:9" x14ac:dyDescent="0.25">
      <c r="A33" s="8"/>
      <c r="B33" s="14" t="s">
        <v>925</v>
      </c>
      <c r="C33" s="1707">
        <v>60</v>
      </c>
      <c r="D33" s="234" t="s">
        <v>979</v>
      </c>
      <c r="E33" s="1672"/>
      <c r="F33" s="1879"/>
      <c r="G33" s="1771" t="s">
        <v>1033</v>
      </c>
      <c r="H33" s="1882"/>
      <c r="I33" s="1852"/>
    </row>
    <row r="34" spans="1:9" x14ac:dyDescent="0.25">
      <c r="A34" s="8"/>
      <c r="B34" s="14" t="s">
        <v>926</v>
      </c>
      <c r="C34" s="253" t="s">
        <v>927</v>
      </c>
      <c r="D34" s="253"/>
      <c r="E34" s="1672"/>
      <c r="F34" s="1879"/>
      <c r="G34" s="1771" t="s">
        <v>1033</v>
      </c>
      <c r="H34" s="1882"/>
      <c r="I34" s="1852"/>
    </row>
    <row r="35" spans="1:9" x14ac:dyDescent="0.25">
      <c r="A35" s="8"/>
      <c r="B35" s="14" t="s">
        <v>928</v>
      </c>
      <c r="C35" s="1707">
        <v>50</v>
      </c>
      <c r="D35" s="1707" t="s">
        <v>999</v>
      </c>
      <c r="E35" s="1672"/>
      <c r="F35" s="1883"/>
      <c r="G35" s="1884">
        <v>50</v>
      </c>
      <c r="H35" s="1885"/>
      <c r="I35" s="1852"/>
    </row>
    <row r="36" spans="1:9" x14ac:dyDescent="0.25">
      <c r="A36" s="15"/>
      <c r="B36" s="64" t="s">
        <v>64</v>
      </c>
      <c r="C36" s="1665">
        <f>C14*5%</f>
        <v>125</v>
      </c>
      <c r="D36" s="1665" t="s">
        <v>379</v>
      </c>
      <c r="E36" s="1652">
        <v>572.71</v>
      </c>
      <c r="F36" s="1652">
        <v>675.39</v>
      </c>
      <c r="G36" s="1886">
        <f>F36-E36</f>
        <v>102.67999999999995</v>
      </c>
      <c r="H36" s="1887">
        <f>G36/G14</f>
        <v>4.0752500396888366E-2</v>
      </c>
      <c r="I36" s="1855"/>
    </row>
    <row r="37" spans="1:9" ht="14.85" hidden="1" customHeight="1" x14ac:dyDescent="0.25">
      <c r="A37" s="15"/>
      <c r="B37" s="716" t="s">
        <v>351</v>
      </c>
      <c r="C37" s="741"/>
      <c r="D37" s="234"/>
      <c r="E37" s="33"/>
      <c r="H37" s="1675"/>
      <c r="I37" s="1852"/>
    </row>
    <row r="38" spans="1:9" ht="14.85" hidden="1" customHeight="1" x14ac:dyDescent="0.25">
      <c r="A38" s="8"/>
      <c r="B38" s="11" t="s">
        <v>84</v>
      </c>
      <c r="C38" s="251"/>
      <c r="D38" s="251"/>
      <c r="E38" s="33"/>
      <c r="H38" s="1675"/>
      <c r="I38" s="1852"/>
    </row>
    <row r="39" spans="1:9" ht="14.85" hidden="1" customHeight="1" x14ac:dyDescent="0.25">
      <c r="A39" s="8"/>
      <c r="B39" s="11" t="s">
        <v>355</v>
      </c>
      <c r="C39" s="251"/>
      <c r="D39" s="251"/>
      <c r="E39" s="33">
        <v>0</v>
      </c>
      <c r="H39" s="1675"/>
      <c r="I39" s="1852"/>
    </row>
    <row r="40" spans="1:9" ht="14.85" hidden="1" customHeight="1" x14ac:dyDescent="0.25">
      <c r="A40" s="15"/>
      <c r="B40" s="64" t="s">
        <v>354</v>
      </c>
      <c r="C40" s="234"/>
      <c r="D40" s="234"/>
      <c r="E40" s="270">
        <v>392100</v>
      </c>
      <c r="H40" s="1675"/>
      <c r="I40" s="1852"/>
    </row>
    <row r="41" spans="1:9" ht="14.85" hidden="1" customHeight="1" x14ac:dyDescent="0.25">
      <c r="A41" s="15"/>
      <c r="B41" s="945" t="s">
        <v>376</v>
      </c>
      <c r="C41" s="946"/>
      <c r="D41" s="946"/>
      <c r="E41" s="947"/>
      <c r="H41" s="1675"/>
      <c r="I41" s="1852"/>
    </row>
    <row r="42" spans="1:9" ht="14.85" hidden="1" customHeight="1" x14ac:dyDescent="0.25">
      <c r="A42" s="15"/>
      <c r="B42" s="14" t="s">
        <v>353</v>
      </c>
      <c r="C42" s="740"/>
      <c r="D42" s="740"/>
      <c r="E42" s="33">
        <f>SUM(E45,E49,E54,E58,E68)</f>
        <v>0</v>
      </c>
      <c r="H42" s="1675"/>
      <c r="I42" s="1852"/>
    </row>
    <row r="43" spans="1:9" ht="14.85" hidden="1" customHeight="1" x14ac:dyDescent="0.25">
      <c r="A43" s="15"/>
      <c r="B43" s="14" t="s">
        <v>352</v>
      </c>
      <c r="C43" s="742"/>
      <c r="D43" s="740"/>
      <c r="E43" s="33">
        <f>E40-E42</f>
        <v>392100</v>
      </c>
      <c r="H43" s="1675"/>
      <c r="I43" s="1852"/>
    </row>
    <row r="44" spans="1:9" ht="14.85" hidden="1" customHeight="1" x14ac:dyDescent="0.25">
      <c r="A44" s="15"/>
      <c r="B44" s="230" t="s">
        <v>76</v>
      </c>
      <c r="C44" s="231"/>
      <c r="D44" s="231"/>
      <c r="E44" s="94"/>
      <c r="H44" s="1675"/>
      <c r="I44" s="1852"/>
    </row>
    <row r="45" spans="1:9" ht="14.85" hidden="1" customHeight="1" x14ac:dyDescent="0.25">
      <c r="A45" s="15"/>
      <c r="B45" s="14" t="s">
        <v>75</v>
      </c>
      <c r="C45" s="255"/>
      <c r="D45" s="255"/>
      <c r="E45" s="33">
        <f>E46+E47</f>
        <v>0</v>
      </c>
      <c r="H45" s="1675"/>
      <c r="I45" s="1852"/>
    </row>
    <row r="46" spans="1:9" ht="14.85" hidden="1" customHeight="1" x14ac:dyDescent="0.25">
      <c r="A46" s="15"/>
      <c r="B46" s="64" t="s">
        <v>74</v>
      </c>
      <c r="C46" s="255"/>
      <c r="D46" s="255"/>
      <c r="E46" s="270">
        <v>0</v>
      </c>
      <c r="H46" s="1675"/>
      <c r="I46" s="1852"/>
    </row>
    <row r="47" spans="1:9" ht="14.85" hidden="1" customHeight="1" x14ac:dyDescent="0.25">
      <c r="A47" s="15"/>
      <c r="B47" s="64" t="s">
        <v>73</v>
      </c>
      <c r="C47" s="255"/>
      <c r="D47" s="255"/>
      <c r="E47" s="271">
        <v>0</v>
      </c>
      <c r="H47" s="1675"/>
      <c r="I47" s="1852"/>
    </row>
    <row r="48" spans="1:9" ht="14.85" hidden="1" customHeight="1" x14ac:dyDescent="0.25">
      <c r="A48" s="68"/>
      <c r="B48" s="230" t="s">
        <v>104</v>
      </c>
      <c r="C48" s="305"/>
      <c r="D48" s="1800"/>
      <c r="E48" s="272"/>
      <c r="H48" s="1675"/>
      <c r="I48" s="1852"/>
    </row>
    <row r="49" spans="1:9" ht="14.85" hidden="1" customHeight="1" x14ac:dyDescent="0.25">
      <c r="A49" s="15"/>
      <c r="B49" s="14" t="s">
        <v>75</v>
      </c>
      <c r="C49" s="255"/>
      <c r="D49" s="255"/>
      <c r="E49" s="33">
        <f>E50+E51</f>
        <v>0</v>
      </c>
      <c r="H49" s="1675"/>
      <c r="I49" s="1852"/>
    </row>
    <row r="50" spans="1:9" ht="14.85" hidden="1" customHeight="1" x14ac:dyDescent="0.25">
      <c r="A50" s="15"/>
      <c r="B50" s="64" t="s">
        <v>105</v>
      </c>
      <c r="C50" s="255"/>
      <c r="D50" s="255"/>
      <c r="E50" s="270">
        <v>0</v>
      </c>
      <c r="H50" s="1675"/>
      <c r="I50" s="1852"/>
    </row>
    <row r="51" spans="1:9" ht="14.85" hidden="1" customHeight="1" x14ac:dyDescent="0.25">
      <c r="A51" s="15"/>
      <c r="B51" s="64" t="s">
        <v>73</v>
      </c>
      <c r="C51" s="255"/>
      <c r="D51" s="255"/>
      <c r="E51" s="270">
        <v>0</v>
      </c>
      <c r="H51" s="1675"/>
      <c r="I51" s="1852"/>
    </row>
    <row r="52" spans="1:9" ht="14.85" hidden="1" customHeight="1" x14ac:dyDescent="0.25">
      <c r="A52" s="15"/>
      <c r="B52" s="230" t="s">
        <v>107</v>
      </c>
      <c r="C52" s="233"/>
      <c r="D52" s="233"/>
      <c r="E52" s="94"/>
      <c r="H52" s="1675"/>
      <c r="I52" s="1852"/>
    </row>
    <row r="53" spans="1:9" ht="14.85" hidden="1" customHeight="1" x14ac:dyDescent="0.25">
      <c r="A53" s="17"/>
      <c r="B53" s="11" t="s">
        <v>71</v>
      </c>
      <c r="C53" s="256"/>
      <c r="D53" s="256"/>
      <c r="E53" s="33"/>
      <c r="H53" s="1675"/>
      <c r="I53" s="1852"/>
    </row>
    <row r="54" spans="1:9" ht="14.85" hidden="1" customHeight="1" x14ac:dyDescent="0.25">
      <c r="A54" s="15"/>
      <c r="B54" s="14" t="s">
        <v>70</v>
      </c>
      <c r="C54" s="255"/>
      <c r="D54" s="255"/>
      <c r="E54" s="33">
        <f>E55+E56</f>
        <v>0</v>
      </c>
      <c r="H54" s="1675"/>
      <c r="I54" s="1852"/>
    </row>
    <row r="55" spans="1:9" ht="14.85" hidden="1" customHeight="1" x14ac:dyDescent="0.25">
      <c r="A55" s="15"/>
      <c r="B55" s="64" t="s">
        <v>109</v>
      </c>
      <c r="C55" s="255"/>
      <c r="D55" s="255"/>
      <c r="E55" s="270">
        <v>0</v>
      </c>
      <c r="H55" s="1675"/>
      <c r="I55" s="1852"/>
    </row>
    <row r="56" spans="1:9" ht="14.85" hidden="1" customHeight="1" x14ac:dyDescent="0.25">
      <c r="A56" s="15"/>
      <c r="B56" s="55" t="s">
        <v>73</v>
      </c>
      <c r="C56" s="255"/>
      <c r="D56" s="255"/>
      <c r="E56" s="271">
        <v>0</v>
      </c>
      <c r="H56" s="1675"/>
      <c r="I56" s="1852"/>
    </row>
    <row r="57" spans="1:9" ht="14.85" hidden="1" customHeight="1" x14ac:dyDescent="0.25">
      <c r="A57" s="68"/>
      <c r="B57" s="230" t="s">
        <v>110</v>
      </c>
      <c r="C57" s="305"/>
      <c r="D57" s="305"/>
      <c r="E57" s="94"/>
      <c r="H57" s="1675"/>
      <c r="I57" s="1852"/>
    </row>
    <row r="58" spans="1:9" ht="14.85" hidden="1" customHeight="1" x14ac:dyDescent="0.25">
      <c r="A58" s="15"/>
      <c r="B58" s="14" t="s">
        <v>75</v>
      </c>
      <c r="C58" s="229">
        <f>C59+C60</f>
        <v>21429000</v>
      </c>
      <c r="D58" s="229"/>
      <c r="E58" s="33">
        <f>E59+E60</f>
        <v>0</v>
      </c>
      <c r="H58" s="1675"/>
      <c r="I58" s="1852"/>
    </row>
    <row r="59" spans="1:9" ht="14.85" hidden="1" customHeight="1" x14ac:dyDescent="0.25">
      <c r="A59" s="15"/>
      <c r="B59" s="64" t="s">
        <v>112</v>
      </c>
      <c r="C59" s="67">
        <v>15000000</v>
      </c>
      <c r="D59" s="67"/>
      <c r="E59" s="270"/>
      <c r="H59" s="1675"/>
      <c r="I59" s="1852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71"/>
      <c r="H60" s="1675"/>
      <c r="I60" s="1852"/>
    </row>
    <row r="61" spans="1:9" ht="14.85" hidden="1" customHeight="1" x14ac:dyDescent="0.25">
      <c r="A61" s="68"/>
      <c r="B61" s="230" t="s">
        <v>817</v>
      </c>
      <c r="C61" s="305"/>
      <c r="D61" s="1800"/>
      <c r="E61" s="272"/>
      <c r="H61" s="1675"/>
      <c r="I61" s="1852"/>
    </row>
    <row r="62" spans="1:9" ht="14.85" hidden="1" customHeight="1" x14ac:dyDescent="0.25">
      <c r="A62" s="17"/>
      <c r="B62" s="11" t="s">
        <v>71</v>
      </c>
      <c r="C62" s="256"/>
      <c r="D62" s="256"/>
      <c r="E62" s="33"/>
      <c r="H62" s="1675"/>
      <c r="I62" s="1852"/>
    </row>
    <row r="63" spans="1:9" ht="14.85" hidden="1" customHeight="1" x14ac:dyDescent="0.25">
      <c r="A63" s="15"/>
      <c r="B63" s="14" t="s">
        <v>75</v>
      </c>
      <c r="C63" s="229">
        <f>C64+C65</f>
        <v>21429000</v>
      </c>
      <c r="D63" s="229"/>
      <c r="E63" s="33">
        <f>E64+E65</f>
        <v>0</v>
      </c>
      <c r="H63" s="1675"/>
      <c r="I63" s="1852"/>
    </row>
    <row r="64" spans="1:9" ht="14.85" hidden="1" customHeight="1" x14ac:dyDescent="0.25">
      <c r="A64" s="15"/>
      <c r="B64" s="64" t="s">
        <v>112</v>
      </c>
      <c r="C64" s="67">
        <v>15000000</v>
      </c>
      <c r="D64" s="67"/>
      <c r="E64" s="270">
        <v>0</v>
      </c>
      <c r="H64" s="1675"/>
      <c r="I64" s="1852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70">
        <v>0</v>
      </c>
      <c r="H65" s="1675"/>
      <c r="I65" s="1852"/>
    </row>
    <row r="66" spans="1:9" ht="14.85" hidden="1" customHeight="1" x14ac:dyDescent="0.25">
      <c r="A66" s="15"/>
      <c r="B66" s="230" t="s">
        <v>72</v>
      </c>
      <c r="C66" s="233"/>
      <c r="D66" s="233"/>
      <c r="E66" s="94"/>
      <c r="H66" s="1675"/>
      <c r="I66" s="1852"/>
    </row>
    <row r="67" spans="1:9" ht="14.85" hidden="1" customHeight="1" x14ac:dyDescent="0.25">
      <c r="A67" s="17"/>
      <c r="B67" s="11" t="s">
        <v>71</v>
      </c>
      <c r="C67" s="256"/>
      <c r="D67" s="256"/>
      <c r="E67" s="33"/>
      <c r="H67" s="1675"/>
      <c r="I67" s="1852"/>
    </row>
    <row r="68" spans="1:9" ht="14.85" hidden="1" customHeight="1" x14ac:dyDescent="0.25">
      <c r="A68" s="15"/>
      <c r="B68" s="14" t="s">
        <v>70</v>
      </c>
      <c r="C68" s="255"/>
      <c r="D68" s="255"/>
      <c r="E68" s="33">
        <f>E70+E71</f>
        <v>0</v>
      </c>
      <c r="H68" s="1675"/>
      <c r="I68" s="1852"/>
    </row>
    <row r="69" spans="1:9" ht="14.85" hidden="1" customHeight="1" x14ac:dyDescent="0.25">
      <c r="A69" s="15"/>
      <c r="B69" s="64" t="s">
        <v>69</v>
      </c>
      <c r="C69" s="255"/>
      <c r="D69" s="255"/>
      <c r="E69" s="270">
        <v>0</v>
      </c>
      <c r="H69" s="1675"/>
      <c r="I69" s="1852"/>
    </row>
    <row r="70" spans="1:9" ht="14.85" hidden="1" customHeight="1" x14ac:dyDescent="0.25">
      <c r="A70" s="15"/>
      <c r="B70" s="64" t="s">
        <v>68</v>
      </c>
      <c r="C70" s="255"/>
      <c r="D70" s="255"/>
      <c r="E70" s="270">
        <v>0</v>
      </c>
      <c r="H70" s="1675"/>
      <c r="I70" s="1852"/>
    </row>
    <row r="71" spans="1:9" ht="14.85" hidden="1" customHeight="1" x14ac:dyDescent="0.25">
      <c r="A71" s="15"/>
      <c r="B71" s="64" t="s">
        <v>67</v>
      </c>
      <c r="C71" s="255"/>
      <c r="D71" s="255"/>
      <c r="E71" s="270">
        <v>0</v>
      </c>
      <c r="H71" s="1675"/>
      <c r="I71" s="1852"/>
    </row>
    <row r="72" spans="1:9" ht="14.85" hidden="1" customHeight="1" x14ac:dyDescent="0.25">
      <c r="A72" s="15"/>
      <c r="B72" s="74" t="s">
        <v>113</v>
      </c>
      <c r="C72" s="255"/>
      <c r="D72" s="255"/>
      <c r="E72" s="273">
        <v>0</v>
      </c>
      <c r="H72" s="1675"/>
      <c r="I72" s="1852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75"/>
      <c r="I73" s="1852"/>
    </row>
    <row r="74" spans="1:9" ht="14.85" hidden="1" customHeight="1" x14ac:dyDescent="0.25">
      <c r="A74" s="15"/>
      <c r="B74" s="74" t="s">
        <v>65</v>
      </c>
      <c r="C74" s="1573">
        <v>94.2</v>
      </c>
      <c r="D74" s="1573"/>
      <c r="E74" s="274">
        <f>(E27/(E14))*100</f>
        <v>91.30858841036752</v>
      </c>
      <c r="H74" s="1675"/>
      <c r="I74" s="1852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4">
        <f>(E36/(E14))*100</f>
        <v>4.2316951163825145</v>
      </c>
      <c r="H75" s="1675"/>
      <c r="I75" s="1852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4" t="e">
        <f>E46/(E46+E47)*100</f>
        <v>#DIV/0!</v>
      </c>
      <c r="H76" s="1675"/>
      <c r="I76" s="1852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4" t="e">
        <f>(E47/E45)*100</f>
        <v>#DIV/0!</v>
      </c>
      <c r="H77" s="1675"/>
      <c r="I77" s="1852"/>
    </row>
    <row r="78" spans="1:9" ht="14.85" hidden="1" customHeight="1" x14ac:dyDescent="0.25">
      <c r="A78" s="15"/>
      <c r="B78" s="74" t="s">
        <v>106</v>
      </c>
      <c r="C78" s="126">
        <v>75</v>
      </c>
      <c r="D78" s="126"/>
      <c r="E78" s="274" t="e">
        <f>(E50/E49)*100</f>
        <v>#DIV/0!</v>
      </c>
      <c r="H78" s="1675"/>
      <c r="I78" s="1852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4" t="e">
        <f>(E51/E49)*100</f>
        <v>#DIV/0!</v>
      </c>
      <c r="H79" s="1675"/>
      <c r="I79" s="1852"/>
    </row>
    <row r="80" spans="1:9" ht="14.85" hidden="1" customHeight="1" x14ac:dyDescent="0.25">
      <c r="A80" s="15"/>
      <c r="B80" s="74" t="s">
        <v>108</v>
      </c>
      <c r="C80" s="126">
        <v>75</v>
      </c>
      <c r="D80" s="126"/>
      <c r="E80" s="274" t="e">
        <f>E55/E54*100</f>
        <v>#DIV/0!</v>
      </c>
      <c r="H80" s="1675"/>
      <c r="I80" s="1852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4" t="e">
        <f>E56/E54*100</f>
        <v>#DIV/0!</v>
      </c>
      <c r="H81" s="1675"/>
      <c r="I81" s="1852"/>
    </row>
    <row r="82" spans="1:9" ht="14.85" hidden="1" customHeight="1" x14ac:dyDescent="0.25">
      <c r="A82" s="15"/>
      <c r="B82" s="74" t="s">
        <v>111</v>
      </c>
      <c r="C82" s="126">
        <v>70</v>
      </c>
      <c r="D82" s="126"/>
      <c r="E82" s="274" t="e">
        <f>E59/(E59+E60)*100</f>
        <v>#DIV/0!</v>
      </c>
      <c r="H82" s="1675"/>
      <c r="I82" s="1852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4" t="e">
        <f>E60/(E60+E59)*100</f>
        <v>#DIV/0!</v>
      </c>
      <c r="H83" s="1675"/>
      <c r="I83" s="1852"/>
    </row>
    <row r="84" spans="1:9" ht="14.85" hidden="1" customHeight="1" x14ac:dyDescent="0.25">
      <c r="A84" s="15"/>
      <c r="B84" s="74" t="s">
        <v>818</v>
      </c>
      <c r="C84" s="126">
        <v>70</v>
      </c>
      <c r="D84" s="126"/>
      <c r="E84" s="274" t="e">
        <f>E64/(E64+E65)*100</f>
        <v>#DIV/0!</v>
      </c>
      <c r="H84" s="1675"/>
      <c r="I84" s="1852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4" t="e">
        <f>E65/(E64+E65)*100</f>
        <v>#DIV/0!</v>
      </c>
      <c r="H85" s="1675"/>
      <c r="I85" s="1852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4" t="e">
        <f>E69/E68*100</f>
        <v>#DIV/0!</v>
      </c>
      <c r="H86" s="1675"/>
      <c r="I86" s="1852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4" t="e">
        <f>E71/E68*100</f>
        <v>#DIV/0!</v>
      </c>
      <c r="H87" s="1675"/>
      <c r="I87" s="1852"/>
    </row>
    <row r="88" spans="1:9" x14ac:dyDescent="0.25">
      <c r="A88" s="8"/>
      <c r="B88" s="14" t="s">
        <v>82</v>
      </c>
      <c r="C88" s="253" t="s">
        <v>980</v>
      </c>
      <c r="D88" s="252" t="s">
        <v>25</v>
      </c>
      <c r="E88" s="1672"/>
      <c r="F88" s="1657"/>
      <c r="G88" s="1656">
        <v>90.21</v>
      </c>
      <c r="H88" s="751"/>
      <c r="I88" s="1852"/>
    </row>
    <row r="89" spans="1:9" ht="15.75" thickBot="1" x14ac:dyDescent="0.3">
      <c r="A89" s="8"/>
      <c r="B89" s="14" t="s">
        <v>81</v>
      </c>
      <c r="C89" s="253">
        <v>0.5</v>
      </c>
      <c r="D89" s="252" t="s">
        <v>25</v>
      </c>
      <c r="E89" s="1672"/>
      <c r="F89" s="1657"/>
      <c r="G89" s="1656">
        <v>0.33</v>
      </c>
      <c r="H89" s="751"/>
      <c r="I89" s="1852"/>
    </row>
    <row r="90" spans="1:9" ht="15.75" thickBot="1" x14ac:dyDescent="0.3">
      <c r="A90" s="1806">
        <v>2</v>
      </c>
      <c r="B90" s="1804" t="s">
        <v>59</v>
      </c>
      <c r="C90" s="1670"/>
      <c r="D90" s="1670"/>
      <c r="E90" s="1888" t="s">
        <v>914</v>
      </c>
      <c r="F90" s="1888" t="s">
        <v>915</v>
      </c>
      <c r="G90" s="1670" t="s">
        <v>188</v>
      </c>
      <c r="H90" s="1671" t="s">
        <v>987</v>
      </c>
      <c r="I90" s="1852"/>
    </row>
    <row r="91" spans="1:9" x14ac:dyDescent="0.25">
      <c r="A91" s="8"/>
      <c r="B91" s="235" t="s">
        <v>58</v>
      </c>
      <c r="C91" s="252">
        <v>9</v>
      </c>
      <c r="D91" s="252" t="s">
        <v>86</v>
      </c>
      <c r="E91" s="270">
        <v>122737</v>
      </c>
      <c r="F91" s="270">
        <v>143761</v>
      </c>
      <c r="G91" s="270">
        <f>F91-E91</f>
        <v>21024</v>
      </c>
      <c r="H91" s="1889">
        <f>G91/G14/10</f>
        <v>0.83441816161295423</v>
      </c>
      <c r="I91" s="1855" t="s">
        <v>820</v>
      </c>
    </row>
    <row r="92" spans="1:9" ht="14.85" hidden="1" customHeight="1" x14ac:dyDescent="0.25">
      <c r="A92" s="15"/>
      <c r="B92" s="21"/>
      <c r="C92" s="254"/>
      <c r="D92" s="254"/>
      <c r="E92" s="276" t="e">
        <f>E91/(E16)*100</f>
        <v>#DIV/0!</v>
      </c>
      <c r="H92" s="1890"/>
      <c r="I92" s="1852"/>
    </row>
    <row r="93" spans="1:9" ht="14.85" hidden="1" customHeight="1" x14ac:dyDescent="0.25">
      <c r="A93" s="8"/>
      <c r="B93" s="237" t="s">
        <v>57</v>
      </c>
      <c r="C93" s="257">
        <v>18</v>
      </c>
      <c r="D93" s="257"/>
      <c r="E93" s="277">
        <v>0</v>
      </c>
      <c r="H93" s="1890"/>
      <c r="I93" s="1852"/>
    </row>
    <row r="94" spans="1:9" ht="14.85" hidden="1" customHeight="1" x14ac:dyDescent="0.25">
      <c r="A94" s="15"/>
      <c r="B94" s="22"/>
      <c r="C94" s="258"/>
      <c r="D94" s="258"/>
      <c r="E94" s="278" t="e">
        <f>E93/(E17)*100</f>
        <v>#DIV/0!</v>
      </c>
      <c r="H94" s="1890"/>
      <c r="I94" s="1855" t="s">
        <v>820</v>
      </c>
    </row>
    <row r="95" spans="1:9" x14ac:dyDescent="0.25">
      <c r="A95" s="15"/>
      <c r="B95" s="235" t="s">
        <v>55</v>
      </c>
      <c r="C95" s="253" t="s">
        <v>981</v>
      </c>
      <c r="D95" s="252" t="s">
        <v>86</v>
      </c>
      <c r="E95" s="271">
        <v>1970.8</v>
      </c>
      <c r="F95" s="290">
        <v>867.36</v>
      </c>
      <c r="G95" s="1681">
        <f>E95-F95</f>
        <v>1103.44</v>
      </c>
      <c r="H95" s="1891">
        <f>G95/G14/10</f>
        <v>4.3794253056040636E-2</v>
      </c>
      <c r="I95" s="1855" t="s">
        <v>820</v>
      </c>
    </row>
    <row r="96" spans="1:9" ht="15" hidden="1" customHeight="1" x14ac:dyDescent="0.25">
      <c r="A96" s="19"/>
      <c r="B96" s="24"/>
      <c r="C96" s="254"/>
      <c r="D96" s="254"/>
      <c r="E96" s="279"/>
      <c r="H96" s="1675"/>
      <c r="I96" s="1852"/>
    </row>
    <row r="97" spans="1:9" x14ac:dyDescent="0.25">
      <c r="A97" s="138">
        <v>3</v>
      </c>
      <c r="B97" s="239" t="s">
        <v>168</v>
      </c>
      <c r="C97" s="1802" t="s">
        <v>983</v>
      </c>
      <c r="D97" s="240" t="s">
        <v>25</v>
      </c>
      <c r="E97" s="280"/>
      <c r="F97" s="1655"/>
      <c r="G97" s="280"/>
      <c r="H97" s="1892">
        <f>((SUM(G27+G36))-(SUM(G14)))/(SUM(G14))*100</f>
        <v>-2.7190823940308246</v>
      </c>
      <c r="I97" s="1852"/>
    </row>
    <row r="98" spans="1:9" x14ac:dyDescent="0.25">
      <c r="A98" s="138"/>
      <c r="B98" s="309"/>
      <c r="C98" s="310"/>
      <c r="D98" s="310"/>
      <c r="E98" s="312"/>
      <c r="G98" s="312"/>
      <c r="H98" s="1893">
        <f>H97%*G14</f>
        <v>-68.510000000000673</v>
      </c>
      <c r="I98" s="1852"/>
    </row>
    <row r="99" spans="1:9" x14ac:dyDescent="0.25">
      <c r="A99" s="68"/>
      <c r="B99" s="235" t="s">
        <v>54</v>
      </c>
      <c r="C99" s="1803" t="s">
        <v>982</v>
      </c>
      <c r="D99" s="1658" t="s">
        <v>25</v>
      </c>
      <c r="E99" s="281"/>
      <c r="F99" s="1659"/>
      <c r="G99" s="281"/>
      <c r="H99" s="1678"/>
      <c r="I99" s="1852"/>
    </row>
    <row r="100" spans="1:9" ht="15.75" thickBot="1" x14ac:dyDescent="0.3">
      <c r="A100" s="85"/>
      <c r="B100" s="86" t="s">
        <v>53</v>
      </c>
      <c r="C100" s="254"/>
      <c r="D100" s="254"/>
      <c r="E100" s="1682"/>
      <c r="F100" s="1683"/>
      <c r="G100" s="1682"/>
      <c r="H100" s="1682">
        <f>SUM(G91,G93)+(H99%*SUM(G91,G93))</f>
        <v>21024</v>
      </c>
      <c r="I100" s="1852"/>
    </row>
    <row r="101" spans="1:9" ht="15" hidden="1" customHeight="1" x14ac:dyDescent="0.25">
      <c r="A101" s="8">
        <v>4</v>
      </c>
      <c r="B101" s="47" t="s">
        <v>52</v>
      </c>
      <c r="C101" s="48"/>
      <c r="D101" s="1801"/>
      <c r="E101" s="272"/>
      <c r="H101" s="1675"/>
      <c r="I101" s="1852"/>
    </row>
    <row r="102" spans="1:9" ht="15" hidden="1" customHeight="1" x14ac:dyDescent="0.25">
      <c r="A102" s="8"/>
      <c r="B102" s="26" t="s">
        <v>51</v>
      </c>
      <c r="C102" s="88"/>
      <c r="D102" s="88"/>
      <c r="E102" s="282"/>
      <c r="H102" s="1675"/>
      <c r="I102" s="1852"/>
    </row>
    <row r="103" spans="1:9" ht="15" hidden="1" customHeight="1" x14ac:dyDescent="0.25">
      <c r="A103" s="15"/>
      <c r="B103" s="28" t="s">
        <v>46</v>
      </c>
      <c r="C103" s="90"/>
      <c r="D103" s="90"/>
      <c r="E103" s="283"/>
      <c r="H103" s="1675"/>
      <c r="I103" s="1852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75"/>
      <c r="I104" s="1852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75"/>
      <c r="I105" s="1852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75"/>
      <c r="I106" s="1852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75"/>
      <c r="I107" s="1852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75"/>
      <c r="I108" s="1852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75"/>
      <c r="I109" s="1852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75"/>
      <c r="I110" s="1852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75"/>
      <c r="I111" s="1852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75"/>
      <c r="I112" s="1852"/>
    </row>
    <row r="113" spans="1:9" ht="15" hidden="1" customHeight="1" x14ac:dyDescent="0.25">
      <c r="A113" s="15"/>
      <c r="B113" s="30" t="s">
        <v>36</v>
      </c>
      <c r="C113" s="60"/>
      <c r="D113" s="60"/>
      <c r="E113" s="284">
        <v>0</v>
      </c>
      <c r="H113" s="1675"/>
      <c r="I113" s="1852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75"/>
      <c r="I114" s="1852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75"/>
      <c r="I115" s="1852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75"/>
      <c r="I116" s="1852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75"/>
      <c r="I117" s="1852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75"/>
      <c r="I118" s="1852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75"/>
      <c r="I119" s="1852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75"/>
      <c r="I120" s="1852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75"/>
      <c r="I121" s="1852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75"/>
      <c r="I122" s="1852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75"/>
      <c r="I123" s="1852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675"/>
      <c r="I124" s="1852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675"/>
      <c r="I125" s="1852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675"/>
      <c r="I126" s="1852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675"/>
      <c r="I127" s="1852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675"/>
      <c r="I128" s="1852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75"/>
      <c r="I129" s="1852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75"/>
      <c r="I130" s="1852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75"/>
      <c r="I131" s="1852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75"/>
      <c r="I132" s="1852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75"/>
      <c r="I133" s="1852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75"/>
      <c r="I134" s="1852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75"/>
      <c r="I135" s="1852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75"/>
      <c r="I136" s="1852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75"/>
      <c r="I137" s="1852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75"/>
      <c r="I138" s="1852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75"/>
      <c r="I139" s="1852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75"/>
      <c r="I140" s="1852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75"/>
      <c r="I141" s="1852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75"/>
      <c r="I142" s="1852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75"/>
      <c r="I143" s="1852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75"/>
      <c r="I144" s="1852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75"/>
      <c r="I145" s="1852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75"/>
      <c r="I146" s="1852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75"/>
      <c r="I147" s="1852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75"/>
      <c r="I148" s="1852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75"/>
      <c r="I149" s="1852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75"/>
      <c r="I150" s="1852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675"/>
      <c r="I151" s="1852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675"/>
      <c r="I152" s="1852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675"/>
      <c r="I153" s="1852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675"/>
      <c r="I154" s="1852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675"/>
      <c r="I155" s="1852"/>
    </row>
    <row r="156" spans="1:9" ht="15" hidden="1" customHeight="1" x14ac:dyDescent="0.25">
      <c r="A156" s="15"/>
      <c r="B156" s="47" t="s">
        <v>43</v>
      </c>
      <c r="C156" s="127"/>
      <c r="D156" s="127"/>
      <c r="E156" s="285"/>
      <c r="H156" s="1675"/>
      <c r="I156" s="1852"/>
    </row>
    <row r="157" spans="1:9" ht="15" hidden="1" customHeight="1" x14ac:dyDescent="0.25">
      <c r="A157" s="15"/>
      <c r="B157" s="28" t="s">
        <v>114</v>
      </c>
      <c r="C157" s="126"/>
      <c r="D157" s="126"/>
      <c r="E157" s="42"/>
      <c r="H157" s="1675"/>
      <c r="I157" s="1852"/>
    </row>
    <row r="158" spans="1:9" ht="15" hidden="1" customHeight="1" x14ac:dyDescent="0.25">
      <c r="A158" s="15"/>
      <c r="B158" s="28" t="s">
        <v>115</v>
      </c>
      <c r="C158" s="126"/>
      <c r="D158" s="126"/>
      <c r="E158" s="34"/>
      <c r="H158" s="1675"/>
      <c r="I158" s="1852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675"/>
      <c r="I159" s="1852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675"/>
      <c r="I160" s="1852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675"/>
      <c r="I161" s="1852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675"/>
      <c r="I162" s="1852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675"/>
      <c r="I163" s="1852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675"/>
      <c r="I164" s="1852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675"/>
      <c r="I165" s="1852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675"/>
      <c r="I166" s="1852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675"/>
      <c r="I167" s="1852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675"/>
      <c r="I168" s="1852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675"/>
      <c r="I169" s="1852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675"/>
      <c r="I170" s="1852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675"/>
      <c r="I171" s="1852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675"/>
      <c r="I172" s="1852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675"/>
      <c r="I173" s="1852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675"/>
      <c r="I174" s="1852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675"/>
      <c r="I175" s="1852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675"/>
      <c r="I176" s="1852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675"/>
      <c r="I177" s="1852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675"/>
      <c r="I178" s="1852"/>
    </row>
    <row r="179" spans="1:9" ht="15" hidden="1" customHeight="1" x14ac:dyDescent="0.25">
      <c r="A179" s="15"/>
      <c r="B179" s="11" t="s">
        <v>91</v>
      </c>
      <c r="C179" s="126"/>
      <c r="D179" s="126"/>
      <c r="E179" s="33" t="e">
        <v>#DIV/0!</v>
      </c>
      <c r="H179" s="1675"/>
      <c r="I179" s="1852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675"/>
      <c r="I180" s="1852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675"/>
      <c r="I181" s="1852"/>
    </row>
    <row r="182" spans="1:9" ht="15" hidden="1" customHeight="1" x14ac:dyDescent="0.25">
      <c r="A182" s="19"/>
      <c r="B182" s="11" t="s">
        <v>91</v>
      </c>
      <c r="C182" s="126"/>
      <c r="D182" s="126"/>
      <c r="E182" s="33" t="e">
        <v>#DIV/0!</v>
      </c>
      <c r="H182" s="1675"/>
      <c r="I182" s="1852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75"/>
      <c r="I183" s="1852"/>
    </row>
    <row r="184" spans="1:9" ht="15" hidden="1" customHeight="1" x14ac:dyDescent="0.25">
      <c r="A184" s="15"/>
      <c r="B184" s="28" t="s">
        <v>115</v>
      </c>
      <c r="C184" s="90"/>
      <c r="D184" s="90"/>
      <c r="E184" s="42"/>
      <c r="H184" s="1675"/>
      <c r="I184" s="1852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75"/>
      <c r="I185" s="1852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75"/>
      <c r="I186" s="1852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75"/>
      <c r="I187" s="1852"/>
    </row>
    <row r="188" spans="1:9" ht="15" hidden="1" customHeight="1" x14ac:dyDescent="0.25">
      <c r="A188" s="15"/>
      <c r="B188" s="11" t="s">
        <v>116</v>
      </c>
      <c r="C188" s="60"/>
      <c r="D188" s="60"/>
      <c r="E188" s="33"/>
      <c r="H188" s="1675"/>
      <c r="I188" s="1852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75"/>
      <c r="I189" s="1852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75"/>
      <c r="I190" s="1852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75"/>
      <c r="I191" s="1852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75"/>
      <c r="I192" s="1852"/>
    </row>
    <row r="193" spans="1:9" ht="15" hidden="1" customHeight="1" x14ac:dyDescent="0.25">
      <c r="A193" s="15"/>
      <c r="B193" s="11" t="s">
        <v>116</v>
      </c>
      <c r="C193" s="60"/>
      <c r="D193" s="60"/>
      <c r="E193" s="33">
        <v>0</v>
      </c>
      <c r="H193" s="1675"/>
      <c r="I193" s="1852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75"/>
      <c r="I194" s="1852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75"/>
      <c r="I195" s="1852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75"/>
      <c r="I196" s="1852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75"/>
      <c r="I197" s="1852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75"/>
      <c r="I198" s="1852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75"/>
      <c r="I199" s="1852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75"/>
      <c r="I200" s="1852"/>
    </row>
    <row r="201" spans="1:9" ht="15" hidden="1" customHeight="1" x14ac:dyDescent="0.25">
      <c r="A201" s="15"/>
      <c r="B201" s="11" t="s">
        <v>116</v>
      </c>
      <c r="C201" s="60"/>
      <c r="D201" s="60"/>
      <c r="E201" s="33">
        <v>0</v>
      </c>
      <c r="H201" s="1675"/>
      <c r="I201" s="1852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75"/>
      <c r="I202" s="1852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75"/>
      <c r="I203" s="1852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75"/>
      <c r="I204" s="1852"/>
    </row>
    <row r="205" spans="1:9" ht="15" hidden="1" customHeight="1" x14ac:dyDescent="0.25">
      <c r="A205" s="15"/>
      <c r="B205" s="11" t="s">
        <v>116</v>
      </c>
      <c r="C205" s="60"/>
      <c r="D205" s="60"/>
      <c r="E205" s="33">
        <v>0</v>
      </c>
      <c r="H205" s="1675"/>
      <c r="I205" s="1852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75"/>
      <c r="I206" s="1852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75"/>
      <c r="I207" s="1852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75"/>
      <c r="I208" s="1852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75"/>
      <c r="I209" s="1852"/>
    </row>
    <row r="210" spans="1:9" ht="15" hidden="1" customHeight="1" x14ac:dyDescent="0.25">
      <c r="A210" s="15"/>
      <c r="B210" s="11" t="s">
        <v>116</v>
      </c>
      <c r="C210" s="126">
        <v>0.3</v>
      </c>
      <c r="D210" s="126"/>
      <c r="E210" s="34" t="e">
        <v>#DIV/0!</v>
      </c>
      <c r="H210" s="1675"/>
      <c r="I210" s="1852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675"/>
      <c r="I211" s="1852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675"/>
      <c r="I212" s="1852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675"/>
      <c r="I213" s="1852"/>
    </row>
    <row r="214" spans="1:9" ht="15" hidden="1" customHeight="1" x14ac:dyDescent="0.25">
      <c r="A214" s="15"/>
      <c r="B214" s="11" t="s">
        <v>116</v>
      </c>
      <c r="C214" s="126">
        <v>0.5</v>
      </c>
      <c r="D214" s="126"/>
      <c r="E214" s="34" t="e">
        <v>#DIV/0!</v>
      </c>
      <c r="H214" s="1675"/>
      <c r="I214" s="1852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675"/>
      <c r="I215" s="1852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675"/>
      <c r="I216" s="1852"/>
    </row>
    <row r="217" spans="1:9" ht="15" hidden="1" customHeight="1" x14ac:dyDescent="0.25">
      <c r="A217" s="8">
        <v>7</v>
      </c>
      <c r="B217" s="47" t="s">
        <v>87</v>
      </c>
      <c r="C217" s="127"/>
      <c r="D217" s="127"/>
      <c r="E217" s="286"/>
      <c r="H217" s="1675"/>
      <c r="I217" s="1852"/>
    </row>
    <row r="218" spans="1:9" ht="15" hidden="1" customHeight="1" x14ac:dyDescent="0.25">
      <c r="A218" s="15"/>
      <c r="B218" s="26" t="s">
        <v>92</v>
      </c>
      <c r="C218" s="126"/>
      <c r="D218" s="126"/>
      <c r="E218" s="42"/>
      <c r="H218" s="1675"/>
      <c r="I218" s="1852"/>
    </row>
    <row r="219" spans="1:9" ht="15" hidden="1" customHeight="1" x14ac:dyDescent="0.25">
      <c r="A219" s="15"/>
      <c r="B219" s="11" t="s">
        <v>93</v>
      </c>
      <c r="C219" s="126"/>
      <c r="D219" s="126"/>
      <c r="E219" s="34"/>
      <c r="H219" s="1675"/>
      <c r="I219" s="1852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675"/>
      <c r="I220" s="1852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675"/>
      <c r="I221" s="1852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675"/>
      <c r="I222" s="1852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675"/>
      <c r="I223" s="1852"/>
    </row>
    <row r="224" spans="1:9" ht="15" hidden="1" customHeight="1" x14ac:dyDescent="0.25">
      <c r="A224" s="15"/>
      <c r="B224" s="11" t="s">
        <v>88</v>
      </c>
      <c r="C224" s="126"/>
      <c r="D224" s="126"/>
      <c r="E224" s="33"/>
      <c r="H224" s="1675"/>
      <c r="I224" s="1852"/>
    </row>
    <row r="225" spans="1:9" ht="15" hidden="1" customHeight="1" x14ac:dyDescent="0.25">
      <c r="A225" s="15"/>
      <c r="B225" s="11" t="s">
        <v>117</v>
      </c>
      <c r="C225" s="126"/>
      <c r="D225" s="126"/>
      <c r="E225" s="33"/>
      <c r="H225" s="1675"/>
      <c r="I225" s="1852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675"/>
      <c r="I226" s="1852"/>
    </row>
    <row r="227" spans="1:9" ht="15" hidden="1" customHeight="1" x14ac:dyDescent="0.25">
      <c r="A227" s="15"/>
      <c r="B227" s="11" t="s">
        <v>88</v>
      </c>
      <c r="C227" s="126"/>
      <c r="D227" s="126"/>
      <c r="E227" s="33">
        <v>0</v>
      </c>
      <c r="H227" s="1675"/>
      <c r="I227" s="1852"/>
    </row>
    <row r="228" spans="1:9" ht="15" hidden="1" customHeight="1" x14ac:dyDescent="0.25">
      <c r="A228" s="15"/>
      <c r="B228" s="11" t="s">
        <v>117</v>
      </c>
      <c r="C228" s="126"/>
      <c r="D228" s="126"/>
      <c r="E228" s="33">
        <v>0</v>
      </c>
      <c r="H228" s="1675"/>
      <c r="I228" s="1852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675"/>
      <c r="I229" s="1852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675"/>
      <c r="I230" s="1852"/>
    </row>
    <row r="231" spans="1:9" ht="15" hidden="1" customHeight="1" x14ac:dyDescent="0.25">
      <c r="A231" s="15"/>
      <c r="B231" s="47" t="s">
        <v>32</v>
      </c>
      <c r="C231" s="127"/>
      <c r="D231" s="127"/>
      <c r="E231" s="287"/>
      <c r="H231" s="1675"/>
      <c r="I231" s="1852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675"/>
      <c r="I232" s="1852"/>
    </row>
    <row r="233" spans="1:9" ht="15" hidden="1" customHeight="1" x14ac:dyDescent="0.25">
      <c r="A233" s="15"/>
      <c r="B233" s="11" t="s">
        <v>88</v>
      </c>
      <c r="C233" s="126"/>
      <c r="D233" s="126"/>
      <c r="E233" s="33"/>
      <c r="H233" s="1675"/>
      <c r="I233" s="1852"/>
    </row>
    <row r="234" spans="1:9" ht="15" hidden="1" customHeight="1" x14ac:dyDescent="0.25">
      <c r="A234" s="15"/>
      <c r="B234" s="11" t="s">
        <v>117</v>
      </c>
      <c r="C234" s="126"/>
      <c r="D234" s="126"/>
      <c r="E234" s="33"/>
      <c r="H234" s="1675"/>
      <c r="I234" s="1852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675"/>
      <c r="I235" s="1852"/>
    </row>
    <row r="236" spans="1:9" ht="15" hidden="1" customHeight="1" x14ac:dyDescent="0.25">
      <c r="A236" s="15"/>
      <c r="B236" s="11" t="s">
        <v>88</v>
      </c>
      <c r="C236" s="126"/>
      <c r="D236" s="126"/>
      <c r="E236" s="33">
        <v>0</v>
      </c>
      <c r="H236" s="1675"/>
      <c r="I236" s="1852"/>
    </row>
    <row r="237" spans="1:9" ht="15" hidden="1" customHeight="1" x14ac:dyDescent="0.25">
      <c r="A237" s="15"/>
      <c r="B237" s="11" t="s">
        <v>117</v>
      </c>
      <c r="C237" s="126"/>
      <c r="D237" s="126"/>
      <c r="E237" s="33">
        <v>0</v>
      </c>
      <c r="H237" s="1675"/>
      <c r="I237" s="1852"/>
    </row>
    <row r="238" spans="1:9" ht="15" hidden="1" customHeight="1" x14ac:dyDescent="0.25">
      <c r="A238" s="15"/>
      <c r="B238" s="47" t="s">
        <v>30</v>
      </c>
      <c r="C238" s="130"/>
      <c r="D238" s="130"/>
      <c r="E238" s="272"/>
      <c r="H238" s="1675"/>
      <c r="I238" s="1852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675"/>
      <c r="I239" s="1852"/>
    </row>
    <row r="240" spans="1:9" ht="15" hidden="1" customHeight="1" x14ac:dyDescent="0.25">
      <c r="A240" s="15"/>
      <c r="B240" s="11" t="s">
        <v>88</v>
      </c>
      <c r="C240" s="126">
        <v>0.3</v>
      </c>
      <c r="D240" s="126"/>
      <c r="E240" s="33" t="e">
        <v>#DIV/0!</v>
      </c>
      <c r="H240" s="1675"/>
      <c r="I240" s="1852"/>
    </row>
    <row r="241" spans="1:9" ht="15" hidden="1" customHeight="1" x14ac:dyDescent="0.25">
      <c r="A241" s="15"/>
      <c r="B241" s="11" t="s">
        <v>117</v>
      </c>
      <c r="C241" s="126">
        <v>0.3</v>
      </c>
      <c r="D241" s="126"/>
      <c r="E241" s="33" t="e">
        <v>#DIV/0!</v>
      </c>
      <c r="H241" s="1675"/>
      <c r="I241" s="1852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675"/>
      <c r="I242" s="1852"/>
    </row>
    <row r="243" spans="1:9" ht="15" hidden="1" customHeight="1" x14ac:dyDescent="0.25">
      <c r="A243" s="15"/>
      <c r="B243" s="11" t="s">
        <v>88</v>
      </c>
      <c r="C243" s="126">
        <v>0.5</v>
      </c>
      <c r="D243" s="126"/>
      <c r="E243" s="33" t="e">
        <v>#DIV/0!</v>
      </c>
      <c r="H243" s="1675"/>
      <c r="I243" s="1852"/>
    </row>
    <row r="244" spans="1:9" ht="15" hidden="1" customHeight="1" x14ac:dyDescent="0.25">
      <c r="A244" s="15"/>
      <c r="B244" s="11" t="s">
        <v>117</v>
      </c>
      <c r="C244" s="126">
        <v>0.5</v>
      </c>
      <c r="D244" s="126"/>
      <c r="E244" s="33" t="e">
        <v>#DIV/0!</v>
      </c>
      <c r="H244" s="1675"/>
      <c r="I244" s="1852"/>
    </row>
    <row r="245" spans="1:9" ht="15" hidden="1" customHeight="1" x14ac:dyDescent="0.25">
      <c r="A245" s="15"/>
      <c r="B245" s="101" t="s">
        <v>94</v>
      </c>
      <c r="C245" s="131"/>
      <c r="D245" s="131"/>
      <c r="E245" s="288">
        <v>0</v>
      </c>
      <c r="H245" s="1675"/>
      <c r="I245" s="1852"/>
    </row>
    <row r="246" spans="1:9" ht="15" hidden="1" customHeight="1" x14ac:dyDescent="0.25">
      <c r="A246" s="15"/>
      <c r="B246" s="71" t="s">
        <v>118</v>
      </c>
      <c r="C246" s="133"/>
      <c r="D246" s="133"/>
      <c r="E246" s="289">
        <v>0</v>
      </c>
      <c r="H246" s="1675"/>
      <c r="I246" s="1852"/>
    </row>
    <row r="247" spans="1:9" ht="15" hidden="1" customHeight="1" x14ac:dyDescent="0.25">
      <c r="A247" s="15"/>
      <c r="B247" s="104" t="s">
        <v>89</v>
      </c>
      <c r="C247" s="134"/>
      <c r="D247" s="134"/>
      <c r="E247" s="290">
        <v>0</v>
      </c>
      <c r="H247" s="1675"/>
      <c r="I247" s="1852"/>
    </row>
    <row r="248" spans="1:9" ht="15" hidden="1" customHeight="1" x14ac:dyDescent="0.25">
      <c r="A248" s="15"/>
      <c r="B248" s="107" t="s">
        <v>90</v>
      </c>
      <c r="C248" s="135"/>
      <c r="D248" s="135"/>
      <c r="E248" s="291">
        <v>0</v>
      </c>
      <c r="H248" s="1675"/>
      <c r="I248" s="1852"/>
    </row>
    <row r="249" spans="1:9" ht="15" hidden="1" customHeight="1" x14ac:dyDescent="0.25">
      <c r="A249" s="15"/>
      <c r="B249" s="110" t="s">
        <v>95</v>
      </c>
      <c r="C249" s="131"/>
      <c r="D249" s="131"/>
      <c r="E249" s="292">
        <v>0</v>
      </c>
      <c r="H249" s="1675"/>
      <c r="I249" s="1852"/>
    </row>
    <row r="250" spans="1:9" ht="15.75" thickBot="1" x14ac:dyDescent="0.3">
      <c r="A250" s="1806">
        <v>4</v>
      </c>
      <c r="B250" s="1779" t="s">
        <v>24</v>
      </c>
      <c r="C250" s="1668"/>
      <c r="D250" s="1668"/>
      <c r="E250" s="1888" t="s">
        <v>914</v>
      </c>
      <c r="F250" s="1888" t="s">
        <v>915</v>
      </c>
      <c r="G250" s="1670" t="s">
        <v>188</v>
      </c>
      <c r="H250" s="1671" t="s">
        <v>989</v>
      </c>
      <c r="I250" s="1852"/>
    </row>
    <row r="251" spans="1:9" hidden="1" x14ac:dyDescent="0.25">
      <c r="A251" s="68"/>
      <c r="B251" s="235" t="s">
        <v>22</v>
      </c>
      <c r="C251" s="260">
        <v>1460.001</v>
      </c>
      <c r="D251" s="260" t="s">
        <v>984</v>
      </c>
      <c r="E251" s="293"/>
      <c r="F251" s="1659"/>
      <c r="G251" s="293">
        <v>1236.1327000000001</v>
      </c>
      <c r="H251" s="1678"/>
      <c r="I251" s="1852"/>
    </row>
    <row r="252" spans="1:9" hidden="1" x14ac:dyDescent="0.25">
      <c r="A252" s="8"/>
      <c r="B252" s="235" t="s">
        <v>23</v>
      </c>
      <c r="C252" s="254"/>
      <c r="D252" s="254"/>
      <c r="E252" s="293"/>
      <c r="F252" s="1659"/>
      <c r="G252" s="293">
        <v>949.19</v>
      </c>
      <c r="H252" s="1678"/>
      <c r="I252" s="1852"/>
    </row>
    <row r="253" spans="1:9" x14ac:dyDescent="0.25">
      <c r="A253" s="15"/>
      <c r="B253" s="28" t="s">
        <v>11</v>
      </c>
      <c r="C253" s="476"/>
      <c r="D253" s="476"/>
      <c r="E253" s="295"/>
      <c r="G253" s="751"/>
      <c r="H253" s="1675"/>
      <c r="I253" s="1852"/>
    </row>
    <row r="254" spans="1:9" ht="15.75" thickBot="1" x14ac:dyDescent="0.3">
      <c r="A254" s="15"/>
      <c r="B254" s="235" t="s">
        <v>21</v>
      </c>
      <c r="C254" s="252">
        <v>4.3</v>
      </c>
      <c r="D254" s="252" t="s">
        <v>1047</v>
      </c>
      <c r="E254" s="245">
        <v>50922.43</v>
      </c>
      <c r="F254" s="245">
        <v>58347.35</v>
      </c>
      <c r="G254" s="1504">
        <f>F254-E254</f>
        <v>7424.9199999999983</v>
      </c>
      <c r="H254" s="1798">
        <f>G254/G14</f>
        <v>2.9468645816796304</v>
      </c>
      <c r="I254" s="1855" t="s">
        <v>820</v>
      </c>
    </row>
    <row r="255" spans="1:9" ht="15.75" hidden="1" thickBot="1" x14ac:dyDescent="0.3">
      <c r="A255" s="15"/>
      <c r="B255" s="74" t="s">
        <v>378</v>
      </c>
      <c r="C255" s="949">
        <v>4.3</v>
      </c>
      <c r="D255" s="949" t="s">
        <v>988</v>
      </c>
      <c r="E255" s="950"/>
      <c r="G255" s="751"/>
      <c r="H255" s="1675"/>
      <c r="I255" s="1852"/>
    </row>
    <row r="256" spans="1:9" ht="15.75" hidden="1" thickBot="1" x14ac:dyDescent="0.3">
      <c r="A256" s="15"/>
      <c r="B256" s="14" t="s">
        <v>20</v>
      </c>
      <c r="C256" s="252">
        <v>1168.001</v>
      </c>
      <c r="D256" s="252" t="s">
        <v>984</v>
      </c>
      <c r="E256" s="294"/>
      <c r="F256" s="1659"/>
      <c r="G256" s="294">
        <f>G251-G254</f>
        <v>-6188.7872999999981</v>
      </c>
      <c r="H256" s="1678"/>
      <c r="I256" s="1852"/>
    </row>
    <row r="257" spans="1:18" ht="15.75" hidden="1" thickBot="1" x14ac:dyDescent="0.3">
      <c r="A257" s="40"/>
      <c r="B257" s="41" t="s">
        <v>1</v>
      </c>
      <c r="C257" s="1805">
        <v>1460.001</v>
      </c>
      <c r="D257" s="1805" t="s">
        <v>984</v>
      </c>
      <c r="E257" s="1660"/>
      <c r="F257" s="1689"/>
      <c r="G257" s="1660">
        <f>G254+G256</f>
        <v>1236.1327000000001</v>
      </c>
      <c r="H257" s="1690"/>
      <c r="I257" s="1852"/>
    </row>
    <row r="258" spans="1:18" ht="15.75" thickBot="1" x14ac:dyDescent="0.3">
      <c r="A258" s="1806">
        <v>5</v>
      </c>
      <c r="B258" s="1779" t="s">
        <v>18</v>
      </c>
      <c r="C258" s="1765"/>
      <c r="D258" s="1765"/>
      <c r="E258" s="1888" t="s">
        <v>914</v>
      </c>
      <c r="F258" s="1888" t="s">
        <v>915</v>
      </c>
      <c r="G258" s="1670" t="s">
        <v>188</v>
      </c>
      <c r="H258" s="1671" t="s">
        <v>990</v>
      </c>
      <c r="I258" s="1852"/>
    </row>
    <row r="259" spans="1:18" hidden="1" x14ac:dyDescent="0.25">
      <c r="A259" s="8"/>
      <c r="B259" s="235" t="s">
        <v>4</v>
      </c>
      <c r="C259" s="234">
        <v>408000</v>
      </c>
      <c r="D259" s="234" t="s">
        <v>997</v>
      </c>
      <c r="E259" s="1635"/>
      <c r="F259" s="1659"/>
      <c r="G259" s="298">
        <v>186740</v>
      </c>
      <c r="H259" s="1678"/>
      <c r="I259" s="1852"/>
    </row>
    <row r="260" spans="1:18" hidden="1" x14ac:dyDescent="0.25">
      <c r="A260" s="8"/>
      <c r="B260" s="30" t="s">
        <v>17</v>
      </c>
      <c r="C260" s="262"/>
      <c r="D260" s="262"/>
      <c r="E260" s="282"/>
      <c r="G260" s="751"/>
      <c r="H260" s="1675"/>
      <c r="I260" s="1852"/>
      <c r="R260">
        <v>1.8</v>
      </c>
    </row>
    <row r="261" spans="1:18" x14ac:dyDescent="0.25">
      <c r="A261" s="8"/>
      <c r="B261" s="30"/>
      <c r="C261" s="61"/>
      <c r="D261" s="61"/>
      <c r="E261" s="282"/>
      <c r="G261" s="751"/>
      <c r="H261" s="1675"/>
      <c r="I261" s="1852"/>
    </row>
    <row r="262" spans="1:18" ht="15.75" thickBot="1" x14ac:dyDescent="0.3">
      <c r="A262" s="15"/>
      <c r="B262" s="235" t="s">
        <v>16</v>
      </c>
      <c r="C262" s="252">
        <v>28</v>
      </c>
      <c r="D262" s="1700" t="s">
        <v>86</v>
      </c>
      <c r="E262" s="1874">
        <v>797.79</v>
      </c>
      <c r="F262" s="1894">
        <v>878.49</v>
      </c>
      <c r="G262" s="1687">
        <f>F262-E262</f>
        <v>80.700000000000045</v>
      </c>
      <c r="H262" s="1798">
        <f>G262/G14*1000</f>
        <v>32.028893475154803</v>
      </c>
      <c r="I262" s="1852"/>
      <c r="R262">
        <v>1.9</v>
      </c>
    </row>
    <row r="263" spans="1:18" ht="14.85" hidden="1" customHeight="1" x14ac:dyDescent="0.25">
      <c r="A263" s="15"/>
      <c r="B263" s="14"/>
      <c r="C263" s="234">
        <f>C262/2000</f>
        <v>1.4E-2</v>
      </c>
      <c r="D263" s="234"/>
      <c r="E263" s="33"/>
      <c r="G263" s="751"/>
      <c r="H263" s="1675"/>
      <c r="I263" s="1852"/>
    </row>
    <row r="264" spans="1:18" ht="14.85" hidden="1" customHeight="1" x14ac:dyDescent="0.25">
      <c r="A264" s="15"/>
      <c r="B264" s="235" t="s">
        <v>15</v>
      </c>
      <c r="C264" s="234">
        <v>122000</v>
      </c>
      <c r="D264" s="234"/>
      <c r="E264" s="275"/>
      <c r="F264" s="1659"/>
      <c r="G264" s="1676"/>
      <c r="H264" s="1678"/>
      <c r="I264" s="1852"/>
    </row>
    <row r="265" spans="1:18" ht="15.75" hidden="1" thickBot="1" x14ac:dyDescent="0.3">
      <c r="A265" s="15"/>
      <c r="B265" s="14" t="s">
        <v>917</v>
      </c>
      <c r="C265" s="234">
        <v>106000</v>
      </c>
      <c r="D265" s="234"/>
      <c r="E265" s="947"/>
      <c r="F265" s="511"/>
      <c r="G265" s="1688"/>
      <c r="H265" s="1680"/>
      <c r="I265" s="1852"/>
      <c r="R265">
        <v>2.2999999999999998</v>
      </c>
    </row>
    <row r="266" spans="1:18" ht="15.75" hidden="1" thickBot="1" x14ac:dyDescent="0.3">
      <c r="A266" s="40"/>
      <c r="B266" s="28" t="s">
        <v>1</v>
      </c>
      <c r="C266" s="263">
        <v>408000</v>
      </c>
      <c r="D266" s="263"/>
      <c r="E266" s="1691"/>
      <c r="F266" s="1683"/>
      <c r="G266" s="1692">
        <f>SUM(G262,G264,G265)</f>
        <v>80.700000000000045</v>
      </c>
      <c r="H266" s="1684"/>
      <c r="I266" s="1852"/>
      <c r="R266" s="1796">
        <f>SUM(R260:R265)</f>
        <v>6</v>
      </c>
    </row>
    <row r="267" spans="1:18" ht="15.75" thickBot="1" x14ac:dyDescent="0.3">
      <c r="A267" s="1806">
        <v>6</v>
      </c>
      <c r="B267" s="1779" t="s">
        <v>13</v>
      </c>
      <c r="C267" s="1670"/>
      <c r="D267" s="1670"/>
      <c r="E267" s="1888" t="s">
        <v>914</v>
      </c>
      <c r="F267" s="1888" t="s">
        <v>915</v>
      </c>
      <c r="G267" s="1670" t="s">
        <v>188</v>
      </c>
      <c r="H267" s="1671" t="s">
        <v>991</v>
      </c>
      <c r="I267" s="1852"/>
      <c r="K267" s="1918">
        <f>C262*2500</f>
        <v>70000</v>
      </c>
      <c r="R267">
        <f>R266/2500*1000</f>
        <v>2.4</v>
      </c>
    </row>
    <row r="268" spans="1:18" hidden="1" x14ac:dyDescent="0.25">
      <c r="A268" s="17"/>
      <c r="B268" s="242" t="s">
        <v>12</v>
      </c>
      <c r="C268" s="264">
        <v>1100</v>
      </c>
      <c r="D268" s="264" t="s">
        <v>1001</v>
      </c>
      <c r="E268" s="244"/>
      <c r="F268" s="1659"/>
      <c r="G268" s="244">
        <v>572</v>
      </c>
      <c r="H268" s="1678"/>
      <c r="I268" s="1852"/>
    </row>
    <row r="269" spans="1:18" x14ac:dyDescent="0.25">
      <c r="A269" s="17"/>
      <c r="B269" s="43" t="s">
        <v>11</v>
      </c>
      <c r="C269" s="1895"/>
      <c r="D269" s="1895"/>
      <c r="E269" s="34"/>
      <c r="G269" s="751"/>
      <c r="H269" s="1675"/>
      <c r="I269" s="1852"/>
    </row>
    <row r="270" spans="1:18" ht="15.75" thickBot="1" x14ac:dyDescent="0.3">
      <c r="A270" s="17"/>
      <c r="B270" s="242" t="s">
        <v>10</v>
      </c>
      <c r="C270" s="1795">
        <v>3.9</v>
      </c>
      <c r="D270" s="1810" t="s">
        <v>1048</v>
      </c>
      <c r="E270" s="245">
        <v>107</v>
      </c>
      <c r="F270" s="245">
        <v>272</v>
      </c>
      <c r="G270" s="245">
        <f>F270-E270</f>
        <v>165</v>
      </c>
      <c r="H270" s="1896">
        <f>G270/G14*10</f>
        <v>0.65486585172249545</v>
      </c>
      <c r="I270" s="1855" t="s">
        <v>820</v>
      </c>
      <c r="K270" s="1916">
        <f>C270*24</f>
        <v>93.6</v>
      </c>
      <c r="L270" s="1917">
        <f>K270/2500</f>
        <v>3.7440000000000001E-2</v>
      </c>
    </row>
    <row r="271" spans="1:18" ht="15.75" hidden="1" thickBot="1" x14ac:dyDescent="0.3">
      <c r="A271" s="17"/>
      <c r="B271" s="242"/>
      <c r="C271" s="1702">
        <f>C270/C14</f>
        <v>1.56E-3</v>
      </c>
      <c r="D271" s="1810" t="s">
        <v>1002</v>
      </c>
      <c r="E271" s="245"/>
      <c r="F271" s="1659"/>
      <c r="G271" s="1676"/>
      <c r="H271" s="1678"/>
      <c r="I271" s="1852"/>
    </row>
    <row r="272" spans="1:18" ht="14.85" hidden="1" customHeight="1" x14ac:dyDescent="0.25">
      <c r="A272" s="17"/>
      <c r="B272" s="242" t="s">
        <v>9</v>
      </c>
      <c r="C272" s="265">
        <v>179.63</v>
      </c>
      <c r="D272" s="265"/>
      <c r="E272" s="245"/>
      <c r="F272" s="1659"/>
      <c r="G272" s="1676"/>
      <c r="H272" s="1678"/>
      <c r="I272" s="1852"/>
    </row>
    <row r="273" spans="1:9" ht="15.75" hidden="1" thickBot="1" x14ac:dyDescent="0.3">
      <c r="A273" s="17"/>
      <c r="B273" s="242" t="s">
        <v>8</v>
      </c>
      <c r="C273" s="264">
        <v>491.59</v>
      </c>
      <c r="D273" s="264" t="s">
        <v>1001</v>
      </c>
      <c r="E273" s="245"/>
      <c r="F273" s="1659"/>
      <c r="G273" s="245">
        <v>368</v>
      </c>
      <c r="H273" s="1678"/>
      <c r="I273" s="1852"/>
    </row>
    <row r="274" spans="1:9" ht="15.75" hidden="1" thickBot="1" x14ac:dyDescent="0.3">
      <c r="A274" s="17"/>
      <c r="B274" s="31" t="s">
        <v>7</v>
      </c>
      <c r="C274" s="264">
        <v>337.28</v>
      </c>
      <c r="D274" s="264" t="s">
        <v>1001</v>
      </c>
      <c r="E274" s="34"/>
      <c r="G274" s="34">
        <f>G268-G270-G272-G273</f>
        <v>39</v>
      </c>
      <c r="H274" s="1675"/>
      <c r="I274" s="1852"/>
    </row>
    <row r="275" spans="1:9" ht="15.75" hidden="1" thickBot="1" x14ac:dyDescent="0.3">
      <c r="A275" s="17"/>
      <c r="B275" s="242" t="s">
        <v>6</v>
      </c>
      <c r="C275" s="264">
        <v>330</v>
      </c>
      <c r="D275" s="264" t="s">
        <v>1001</v>
      </c>
      <c r="E275" s="1693"/>
      <c r="F275" s="1689"/>
      <c r="G275" s="245">
        <v>298</v>
      </c>
      <c r="H275" s="1690"/>
      <c r="I275" s="1852"/>
    </row>
    <row r="276" spans="1:9" ht="15.75" thickBot="1" x14ac:dyDescent="0.3">
      <c r="A276" s="1808">
        <v>7</v>
      </c>
      <c r="B276" s="1809" t="s">
        <v>5</v>
      </c>
      <c r="C276" s="1670"/>
      <c r="D276" s="1670"/>
      <c r="E276" s="1888" t="s">
        <v>914</v>
      </c>
      <c r="F276" s="1888" t="s">
        <v>915</v>
      </c>
      <c r="G276" s="1670" t="s">
        <v>188</v>
      </c>
      <c r="H276" s="1671" t="s">
        <v>992</v>
      </c>
      <c r="I276" s="1852"/>
    </row>
    <row r="277" spans="1:9" hidden="1" x14ac:dyDescent="0.25">
      <c r="A277" s="83"/>
      <c r="B277" s="122" t="s">
        <v>4</v>
      </c>
      <c r="C277" s="1065"/>
      <c r="D277" s="1065"/>
      <c r="E277" s="33"/>
      <c r="G277" s="751"/>
      <c r="H277" s="1675"/>
      <c r="I277" s="1852"/>
    </row>
    <row r="278" spans="1:9" hidden="1" x14ac:dyDescent="0.25">
      <c r="A278" s="83"/>
      <c r="B278" s="235" t="s">
        <v>3</v>
      </c>
      <c r="C278" s="234">
        <v>28770</v>
      </c>
      <c r="D278" s="234" t="s">
        <v>918</v>
      </c>
      <c r="E278" s="245"/>
      <c r="F278" s="1659"/>
      <c r="G278" s="245">
        <v>5.9</v>
      </c>
      <c r="H278" s="1678"/>
      <c r="I278" s="1852"/>
    </row>
    <row r="279" spans="1:9" x14ac:dyDescent="0.25">
      <c r="A279" s="83"/>
      <c r="B279" s="122" t="s">
        <v>1</v>
      </c>
      <c r="C279" s="13"/>
      <c r="D279" s="13"/>
      <c r="E279" s="1651"/>
      <c r="G279" s="1651"/>
      <c r="H279" s="1675"/>
      <c r="I279" s="1852"/>
    </row>
    <row r="280" spans="1:9" x14ac:dyDescent="0.25">
      <c r="A280" s="83"/>
      <c r="B280" s="122" t="s">
        <v>16</v>
      </c>
      <c r="C280" s="13"/>
      <c r="D280" s="13"/>
      <c r="E280" s="282"/>
      <c r="G280" s="751"/>
      <c r="H280" s="1675"/>
      <c r="I280" s="1852"/>
    </row>
    <row r="281" spans="1:9" x14ac:dyDescent="0.25">
      <c r="A281" s="15"/>
      <c r="B281" s="247" t="s">
        <v>909</v>
      </c>
      <c r="C281" s="266">
        <v>18374.400000000001</v>
      </c>
      <c r="D281" s="254" t="s">
        <v>995</v>
      </c>
      <c r="E281" s="275">
        <v>147816.79999999999</v>
      </c>
      <c r="F281" s="1686">
        <v>162684.79999999999</v>
      </c>
      <c r="G281" s="1652">
        <f>F281-E281</f>
        <v>14868</v>
      </c>
      <c r="H281" s="1889">
        <f>G281/G14</f>
        <v>5.9009366566121599</v>
      </c>
      <c r="I281" s="1852"/>
    </row>
    <row r="282" spans="1:9" x14ac:dyDescent="0.25">
      <c r="A282" s="15"/>
      <c r="B282" s="247" t="s">
        <v>119</v>
      </c>
      <c r="C282" s="266">
        <v>10946.28</v>
      </c>
      <c r="D282" s="254" t="s">
        <v>996</v>
      </c>
      <c r="E282" s="275">
        <v>126048.5</v>
      </c>
      <c r="F282" s="1686">
        <v>137097</v>
      </c>
      <c r="G282" s="1652">
        <f>F282-E282</f>
        <v>11048.5</v>
      </c>
      <c r="H282" s="1889">
        <f>G282/G14</f>
        <v>4.3850214319733283</v>
      </c>
      <c r="I282" s="1852"/>
    </row>
    <row r="283" spans="1:9" ht="14.85" hidden="1" customHeight="1" x14ac:dyDescent="0.25">
      <c r="A283" s="15"/>
      <c r="B283" s="952"/>
      <c r="C283" s="953"/>
      <c r="D283" s="953"/>
      <c r="E283" s="947"/>
      <c r="G283" s="751"/>
      <c r="H283" s="1675"/>
      <c r="I283" s="1852"/>
    </row>
    <row r="284" spans="1:9" ht="14.85" hidden="1" customHeight="1" x14ac:dyDescent="0.25">
      <c r="A284" s="15"/>
      <c r="B284" s="44" t="s">
        <v>15</v>
      </c>
      <c r="C284" s="532"/>
      <c r="D284" s="532"/>
      <c r="E284" s="299"/>
      <c r="G284" s="751"/>
      <c r="H284" s="1675"/>
      <c r="I284" s="1852"/>
    </row>
    <row r="285" spans="1:9" ht="14.85" hidden="1" customHeight="1" x14ac:dyDescent="0.25">
      <c r="A285" s="15"/>
      <c r="B285" s="247" t="s">
        <v>120</v>
      </c>
      <c r="C285" s="266">
        <v>1308.96</v>
      </c>
      <c r="D285" s="266"/>
      <c r="E285" s="275"/>
      <c r="G285" s="751"/>
      <c r="H285" s="1675"/>
      <c r="I285" s="1852"/>
    </row>
    <row r="286" spans="1:9" ht="14.85" hidden="1" customHeight="1" x14ac:dyDescent="0.25">
      <c r="A286" s="15"/>
      <c r="B286" s="952"/>
      <c r="C286" s="953"/>
      <c r="D286" s="953"/>
      <c r="E286" s="33"/>
      <c r="G286" s="751"/>
      <c r="H286" s="1675"/>
      <c r="I286" s="1852"/>
    </row>
    <row r="287" spans="1:9" ht="14.85" hidden="1" customHeight="1" x14ac:dyDescent="0.25">
      <c r="A287" s="15"/>
      <c r="B287" s="247" t="s">
        <v>121</v>
      </c>
      <c r="C287" s="266">
        <v>5759.67</v>
      </c>
      <c r="D287" s="266"/>
      <c r="E287" s="275">
        <v>792.3</v>
      </c>
      <c r="G287" s="751"/>
      <c r="H287" s="1675"/>
      <c r="I287" s="1852"/>
    </row>
    <row r="288" spans="1:9" ht="14.85" hidden="1" customHeight="1" x14ac:dyDescent="0.25">
      <c r="A288" s="15"/>
      <c r="B288" s="952"/>
      <c r="C288" s="953"/>
      <c r="D288" s="953"/>
      <c r="E288" s="947"/>
      <c r="G288" s="751"/>
      <c r="H288" s="1675"/>
      <c r="I288" s="1852"/>
    </row>
    <row r="289" spans="1:9" ht="14.85" hidden="1" customHeight="1" x14ac:dyDescent="0.25">
      <c r="A289" s="15"/>
      <c r="B289" s="44" t="s">
        <v>7</v>
      </c>
      <c r="C289" s="532"/>
      <c r="D289" s="532"/>
      <c r="E289" s="299"/>
      <c r="G289" s="751"/>
      <c r="H289" s="1675"/>
      <c r="I289" s="1852"/>
    </row>
    <row r="290" spans="1:9" ht="15.75" thickBot="1" x14ac:dyDescent="0.3">
      <c r="A290" s="15"/>
      <c r="B290" s="1758"/>
      <c r="C290" s="1759">
        <v>11.7</v>
      </c>
      <c r="D290" s="1759" t="s">
        <v>1003</v>
      </c>
      <c r="E290" s="1760"/>
      <c r="F290" s="1761"/>
      <c r="G290" s="1897" t="s">
        <v>158</v>
      </c>
      <c r="H290" s="1898">
        <f>H281+H282</f>
        <v>10.285958088585488</v>
      </c>
      <c r="I290" s="1855" t="s">
        <v>820</v>
      </c>
    </row>
    <row r="291" spans="1:9" ht="15" hidden="1" customHeight="1" x14ac:dyDescent="0.25">
      <c r="A291" s="19"/>
      <c r="B291" s="248" t="s">
        <v>123</v>
      </c>
      <c r="C291" s="267">
        <v>241.12</v>
      </c>
      <c r="D291" s="267"/>
      <c r="E291" s="1694"/>
      <c r="F291" s="1695"/>
      <c r="G291" s="1696"/>
      <c r="H291" s="1697"/>
      <c r="I291" s="1899"/>
    </row>
    <row r="292" spans="1:9" ht="15.75" thickBot="1" x14ac:dyDescent="0.3">
      <c r="A292" s="1900"/>
    </row>
    <row r="293" spans="1:9" ht="15.75" thickBot="1" x14ac:dyDescent="0.3">
      <c r="A293" s="1901"/>
      <c r="B293" s="1902" t="s">
        <v>1049</v>
      </c>
      <c r="C293" s="2295" t="s">
        <v>1050</v>
      </c>
      <c r="D293" s="2296"/>
      <c r="E293" s="2295" t="s">
        <v>1051</v>
      </c>
      <c r="F293" s="2297"/>
      <c r="G293" s="2297"/>
      <c r="H293" s="2297"/>
      <c r="I293" s="2296"/>
    </row>
    <row r="294" spans="1:9" x14ac:dyDescent="0.25">
      <c r="A294" s="1901"/>
      <c r="B294" s="1904"/>
      <c r="C294" s="1905"/>
      <c r="D294" s="1906"/>
      <c r="E294" s="1907"/>
      <c r="F294" s="1908"/>
      <c r="G294" s="1907"/>
      <c r="H294" s="1904"/>
      <c r="I294" s="1904"/>
    </row>
    <row r="295" spans="1:9" x14ac:dyDescent="0.25">
      <c r="A295" s="1901"/>
      <c r="B295" s="1908"/>
      <c r="C295" s="1909"/>
      <c r="D295" s="1907"/>
      <c r="E295" s="1907"/>
      <c r="F295" s="1908"/>
      <c r="G295" s="1907"/>
      <c r="H295" s="1908"/>
      <c r="I295" s="1908"/>
    </row>
    <row r="296" spans="1:9" x14ac:dyDescent="0.25">
      <c r="A296" s="1901"/>
      <c r="B296" s="1908"/>
      <c r="C296" s="1909"/>
      <c r="D296" s="1907"/>
      <c r="E296" s="1907"/>
      <c r="F296" s="1908"/>
      <c r="G296" s="1907"/>
      <c r="H296" s="1908"/>
      <c r="I296" s="1908"/>
    </row>
    <row r="297" spans="1:9" x14ac:dyDescent="0.25">
      <c r="A297" s="1901"/>
      <c r="B297" s="1908"/>
      <c r="C297" s="1909"/>
      <c r="D297" s="1907"/>
      <c r="E297" s="1907"/>
      <c r="F297" s="1908"/>
      <c r="G297" s="1907"/>
      <c r="H297" s="1908"/>
      <c r="I297" s="1908"/>
    </row>
    <row r="298" spans="1:9" ht="15.75" thickBot="1" x14ac:dyDescent="0.3">
      <c r="A298" s="1901"/>
      <c r="B298" s="1910"/>
      <c r="C298" s="1911"/>
      <c r="D298" s="1912"/>
      <c r="E298" s="1912"/>
      <c r="F298" s="1910"/>
      <c r="G298" s="1912"/>
      <c r="H298" s="1908"/>
      <c r="I298" s="1908"/>
    </row>
    <row r="299" spans="1:9" ht="15.75" thickBot="1" x14ac:dyDescent="0.3">
      <c r="A299" s="1901"/>
      <c r="B299" s="1902" t="s">
        <v>1052</v>
      </c>
      <c r="C299" s="2295" t="s">
        <v>1053</v>
      </c>
      <c r="D299" s="2296"/>
      <c r="E299" s="1913" t="s">
        <v>1054</v>
      </c>
      <c r="F299" s="1914" t="s">
        <v>1055</v>
      </c>
      <c r="G299" s="1903" t="s">
        <v>1056</v>
      </c>
      <c r="H299" s="1902" t="s">
        <v>1057</v>
      </c>
      <c r="I299" s="1902" t="s">
        <v>1058</v>
      </c>
    </row>
  </sheetData>
  <mergeCells count="13">
    <mergeCell ref="C299:D299"/>
    <mergeCell ref="B7:B8"/>
    <mergeCell ref="C7:C8"/>
    <mergeCell ref="D7:D8"/>
    <mergeCell ref="E7:I8"/>
    <mergeCell ref="C293:D293"/>
    <mergeCell ref="E293:I293"/>
    <mergeCell ref="A7:A8"/>
    <mergeCell ref="A1:A6"/>
    <mergeCell ref="C1:I1"/>
    <mergeCell ref="C2:I2"/>
    <mergeCell ref="C3:I3"/>
    <mergeCell ref="C4:G6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303" t="s">
        <v>916</v>
      </c>
      <c r="B1" s="2303"/>
      <c r="C1" s="2303"/>
      <c r="D1" s="2303"/>
      <c r="E1" s="2303"/>
      <c r="F1" s="2303"/>
      <c r="G1" s="2303"/>
      <c r="H1" s="2303"/>
    </row>
    <row r="2" spans="1:8" ht="14.85" customHeight="1" x14ac:dyDescent="0.25">
      <c r="A2" s="2257" t="s">
        <v>99</v>
      </c>
      <c r="B2" s="2261" t="s">
        <v>100</v>
      </c>
      <c r="C2" s="2259" t="s">
        <v>993</v>
      </c>
      <c r="D2" s="2259" t="s">
        <v>977</v>
      </c>
      <c r="E2" s="2304" t="s">
        <v>957</v>
      </c>
      <c r="F2" s="2304"/>
      <c r="G2" s="2304"/>
      <c r="H2" s="2305"/>
    </row>
    <row r="3" spans="1:8" ht="15.75" thickBot="1" x14ac:dyDescent="0.3">
      <c r="A3" s="2264"/>
      <c r="B3" s="2265"/>
      <c r="C3" s="2263"/>
      <c r="D3" s="2263"/>
      <c r="E3" s="2306"/>
      <c r="F3" s="2306"/>
      <c r="G3" s="2306"/>
      <c r="H3" s="2307"/>
    </row>
    <row r="4" spans="1:8" ht="15.75" thickBot="1" x14ac:dyDescent="0.3">
      <c r="A4" s="1806">
        <v>1</v>
      </c>
      <c r="B4" s="1667" t="s">
        <v>85</v>
      </c>
      <c r="C4" s="1668"/>
      <c r="D4" s="1668"/>
      <c r="E4" s="1669" t="s">
        <v>914</v>
      </c>
      <c r="F4" s="1669" t="s">
        <v>915</v>
      </c>
      <c r="G4" s="1670" t="s">
        <v>188</v>
      </c>
      <c r="H4" s="1671" t="s">
        <v>985</v>
      </c>
    </row>
    <row r="5" spans="1:8" x14ac:dyDescent="0.25">
      <c r="A5" s="8"/>
      <c r="B5" s="1666" t="s">
        <v>16</v>
      </c>
      <c r="C5" s="251"/>
      <c r="D5" s="251"/>
      <c r="E5" s="33"/>
      <c r="F5" s="1698"/>
      <c r="G5" s="1698"/>
      <c r="H5" s="1698"/>
    </row>
    <row r="6" spans="1:8" ht="14.85" hidden="1" customHeight="1" x14ac:dyDescent="0.25">
      <c r="A6" s="8"/>
      <c r="B6" s="11" t="s">
        <v>84</v>
      </c>
      <c r="C6" s="251"/>
      <c r="D6" s="251"/>
      <c r="E6" s="33"/>
    </row>
    <row r="7" spans="1:8" ht="14.85" hidden="1" customHeight="1" x14ac:dyDescent="0.25">
      <c r="A7" s="8"/>
      <c r="B7" s="71" t="s">
        <v>125</v>
      </c>
      <c r="C7" s="251"/>
      <c r="D7" s="251"/>
      <c r="E7" s="270"/>
    </row>
    <row r="8" spans="1:8" ht="14.85" hidden="1" customHeight="1" x14ac:dyDescent="0.25">
      <c r="A8" s="8"/>
      <c r="B8" s="11" t="s">
        <v>103</v>
      </c>
      <c r="C8" s="251"/>
      <c r="D8" s="251"/>
      <c r="E8" s="34"/>
    </row>
    <row r="9" spans="1:8" x14ac:dyDescent="0.25">
      <c r="A9" s="8"/>
      <c r="B9" s="1664" t="s">
        <v>96</v>
      </c>
      <c r="C9" s="1665">
        <v>2500</v>
      </c>
      <c r="D9" s="1665" t="s">
        <v>379</v>
      </c>
      <c r="E9" s="1504">
        <v>5880.74</v>
      </c>
      <c r="F9" s="1504">
        <v>8383.74</v>
      </c>
      <c r="G9" s="245">
        <f>F9-E9</f>
        <v>2503</v>
      </c>
      <c r="H9" s="1866">
        <f>G9/2500000*100000</f>
        <v>100.12</v>
      </c>
    </row>
    <row r="10" spans="1:8" ht="14.85" hidden="1" customHeight="1" x14ac:dyDescent="0.25">
      <c r="A10" s="8"/>
      <c r="B10" s="945" t="s">
        <v>377</v>
      </c>
      <c r="C10" s="946"/>
      <c r="D10" s="946"/>
      <c r="E10" s="947"/>
      <c r="H10" s="1675"/>
    </row>
    <row r="11" spans="1:8" ht="14.85" hidden="1" customHeight="1" x14ac:dyDescent="0.25">
      <c r="A11" s="8"/>
      <c r="B11" s="21" t="s">
        <v>97</v>
      </c>
      <c r="C11" s="234">
        <v>29045000</v>
      </c>
      <c r="D11" s="234"/>
      <c r="E11" s="33"/>
      <c r="H11" s="1675"/>
    </row>
    <row r="12" spans="1:8" ht="14.85" hidden="1" customHeight="1" x14ac:dyDescent="0.25">
      <c r="A12" s="8"/>
      <c r="B12" s="21" t="s">
        <v>98</v>
      </c>
      <c r="C12" s="234">
        <v>7314000</v>
      </c>
      <c r="D12" s="234"/>
      <c r="E12" s="33">
        <f>E43+E52+E57</f>
        <v>0</v>
      </c>
      <c r="H12" s="1675"/>
    </row>
    <row r="13" spans="1:8" x14ac:dyDescent="0.25">
      <c r="A13" s="8"/>
      <c r="B13" s="14" t="s">
        <v>82</v>
      </c>
      <c r="C13" s="252">
        <v>5</v>
      </c>
      <c r="D13" s="252" t="s">
        <v>25</v>
      </c>
      <c r="E13" s="1672"/>
      <c r="F13" s="1657"/>
      <c r="G13" s="1656">
        <v>3.97</v>
      </c>
      <c r="H13" s="751"/>
    </row>
    <row r="14" spans="1:8" x14ac:dyDescent="0.25">
      <c r="A14" s="8"/>
      <c r="B14" s="14" t="s">
        <v>81</v>
      </c>
      <c r="C14" s="252">
        <v>0.5</v>
      </c>
      <c r="D14" s="252" t="s">
        <v>25</v>
      </c>
      <c r="E14" s="1672"/>
      <c r="F14" s="1657"/>
      <c r="G14" s="1656">
        <v>0.4</v>
      </c>
      <c r="H14" s="751"/>
    </row>
    <row r="15" spans="1:8" x14ac:dyDescent="0.25">
      <c r="A15" s="8"/>
      <c r="B15" s="14" t="s">
        <v>80</v>
      </c>
      <c r="C15" s="253">
        <v>2.2000000000000002</v>
      </c>
      <c r="D15" s="252" t="s">
        <v>978</v>
      </c>
      <c r="E15" s="1672"/>
      <c r="F15" s="1657"/>
      <c r="G15" s="1656">
        <v>2.42</v>
      </c>
      <c r="H15" s="751"/>
    </row>
    <row r="16" spans="1:8" x14ac:dyDescent="0.25">
      <c r="A16" s="8"/>
      <c r="B16" s="235" t="s">
        <v>910</v>
      </c>
      <c r="C16" s="1661"/>
      <c r="D16" s="1661"/>
      <c r="E16" s="1673"/>
      <c r="F16" s="1662"/>
      <c r="G16" s="1663">
        <v>105</v>
      </c>
      <c r="H16" s="1676"/>
    </row>
    <row r="17" spans="1:8" x14ac:dyDescent="0.25">
      <c r="A17" s="8"/>
      <c r="B17" s="1653" t="s">
        <v>78</v>
      </c>
      <c r="C17" s="1654"/>
      <c r="D17" s="1654"/>
      <c r="E17" s="272"/>
      <c r="F17" s="1674"/>
      <c r="G17" s="1655"/>
      <c r="H17" s="1674"/>
    </row>
    <row r="18" spans="1:8" x14ac:dyDescent="0.25">
      <c r="A18" s="8"/>
      <c r="B18" s="828" t="s">
        <v>358</v>
      </c>
      <c r="C18" s="254"/>
      <c r="D18" s="254"/>
      <c r="E18" s="33"/>
      <c r="F18" s="751"/>
      <c r="H18" s="751"/>
    </row>
    <row r="19" spans="1:8" x14ac:dyDescent="0.25">
      <c r="A19" s="15"/>
      <c r="B19" s="64" t="s">
        <v>193</v>
      </c>
      <c r="C19" s="1665">
        <f>C9*94.2%</f>
        <v>2355</v>
      </c>
      <c r="D19" s="1665" t="s">
        <v>379</v>
      </c>
      <c r="E19" s="1652">
        <v>5143.38</v>
      </c>
      <c r="F19" s="1652">
        <v>7493.18</v>
      </c>
      <c r="G19" s="1652">
        <f>F19-E19</f>
        <v>2349.8000000000002</v>
      </c>
      <c r="H19" s="1705">
        <f>G19/G9*100</f>
        <v>93.879344786256496</v>
      </c>
    </row>
    <row r="20" spans="1:8" x14ac:dyDescent="0.25">
      <c r="A20" s="8"/>
      <c r="B20" s="14" t="s">
        <v>82</v>
      </c>
      <c r="C20" s="252">
        <v>0.05</v>
      </c>
      <c r="D20" s="252" t="s">
        <v>25</v>
      </c>
      <c r="E20" s="1672"/>
      <c r="F20" s="1657"/>
      <c r="G20" s="1757">
        <v>4.2999999999999997E-2</v>
      </c>
      <c r="H20" s="751"/>
    </row>
    <row r="21" spans="1:8" x14ac:dyDescent="0.25">
      <c r="A21" s="8"/>
      <c r="B21" s="14" t="s">
        <v>81</v>
      </c>
      <c r="C21" s="252">
        <v>0.03</v>
      </c>
      <c r="D21" s="252" t="s">
        <v>25</v>
      </c>
      <c r="E21" s="1672"/>
      <c r="F21" s="1657"/>
      <c r="G21" s="1706">
        <v>0.04</v>
      </c>
      <c r="H21" s="751"/>
    </row>
    <row r="22" spans="1:8" x14ac:dyDescent="0.25">
      <c r="A22" s="8"/>
      <c r="B22" s="14" t="s">
        <v>919</v>
      </c>
      <c r="C22" s="253">
        <v>2.5</v>
      </c>
      <c r="D22" s="252" t="s">
        <v>25</v>
      </c>
      <c r="E22" s="1672"/>
      <c r="F22" s="1657"/>
      <c r="G22" s="1706">
        <v>2.5</v>
      </c>
      <c r="H22" s="751"/>
    </row>
    <row r="23" spans="1:8" x14ac:dyDescent="0.25">
      <c r="A23" s="8"/>
      <c r="B23" s="14" t="s">
        <v>925</v>
      </c>
      <c r="C23" s="1707">
        <v>60</v>
      </c>
      <c r="D23" s="234" t="s">
        <v>979</v>
      </c>
      <c r="E23" s="1672"/>
      <c r="F23" s="1657"/>
      <c r="G23" s="1699"/>
      <c r="H23" s="1675"/>
    </row>
    <row r="24" spans="1:8" x14ac:dyDescent="0.25">
      <c r="A24" s="8"/>
      <c r="B24" s="14" t="s">
        <v>926</v>
      </c>
      <c r="C24" s="253" t="s">
        <v>927</v>
      </c>
      <c r="D24" s="253"/>
      <c r="E24" s="1672"/>
      <c r="F24" s="1657"/>
      <c r="G24" s="1699"/>
      <c r="H24" s="1675"/>
    </row>
    <row r="25" spans="1:8" x14ac:dyDescent="0.25">
      <c r="A25" s="8"/>
      <c r="B25" s="14" t="s">
        <v>928</v>
      </c>
      <c r="C25" s="1707">
        <v>50</v>
      </c>
      <c r="D25" s="1707" t="s">
        <v>999</v>
      </c>
      <c r="E25" s="1672"/>
      <c r="F25" s="1657"/>
      <c r="G25" s="1699"/>
      <c r="H25" s="1675"/>
    </row>
    <row r="26" spans="1:8" x14ac:dyDescent="0.25">
      <c r="A26" s="15"/>
      <c r="B26" s="64" t="s">
        <v>64</v>
      </c>
      <c r="C26" s="1665">
        <f>C9*5%</f>
        <v>125</v>
      </c>
      <c r="D26" s="1665" t="s">
        <v>379</v>
      </c>
      <c r="E26" s="1652">
        <v>243.04</v>
      </c>
      <c r="F26" s="1652">
        <v>347.1</v>
      </c>
      <c r="G26" s="1652">
        <f>F26-E26</f>
        <v>104.06000000000003</v>
      </c>
      <c r="H26" s="1705">
        <f>G26/G9*100</f>
        <v>4.1574111066719945</v>
      </c>
    </row>
    <row r="27" spans="1:8" ht="14.85" hidden="1" customHeight="1" x14ac:dyDescent="0.25">
      <c r="A27" s="15"/>
      <c r="B27" s="716" t="s">
        <v>351</v>
      </c>
      <c r="C27" s="741"/>
      <c r="D27" s="234"/>
      <c r="E27" s="33"/>
      <c r="H27" s="1675"/>
    </row>
    <row r="28" spans="1:8" ht="14.85" hidden="1" customHeight="1" x14ac:dyDescent="0.25">
      <c r="A28" s="8"/>
      <c r="B28" s="11" t="s">
        <v>84</v>
      </c>
      <c r="C28" s="251"/>
      <c r="D28" s="251"/>
      <c r="E28" s="33"/>
      <c r="H28" s="1675"/>
    </row>
    <row r="29" spans="1:8" ht="14.85" hidden="1" customHeight="1" x14ac:dyDescent="0.25">
      <c r="A29" s="8"/>
      <c r="B29" s="11" t="s">
        <v>355</v>
      </c>
      <c r="C29" s="251"/>
      <c r="D29" s="251"/>
      <c r="E29" s="33">
        <v>0</v>
      </c>
      <c r="H29" s="1675"/>
    </row>
    <row r="30" spans="1:8" ht="14.85" hidden="1" customHeight="1" x14ac:dyDescent="0.25">
      <c r="A30" s="15"/>
      <c r="B30" s="64" t="s">
        <v>354</v>
      </c>
      <c r="C30" s="234"/>
      <c r="D30" s="234"/>
      <c r="E30" s="270">
        <v>392100</v>
      </c>
      <c r="H30" s="1675"/>
    </row>
    <row r="31" spans="1:8" ht="14.85" hidden="1" customHeight="1" x14ac:dyDescent="0.25">
      <c r="A31" s="15"/>
      <c r="B31" s="945" t="s">
        <v>376</v>
      </c>
      <c r="C31" s="946"/>
      <c r="D31" s="946"/>
      <c r="E31" s="947"/>
      <c r="H31" s="1675"/>
    </row>
    <row r="32" spans="1:8" ht="14.85" hidden="1" customHeight="1" x14ac:dyDescent="0.25">
      <c r="A32" s="15"/>
      <c r="B32" s="14" t="s">
        <v>353</v>
      </c>
      <c r="C32" s="740"/>
      <c r="D32" s="740"/>
      <c r="E32" s="33">
        <f>SUM(E35,E39,E44,E48,E58)</f>
        <v>0</v>
      </c>
      <c r="H32" s="1675"/>
    </row>
    <row r="33" spans="1:8" ht="14.85" hidden="1" customHeight="1" x14ac:dyDescent="0.25">
      <c r="A33" s="15"/>
      <c r="B33" s="14" t="s">
        <v>352</v>
      </c>
      <c r="C33" s="742"/>
      <c r="D33" s="740"/>
      <c r="E33" s="33">
        <f>E30-E32</f>
        <v>392100</v>
      </c>
      <c r="H33" s="1675"/>
    </row>
    <row r="34" spans="1:8" ht="14.85" hidden="1" customHeight="1" x14ac:dyDescent="0.25">
      <c r="A34" s="15"/>
      <c r="B34" s="230" t="s">
        <v>76</v>
      </c>
      <c r="C34" s="231"/>
      <c r="D34" s="231"/>
      <c r="E34" s="94"/>
      <c r="H34" s="1675"/>
    </row>
    <row r="35" spans="1:8" ht="14.85" hidden="1" customHeight="1" x14ac:dyDescent="0.25">
      <c r="A35" s="15"/>
      <c r="B35" s="14" t="s">
        <v>75</v>
      </c>
      <c r="C35" s="255"/>
      <c r="D35" s="255"/>
      <c r="E35" s="33">
        <f>E36+E37</f>
        <v>0</v>
      </c>
      <c r="H35" s="1675"/>
    </row>
    <row r="36" spans="1:8" ht="14.85" hidden="1" customHeight="1" x14ac:dyDescent="0.25">
      <c r="A36" s="15"/>
      <c r="B36" s="64" t="s">
        <v>74</v>
      </c>
      <c r="C36" s="255"/>
      <c r="D36" s="255"/>
      <c r="E36" s="270">
        <v>0</v>
      </c>
      <c r="H36" s="1675"/>
    </row>
    <row r="37" spans="1:8" ht="14.85" hidden="1" customHeight="1" x14ac:dyDescent="0.25">
      <c r="A37" s="15"/>
      <c r="B37" s="64" t="s">
        <v>73</v>
      </c>
      <c r="C37" s="255"/>
      <c r="D37" s="255"/>
      <c r="E37" s="271">
        <v>0</v>
      </c>
      <c r="H37" s="1675"/>
    </row>
    <row r="38" spans="1:8" ht="14.85" hidden="1" customHeight="1" x14ac:dyDescent="0.25">
      <c r="A38" s="68"/>
      <c r="B38" s="230" t="s">
        <v>104</v>
      </c>
      <c r="C38" s="305"/>
      <c r="D38" s="1800"/>
      <c r="E38" s="272"/>
      <c r="H38" s="1675"/>
    </row>
    <row r="39" spans="1:8" ht="14.85" hidden="1" customHeight="1" x14ac:dyDescent="0.25">
      <c r="A39" s="15"/>
      <c r="B39" s="14" t="s">
        <v>75</v>
      </c>
      <c r="C39" s="255"/>
      <c r="D39" s="255"/>
      <c r="E39" s="33">
        <f>E40+E41</f>
        <v>0</v>
      </c>
      <c r="H39" s="1675"/>
    </row>
    <row r="40" spans="1:8" ht="14.85" hidden="1" customHeight="1" x14ac:dyDescent="0.25">
      <c r="A40" s="15"/>
      <c r="B40" s="64" t="s">
        <v>105</v>
      </c>
      <c r="C40" s="255"/>
      <c r="D40" s="255"/>
      <c r="E40" s="270">
        <v>0</v>
      </c>
      <c r="H40" s="1675"/>
    </row>
    <row r="41" spans="1:8" ht="14.85" hidden="1" customHeight="1" x14ac:dyDescent="0.25">
      <c r="A41" s="15"/>
      <c r="B41" s="64" t="s">
        <v>73</v>
      </c>
      <c r="C41" s="255"/>
      <c r="D41" s="255"/>
      <c r="E41" s="270">
        <v>0</v>
      </c>
      <c r="H41" s="1675"/>
    </row>
    <row r="42" spans="1:8" ht="14.85" hidden="1" customHeight="1" x14ac:dyDescent="0.25">
      <c r="A42" s="15"/>
      <c r="B42" s="230" t="s">
        <v>107</v>
      </c>
      <c r="C42" s="233"/>
      <c r="D42" s="233"/>
      <c r="E42" s="94"/>
      <c r="H42" s="1675"/>
    </row>
    <row r="43" spans="1:8" ht="14.85" hidden="1" customHeight="1" x14ac:dyDescent="0.25">
      <c r="A43" s="17"/>
      <c r="B43" s="11" t="s">
        <v>71</v>
      </c>
      <c r="C43" s="256"/>
      <c r="D43" s="256"/>
      <c r="E43" s="33"/>
      <c r="H43" s="1675"/>
    </row>
    <row r="44" spans="1:8" ht="14.85" hidden="1" customHeight="1" x14ac:dyDescent="0.25">
      <c r="A44" s="15"/>
      <c r="B44" s="14" t="s">
        <v>70</v>
      </c>
      <c r="C44" s="255"/>
      <c r="D44" s="255"/>
      <c r="E44" s="33">
        <f>E45+E46</f>
        <v>0</v>
      </c>
      <c r="H44" s="1675"/>
    </row>
    <row r="45" spans="1:8" ht="14.85" hidden="1" customHeight="1" x14ac:dyDescent="0.25">
      <c r="A45" s="15"/>
      <c r="B45" s="64" t="s">
        <v>109</v>
      </c>
      <c r="C45" s="255"/>
      <c r="D45" s="255"/>
      <c r="E45" s="270">
        <v>0</v>
      </c>
      <c r="H45" s="1675"/>
    </row>
    <row r="46" spans="1:8" ht="14.85" hidden="1" customHeight="1" x14ac:dyDescent="0.25">
      <c r="A46" s="15"/>
      <c r="B46" s="55" t="s">
        <v>73</v>
      </c>
      <c r="C46" s="255"/>
      <c r="D46" s="255"/>
      <c r="E46" s="271">
        <v>0</v>
      </c>
      <c r="H46" s="1675"/>
    </row>
    <row r="47" spans="1:8" ht="14.85" hidden="1" customHeight="1" x14ac:dyDescent="0.25">
      <c r="A47" s="68"/>
      <c r="B47" s="230" t="s">
        <v>110</v>
      </c>
      <c r="C47" s="305"/>
      <c r="D47" s="305"/>
      <c r="E47" s="94"/>
      <c r="H47" s="1675"/>
    </row>
    <row r="48" spans="1:8" ht="14.85" hidden="1" customHeight="1" x14ac:dyDescent="0.25">
      <c r="A48" s="15"/>
      <c r="B48" s="14" t="s">
        <v>75</v>
      </c>
      <c r="C48" s="229">
        <f>C49+C50</f>
        <v>21429000</v>
      </c>
      <c r="D48" s="229"/>
      <c r="E48" s="33">
        <f>E49+E50</f>
        <v>0</v>
      </c>
      <c r="H48" s="1675"/>
    </row>
    <row r="49" spans="1:8" ht="14.85" hidden="1" customHeight="1" x14ac:dyDescent="0.25">
      <c r="A49" s="15"/>
      <c r="B49" s="64" t="s">
        <v>112</v>
      </c>
      <c r="C49" s="67">
        <v>15000000</v>
      </c>
      <c r="D49" s="67"/>
      <c r="E49" s="270"/>
      <c r="H49" s="1675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71"/>
      <c r="H50" s="1675"/>
    </row>
    <row r="51" spans="1:8" ht="14.85" hidden="1" customHeight="1" x14ac:dyDescent="0.25">
      <c r="A51" s="68"/>
      <c r="B51" s="230" t="s">
        <v>817</v>
      </c>
      <c r="C51" s="305"/>
      <c r="D51" s="1800"/>
      <c r="E51" s="272"/>
      <c r="H51" s="1675"/>
    </row>
    <row r="52" spans="1:8" ht="14.85" hidden="1" customHeight="1" x14ac:dyDescent="0.25">
      <c r="A52" s="17"/>
      <c r="B52" s="11" t="s">
        <v>71</v>
      </c>
      <c r="C52" s="256"/>
      <c r="D52" s="256"/>
      <c r="E52" s="33"/>
      <c r="H52" s="1675"/>
    </row>
    <row r="53" spans="1:8" ht="14.85" hidden="1" customHeight="1" x14ac:dyDescent="0.25">
      <c r="A53" s="15"/>
      <c r="B53" s="14" t="s">
        <v>75</v>
      </c>
      <c r="C53" s="229">
        <f>C54+C55</f>
        <v>21429000</v>
      </c>
      <c r="D53" s="229"/>
      <c r="E53" s="33">
        <f>E54+E55</f>
        <v>0</v>
      </c>
      <c r="H53" s="1675"/>
    </row>
    <row r="54" spans="1:8" ht="14.85" hidden="1" customHeight="1" x14ac:dyDescent="0.25">
      <c r="A54" s="15"/>
      <c r="B54" s="64" t="s">
        <v>112</v>
      </c>
      <c r="C54" s="67">
        <v>15000000</v>
      </c>
      <c r="D54" s="67"/>
      <c r="E54" s="270">
        <v>0</v>
      </c>
      <c r="H54" s="1675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70">
        <v>0</v>
      </c>
      <c r="H55" s="1675"/>
    </row>
    <row r="56" spans="1:8" ht="14.85" hidden="1" customHeight="1" x14ac:dyDescent="0.25">
      <c r="A56" s="15"/>
      <c r="B56" s="230" t="s">
        <v>72</v>
      </c>
      <c r="C56" s="233"/>
      <c r="D56" s="233"/>
      <c r="E56" s="94"/>
      <c r="H56" s="1675"/>
    </row>
    <row r="57" spans="1:8" ht="14.85" hidden="1" customHeight="1" x14ac:dyDescent="0.25">
      <c r="A57" s="17"/>
      <c r="B57" s="11" t="s">
        <v>71</v>
      </c>
      <c r="C57" s="256"/>
      <c r="D57" s="256"/>
      <c r="E57" s="33"/>
      <c r="H57" s="1675"/>
    </row>
    <row r="58" spans="1:8" ht="14.85" hidden="1" customHeight="1" x14ac:dyDescent="0.25">
      <c r="A58" s="15"/>
      <c r="B58" s="14" t="s">
        <v>70</v>
      </c>
      <c r="C58" s="255"/>
      <c r="D58" s="255"/>
      <c r="E58" s="33">
        <f>E60+E61</f>
        <v>0</v>
      </c>
      <c r="H58" s="1675"/>
    </row>
    <row r="59" spans="1:8" ht="14.85" hidden="1" customHeight="1" x14ac:dyDescent="0.25">
      <c r="A59" s="15"/>
      <c r="B59" s="64" t="s">
        <v>69</v>
      </c>
      <c r="C59" s="255"/>
      <c r="D59" s="255"/>
      <c r="E59" s="270">
        <v>0</v>
      </c>
      <c r="H59" s="1675"/>
    </row>
    <row r="60" spans="1:8" ht="14.85" hidden="1" customHeight="1" x14ac:dyDescent="0.25">
      <c r="A60" s="15"/>
      <c r="B60" s="64" t="s">
        <v>68</v>
      </c>
      <c r="C60" s="255"/>
      <c r="D60" s="255"/>
      <c r="E60" s="270">
        <v>0</v>
      </c>
      <c r="H60" s="1675"/>
    </row>
    <row r="61" spans="1:8" ht="14.85" hidden="1" customHeight="1" x14ac:dyDescent="0.25">
      <c r="A61" s="15"/>
      <c r="B61" s="64" t="s">
        <v>67</v>
      </c>
      <c r="C61" s="255"/>
      <c r="D61" s="255"/>
      <c r="E61" s="270">
        <v>0</v>
      </c>
      <c r="H61" s="1675"/>
    </row>
    <row r="62" spans="1:8" ht="14.85" hidden="1" customHeight="1" x14ac:dyDescent="0.25">
      <c r="A62" s="15"/>
      <c r="B62" s="74" t="s">
        <v>113</v>
      </c>
      <c r="C62" s="255"/>
      <c r="D62" s="255"/>
      <c r="E62" s="273">
        <v>0</v>
      </c>
      <c r="H62" s="1675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75"/>
    </row>
    <row r="64" spans="1:8" ht="14.85" hidden="1" customHeight="1" x14ac:dyDescent="0.25">
      <c r="A64" s="15"/>
      <c r="B64" s="74" t="s">
        <v>65</v>
      </c>
      <c r="C64" s="1573">
        <v>94.2</v>
      </c>
      <c r="D64" s="1573"/>
      <c r="E64" s="274">
        <f>(E19/(E9))*100</f>
        <v>87.461441927376498</v>
      </c>
      <c r="H64" s="1675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4">
        <f>(E26/(E9))*100</f>
        <v>4.1328132173842071</v>
      </c>
      <c r="H65" s="1675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4" t="e">
        <f>E36/(E36+E37)*100</f>
        <v>#DIV/0!</v>
      </c>
      <c r="H66" s="1675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4" t="e">
        <f>(E37/E35)*100</f>
        <v>#DIV/0!</v>
      </c>
      <c r="H67" s="1675"/>
    </row>
    <row r="68" spans="1:8" ht="14.85" hidden="1" customHeight="1" x14ac:dyDescent="0.25">
      <c r="A68" s="15"/>
      <c r="B68" s="74" t="s">
        <v>106</v>
      </c>
      <c r="C68" s="126">
        <v>75</v>
      </c>
      <c r="D68" s="126"/>
      <c r="E68" s="274" t="e">
        <f>(E40/E39)*100</f>
        <v>#DIV/0!</v>
      </c>
      <c r="H68" s="1675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4" t="e">
        <f>(E41/E39)*100</f>
        <v>#DIV/0!</v>
      </c>
      <c r="H69" s="1675"/>
    </row>
    <row r="70" spans="1:8" ht="14.85" hidden="1" customHeight="1" x14ac:dyDescent="0.25">
      <c r="A70" s="15"/>
      <c r="B70" s="74" t="s">
        <v>108</v>
      </c>
      <c r="C70" s="126">
        <v>75</v>
      </c>
      <c r="D70" s="126"/>
      <c r="E70" s="274" t="e">
        <f>E45/E44*100</f>
        <v>#DIV/0!</v>
      </c>
      <c r="H70" s="1675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4" t="e">
        <f>E46/E44*100</f>
        <v>#DIV/0!</v>
      </c>
      <c r="H71" s="1675"/>
    </row>
    <row r="72" spans="1:8" ht="14.85" hidden="1" customHeight="1" x14ac:dyDescent="0.25">
      <c r="A72" s="15"/>
      <c r="B72" s="74" t="s">
        <v>111</v>
      </c>
      <c r="C72" s="126">
        <v>70</v>
      </c>
      <c r="D72" s="126"/>
      <c r="E72" s="274" t="e">
        <f>E49/(E49+E50)*100</f>
        <v>#DIV/0!</v>
      </c>
      <c r="H72" s="1675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4" t="e">
        <f>E50/(E50+E49)*100</f>
        <v>#DIV/0!</v>
      </c>
      <c r="H73" s="1675"/>
    </row>
    <row r="74" spans="1:8" ht="14.85" hidden="1" customHeight="1" x14ac:dyDescent="0.25">
      <c r="A74" s="15"/>
      <c r="B74" s="74" t="s">
        <v>818</v>
      </c>
      <c r="C74" s="126">
        <v>70</v>
      </c>
      <c r="D74" s="126"/>
      <c r="E74" s="274" t="e">
        <f>E54/(E54+E55)*100</f>
        <v>#DIV/0!</v>
      </c>
      <c r="H74" s="1675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4" t="e">
        <f>E55/(E54+E55)*100</f>
        <v>#DIV/0!</v>
      </c>
      <c r="H75" s="1675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4" t="e">
        <f>E59/E58*100</f>
        <v>#DIV/0!</v>
      </c>
      <c r="H76" s="1675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4" t="e">
        <f>E61/E58*100</f>
        <v>#DIV/0!</v>
      </c>
      <c r="H77" s="1675"/>
    </row>
    <row r="78" spans="1:8" x14ac:dyDescent="0.25">
      <c r="A78" s="8"/>
      <c r="B78" s="14" t="s">
        <v>82</v>
      </c>
      <c r="C78" s="253" t="s">
        <v>980</v>
      </c>
      <c r="D78" s="252" t="s">
        <v>25</v>
      </c>
      <c r="E78" s="1672"/>
      <c r="F78" s="1657"/>
      <c r="G78" s="1656">
        <v>90.62</v>
      </c>
      <c r="H78" s="751"/>
    </row>
    <row r="79" spans="1:8" ht="15.75" thickBot="1" x14ac:dyDescent="0.3">
      <c r="A79" s="8"/>
      <c r="B79" s="14" t="s">
        <v>81</v>
      </c>
      <c r="C79" s="253">
        <v>0.5</v>
      </c>
      <c r="D79" s="252" t="s">
        <v>25</v>
      </c>
      <c r="E79" s="1672"/>
      <c r="F79" s="1657"/>
      <c r="G79" s="1656">
        <v>0.33</v>
      </c>
      <c r="H79" s="751"/>
    </row>
    <row r="80" spans="1:8" ht="15.75" thickBot="1" x14ac:dyDescent="0.3">
      <c r="A80" s="1806">
        <v>2</v>
      </c>
      <c r="B80" s="1804" t="s">
        <v>59</v>
      </c>
      <c r="C80" s="1670"/>
      <c r="D80" s="1670"/>
      <c r="E80" s="1669" t="s">
        <v>914</v>
      </c>
      <c r="F80" s="1669" t="s">
        <v>915</v>
      </c>
      <c r="G80" s="1670" t="s">
        <v>188</v>
      </c>
      <c r="H80" s="1671" t="s">
        <v>987</v>
      </c>
    </row>
    <row r="81" spans="1:8" x14ac:dyDescent="0.25">
      <c r="A81" s="8"/>
      <c r="B81" s="235" t="s">
        <v>58</v>
      </c>
      <c r="C81" s="252">
        <v>9</v>
      </c>
      <c r="D81" s="252" t="s">
        <v>86</v>
      </c>
      <c r="E81" s="270">
        <v>51223</v>
      </c>
      <c r="F81" s="270">
        <v>74245</v>
      </c>
      <c r="G81" s="270">
        <f>F81-E81</f>
        <v>23022</v>
      </c>
      <c r="H81" s="1705">
        <f>G81/G9/10</f>
        <v>0.91977626847782656</v>
      </c>
    </row>
    <row r="82" spans="1:8" ht="14.85" hidden="1" customHeight="1" x14ac:dyDescent="0.25">
      <c r="A82" s="15"/>
      <c r="B82" s="21"/>
      <c r="C82" s="254"/>
      <c r="D82" s="254"/>
      <c r="E82" s="276" t="e">
        <f>E81/(E11)*100</f>
        <v>#DIV/0!</v>
      </c>
      <c r="H82" s="1675"/>
    </row>
    <row r="83" spans="1:8" ht="14.85" hidden="1" customHeight="1" x14ac:dyDescent="0.25">
      <c r="A83" s="8"/>
      <c r="B83" s="237" t="s">
        <v>57</v>
      </c>
      <c r="C83" s="257">
        <v>18</v>
      </c>
      <c r="D83" s="257"/>
      <c r="E83" s="277">
        <v>0</v>
      </c>
      <c r="H83" s="1675"/>
    </row>
    <row r="84" spans="1:8" ht="14.85" hidden="1" customHeight="1" x14ac:dyDescent="0.25">
      <c r="A84" s="15"/>
      <c r="B84" s="22"/>
      <c r="C84" s="258"/>
      <c r="D84" s="258"/>
      <c r="E84" s="278" t="e">
        <f>E83/(E12)*100</f>
        <v>#DIV/0!</v>
      </c>
      <c r="H84" s="1675"/>
    </row>
    <row r="85" spans="1:8" x14ac:dyDescent="0.25">
      <c r="A85" s="15"/>
      <c r="B85" s="235" t="s">
        <v>55</v>
      </c>
      <c r="C85" s="253" t="s">
        <v>981</v>
      </c>
      <c r="D85" s="252" t="s">
        <v>86</v>
      </c>
      <c r="E85" s="271">
        <v>539.5</v>
      </c>
      <c r="F85" s="290">
        <v>1342.1</v>
      </c>
      <c r="G85" s="1681">
        <f>F85-E85</f>
        <v>802.59999999999991</v>
      </c>
      <c r="H85" s="1797">
        <f>G85/G9/10</f>
        <v>3.2065521374350772E-2</v>
      </c>
    </row>
    <row r="86" spans="1:8" ht="15" hidden="1" customHeight="1" thickBot="1" x14ac:dyDescent="0.3">
      <c r="A86" s="19"/>
      <c r="B86" s="24"/>
      <c r="C86" s="254"/>
      <c r="D86" s="254"/>
      <c r="E86" s="279"/>
      <c r="H86" s="1675"/>
    </row>
    <row r="87" spans="1:8" x14ac:dyDescent="0.25">
      <c r="A87" s="138">
        <v>3</v>
      </c>
      <c r="B87" s="239" t="s">
        <v>168</v>
      </c>
      <c r="C87" s="1802" t="s">
        <v>983</v>
      </c>
      <c r="D87" s="240" t="s">
        <v>25</v>
      </c>
      <c r="E87" s="280"/>
      <c r="F87" s="1655"/>
      <c r="G87" s="280">
        <f>((SUM(G19+G26))-(SUM(G9)))/(SUM(G9))*100</f>
        <v>-1.963244107071509</v>
      </c>
      <c r="H87" s="1677"/>
    </row>
    <row r="88" spans="1:8" x14ac:dyDescent="0.25">
      <c r="A88" s="138"/>
      <c r="B88" s="309"/>
      <c r="C88" s="310"/>
      <c r="D88" s="310"/>
      <c r="E88" s="312"/>
      <c r="G88" s="312">
        <f>G87%*G9</f>
        <v>-49.139999999999873</v>
      </c>
      <c r="H88" s="1675"/>
    </row>
    <row r="89" spans="1:8" x14ac:dyDescent="0.25">
      <c r="A89" s="68"/>
      <c r="B89" s="235" t="s">
        <v>54</v>
      </c>
      <c r="C89" s="1803" t="s">
        <v>982</v>
      </c>
      <c r="D89" s="1658" t="s">
        <v>25</v>
      </c>
      <c r="E89" s="281"/>
      <c r="F89" s="1659"/>
      <c r="G89" s="281">
        <v>21.66</v>
      </c>
      <c r="H89" s="1678"/>
    </row>
    <row r="90" spans="1:8" ht="15.75" thickBot="1" x14ac:dyDescent="0.3">
      <c r="A90" s="85"/>
      <c r="B90" s="86" t="s">
        <v>53</v>
      </c>
      <c r="C90" s="254"/>
      <c r="D90" s="254"/>
      <c r="E90" s="1682"/>
      <c r="F90" s="1683"/>
      <c r="G90" s="1682">
        <f>SUM(G81,G83)+(G89%*SUM(G81,G83))</f>
        <v>28008.565200000001</v>
      </c>
      <c r="H90" s="1684"/>
    </row>
    <row r="91" spans="1:8" ht="15" hidden="1" customHeight="1" thickBot="1" x14ac:dyDescent="0.3">
      <c r="A91" s="8">
        <v>4</v>
      </c>
      <c r="B91" s="47" t="s">
        <v>52</v>
      </c>
      <c r="C91" s="48"/>
      <c r="D91" s="1801"/>
      <c r="E91" s="272"/>
      <c r="H91" s="1675"/>
    </row>
    <row r="92" spans="1:8" ht="15" hidden="1" customHeight="1" thickBot="1" x14ac:dyDescent="0.3">
      <c r="A92" s="8"/>
      <c r="B92" s="26" t="s">
        <v>51</v>
      </c>
      <c r="C92" s="88"/>
      <c r="D92" s="88"/>
      <c r="E92" s="282"/>
      <c r="H92" s="1675"/>
    </row>
    <row r="93" spans="1:8" ht="15" hidden="1" customHeight="1" thickBot="1" x14ac:dyDescent="0.3">
      <c r="A93" s="15"/>
      <c r="B93" s="28" t="s">
        <v>46</v>
      </c>
      <c r="C93" s="90"/>
      <c r="D93" s="90"/>
      <c r="E93" s="283"/>
      <c r="H93" s="1675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75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75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75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75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75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75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75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75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75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4">
        <v>0</v>
      </c>
      <c r="H103" s="1675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75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75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75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75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75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75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75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75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75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75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675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675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675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675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675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75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75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75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75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75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75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75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75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75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75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75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75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75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75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75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75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75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75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75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75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75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75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675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675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675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675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675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5"/>
      <c r="H146" s="1675"/>
    </row>
    <row r="147" spans="1:8" ht="15" hidden="1" customHeight="1" thickBot="1" x14ac:dyDescent="0.3">
      <c r="A147" s="15"/>
      <c r="B147" s="28" t="s">
        <v>114</v>
      </c>
      <c r="C147" s="126"/>
      <c r="D147" s="126"/>
      <c r="E147" s="42"/>
      <c r="H147" s="1675"/>
    </row>
    <row r="148" spans="1:8" ht="15" hidden="1" customHeight="1" thickBot="1" x14ac:dyDescent="0.3">
      <c r="A148" s="15"/>
      <c r="B148" s="28" t="s">
        <v>115</v>
      </c>
      <c r="C148" s="126"/>
      <c r="D148" s="126"/>
      <c r="E148" s="34"/>
      <c r="H148" s="1675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675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675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675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675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675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675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675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675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675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675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675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675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675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675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675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675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675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675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675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675"/>
    </row>
    <row r="169" spans="1:8" ht="15" hidden="1" customHeight="1" thickBot="1" x14ac:dyDescent="0.3">
      <c r="A169" s="15"/>
      <c r="B169" s="11" t="s">
        <v>91</v>
      </c>
      <c r="C169" s="126"/>
      <c r="D169" s="126"/>
      <c r="E169" s="33" t="e">
        <v>#DIV/0!</v>
      </c>
      <c r="H169" s="1675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675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675"/>
    </row>
    <row r="172" spans="1:8" ht="15" hidden="1" customHeight="1" thickBot="1" x14ac:dyDescent="0.3">
      <c r="A172" s="19"/>
      <c r="B172" s="11" t="s">
        <v>91</v>
      </c>
      <c r="C172" s="126"/>
      <c r="D172" s="126"/>
      <c r="E172" s="33" t="e">
        <v>#DIV/0!</v>
      </c>
      <c r="H172" s="1675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75"/>
    </row>
    <row r="174" spans="1:8" ht="15" hidden="1" customHeight="1" thickBot="1" x14ac:dyDescent="0.3">
      <c r="A174" s="15"/>
      <c r="B174" s="28" t="s">
        <v>115</v>
      </c>
      <c r="C174" s="90"/>
      <c r="D174" s="90"/>
      <c r="E174" s="42"/>
      <c r="H174" s="1675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75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75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75"/>
    </row>
    <row r="178" spans="1:8" ht="15" hidden="1" customHeight="1" thickBot="1" x14ac:dyDescent="0.3">
      <c r="A178" s="15"/>
      <c r="B178" s="11" t="s">
        <v>116</v>
      </c>
      <c r="C178" s="60"/>
      <c r="D178" s="60"/>
      <c r="E178" s="33"/>
      <c r="H178" s="1675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75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75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75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75"/>
    </row>
    <row r="183" spans="1:8" ht="15" hidden="1" customHeight="1" thickBot="1" x14ac:dyDescent="0.3">
      <c r="A183" s="15"/>
      <c r="B183" s="11" t="s">
        <v>116</v>
      </c>
      <c r="C183" s="60"/>
      <c r="D183" s="60"/>
      <c r="E183" s="33">
        <v>0</v>
      </c>
      <c r="H183" s="1675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75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75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75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75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75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75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75"/>
    </row>
    <row r="191" spans="1:8" ht="15" hidden="1" customHeight="1" thickBot="1" x14ac:dyDescent="0.3">
      <c r="A191" s="15"/>
      <c r="B191" s="11" t="s">
        <v>116</v>
      </c>
      <c r="C191" s="60"/>
      <c r="D191" s="60"/>
      <c r="E191" s="33">
        <v>0</v>
      </c>
      <c r="H191" s="1675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75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75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75"/>
    </row>
    <row r="195" spans="1:8" ht="15" hidden="1" customHeight="1" thickBot="1" x14ac:dyDescent="0.3">
      <c r="A195" s="15"/>
      <c r="B195" s="11" t="s">
        <v>116</v>
      </c>
      <c r="C195" s="60"/>
      <c r="D195" s="60"/>
      <c r="E195" s="33">
        <v>0</v>
      </c>
      <c r="H195" s="1675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75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75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75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75"/>
    </row>
    <row r="200" spans="1:8" ht="15" hidden="1" customHeight="1" thickBot="1" x14ac:dyDescent="0.3">
      <c r="A200" s="15"/>
      <c r="B200" s="11" t="s">
        <v>116</v>
      </c>
      <c r="C200" s="126">
        <v>0.3</v>
      </c>
      <c r="D200" s="126"/>
      <c r="E200" s="34" t="e">
        <v>#DIV/0!</v>
      </c>
      <c r="H200" s="1675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675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675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675"/>
    </row>
    <row r="204" spans="1:8" ht="15" hidden="1" customHeight="1" thickBot="1" x14ac:dyDescent="0.3">
      <c r="A204" s="15"/>
      <c r="B204" s="11" t="s">
        <v>116</v>
      </c>
      <c r="C204" s="126">
        <v>0.5</v>
      </c>
      <c r="D204" s="126"/>
      <c r="E204" s="34" t="e">
        <v>#DIV/0!</v>
      </c>
      <c r="H204" s="1675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675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675"/>
    </row>
    <row r="207" spans="1:8" ht="15" hidden="1" customHeight="1" thickBot="1" x14ac:dyDescent="0.3">
      <c r="A207" s="8">
        <v>7</v>
      </c>
      <c r="B207" s="47" t="s">
        <v>87</v>
      </c>
      <c r="C207" s="127"/>
      <c r="D207" s="127"/>
      <c r="E207" s="286"/>
      <c r="H207" s="1675"/>
    </row>
    <row r="208" spans="1:8" ht="15" hidden="1" customHeight="1" thickBot="1" x14ac:dyDescent="0.3">
      <c r="A208" s="15"/>
      <c r="B208" s="26" t="s">
        <v>92</v>
      </c>
      <c r="C208" s="126"/>
      <c r="D208" s="126"/>
      <c r="E208" s="42"/>
      <c r="H208" s="1675"/>
    </row>
    <row r="209" spans="1:8" ht="15" hidden="1" customHeight="1" thickBot="1" x14ac:dyDescent="0.3">
      <c r="A209" s="15"/>
      <c r="B209" s="11" t="s">
        <v>93</v>
      </c>
      <c r="C209" s="126"/>
      <c r="D209" s="126"/>
      <c r="E209" s="34"/>
      <c r="H209" s="1675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675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675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675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675"/>
    </row>
    <row r="214" spans="1:8" ht="15" hidden="1" customHeight="1" thickBot="1" x14ac:dyDescent="0.3">
      <c r="A214" s="15"/>
      <c r="B214" s="11" t="s">
        <v>88</v>
      </c>
      <c r="C214" s="126"/>
      <c r="D214" s="126"/>
      <c r="E214" s="33"/>
      <c r="H214" s="1675"/>
    </row>
    <row r="215" spans="1:8" ht="15" hidden="1" customHeight="1" thickBot="1" x14ac:dyDescent="0.3">
      <c r="A215" s="15"/>
      <c r="B215" s="11" t="s">
        <v>117</v>
      </c>
      <c r="C215" s="126"/>
      <c r="D215" s="126"/>
      <c r="E215" s="33"/>
      <c r="H215" s="1675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675"/>
    </row>
    <row r="217" spans="1:8" ht="15" hidden="1" customHeight="1" thickBot="1" x14ac:dyDescent="0.3">
      <c r="A217" s="15"/>
      <c r="B217" s="11" t="s">
        <v>88</v>
      </c>
      <c r="C217" s="126"/>
      <c r="D217" s="126"/>
      <c r="E217" s="33">
        <v>0</v>
      </c>
      <c r="H217" s="1675"/>
    </row>
    <row r="218" spans="1:8" ht="15" hidden="1" customHeight="1" thickBot="1" x14ac:dyDescent="0.3">
      <c r="A218" s="15"/>
      <c r="B218" s="11" t="s">
        <v>117</v>
      </c>
      <c r="C218" s="126"/>
      <c r="D218" s="126"/>
      <c r="E218" s="33">
        <v>0</v>
      </c>
      <c r="H218" s="1675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675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675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7"/>
      <c r="H221" s="1675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675"/>
    </row>
    <row r="223" spans="1:8" ht="15" hidden="1" customHeight="1" thickBot="1" x14ac:dyDescent="0.3">
      <c r="A223" s="15"/>
      <c r="B223" s="11" t="s">
        <v>88</v>
      </c>
      <c r="C223" s="126"/>
      <c r="D223" s="126"/>
      <c r="E223" s="33"/>
      <c r="H223" s="1675"/>
    </row>
    <row r="224" spans="1:8" ht="15" hidden="1" customHeight="1" thickBot="1" x14ac:dyDescent="0.3">
      <c r="A224" s="15"/>
      <c r="B224" s="11" t="s">
        <v>117</v>
      </c>
      <c r="C224" s="126"/>
      <c r="D224" s="126"/>
      <c r="E224" s="33"/>
      <c r="H224" s="1675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675"/>
    </row>
    <row r="226" spans="1:8" ht="15" hidden="1" customHeight="1" thickBot="1" x14ac:dyDescent="0.3">
      <c r="A226" s="15"/>
      <c r="B226" s="11" t="s">
        <v>88</v>
      </c>
      <c r="C226" s="126"/>
      <c r="D226" s="126"/>
      <c r="E226" s="33">
        <v>0</v>
      </c>
      <c r="H226" s="1675"/>
    </row>
    <row r="227" spans="1:8" ht="15" hidden="1" customHeight="1" thickBot="1" x14ac:dyDescent="0.3">
      <c r="A227" s="15"/>
      <c r="B227" s="11" t="s">
        <v>117</v>
      </c>
      <c r="C227" s="126"/>
      <c r="D227" s="126"/>
      <c r="E227" s="33">
        <v>0</v>
      </c>
      <c r="H227" s="1675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72"/>
      <c r="H228" s="1675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675"/>
    </row>
    <row r="230" spans="1:8" ht="15" hidden="1" customHeight="1" thickBot="1" x14ac:dyDescent="0.3">
      <c r="A230" s="15"/>
      <c r="B230" s="11" t="s">
        <v>88</v>
      </c>
      <c r="C230" s="126">
        <v>0.3</v>
      </c>
      <c r="D230" s="126"/>
      <c r="E230" s="33" t="e">
        <v>#DIV/0!</v>
      </c>
      <c r="H230" s="1675"/>
    </row>
    <row r="231" spans="1:8" ht="15" hidden="1" customHeight="1" thickBot="1" x14ac:dyDescent="0.3">
      <c r="A231" s="15"/>
      <c r="B231" s="11" t="s">
        <v>117</v>
      </c>
      <c r="C231" s="126">
        <v>0.3</v>
      </c>
      <c r="D231" s="126"/>
      <c r="E231" s="33" t="e">
        <v>#DIV/0!</v>
      </c>
      <c r="H231" s="1675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675"/>
    </row>
    <row r="233" spans="1:8" ht="15" hidden="1" customHeight="1" thickBot="1" x14ac:dyDescent="0.3">
      <c r="A233" s="15"/>
      <c r="B233" s="11" t="s">
        <v>88</v>
      </c>
      <c r="C233" s="126">
        <v>0.5</v>
      </c>
      <c r="D233" s="126"/>
      <c r="E233" s="33" t="e">
        <v>#DIV/0!</v>
      </c>
      <c r="H233" s="1675"/>
    </row>
    <row r="234" spans="1:8" ht="15" hidden="1" customHeight="1" thickBot="1" x14ac:dyDescent="0.3">
      <c r="A234" s="15"/>
      <c r="B234" s="11" t="s">
        <v>117</v>
      </c>
      <c r="C234" s="126">
        <v>0.5</v>
      </c>
      <c r="D234" s="126"/>
      <c r="E234" s="33" t="e">
        <v>#DIV/0!</v>
      </c>
      <c r="H234" s="1675"/>
    </row>
    <row r="235" spans="1:8" ht="15" hidden="1" customHeight="1" thickBot="1" x14ac:dyDescent="0.3">
      <c r="A235" s="15"/>
      <c r="B235" s="101" t="s">
        <v>94</v>
      </c>
      <c r="C235" s="131"/>
      <c r="D235" s="131"/>
      <c r="E235" s="288">
        <v>0</v>
      </c>
      <c r="H235" s="1675"/>
    </row>
    <row r="236" spans="1:8" ht="15" hidden="1" customHeight="1" thickBot="1" x14ac:dyDescent="0.3">
      <c r="A236" s="15"/>
      <c r="B236" s="71" t="s">
        <v>118</v>
      </c>
      <c r="C236" s="133"/>
      <c r="D236" s="133"/>
      <c r="E236" s="289">
        <v>0</v>
      </c>
      <c r="H236" s="1675"/>
    </row>
    <row r="237" spans="1:8" ht="15" hidden="1" customHeight="1" thickBot="1" x14ac:dyDescent="0.3">
      <c r="A237" s="15"/>
      <c r="B237" s="104" t="s">
        <v>89</v>
      </c>
      <c r="C237" s="134"/>
      <c r="D237" s="134"/>
      <c r="E237" s="290">
        <v>0</v>
      </c>
      <c r="H237" s="1675"/>
    </row>
    <row r="238" spans="1:8" ht="15" hidden="1" customHeight="1" thickBot="1" x14ac:dyDescent="0.3">
      <c r="A238" s="15"/>
      <c r="B238" s="107" t="s">
        <v>90</v>
      </c>
      <c r="C238" s="135"/>
      <c r="D238" s="135"/>
      <c r="E238" s="291">
        <v>0</v>
      </c>
      <c r="H238" s="1675"/>
    </row>
    <row r="239" spans="1:8" ht="15" hidden="1" customHeight="1" thickBot="1" x14ac:dyDescent="0.3">
      <c r="A239" s="15"/>
      <c r="B239" s="110" t="s">
        <v>95</v>
      </c>
      <c r="C239" s="131"/>
      <c r="D239" s="131"/>
      <c r="E239" s="292">
        <v>0</v>
      </c>
      <c r="H239" s="1675"/>
    </row>
    <row r="240" spans="1:8" ht="15.75" thickBot="1" x14ac:dyDescent="0.3">
      <c r="A240" s="1806">
        <v>4</v>
      </c>
      <c r="B240" s="1779" t="s">
        <v>24</v>
      </c>
      <c r="C240" s="1668"/>
      <c r="D240" s="1668"/>
      <c r="E240" s="1669" t="s">
        <v>914</v>
      </c>
      <c r="F240" s="1669" t="s">
        <v>915</v>
      </c>
      <c r="G240" s="1670" t="s">
        <v>188</v>
      </c>
      <c r="H240" s="1671" t="s">
        <v>989</v>
      </c>
    </row>
    <row r="241" spans="1:18" x14ac:dyDescent="0.25">
      <c r="A241" s="68"/>
      <c r="B241" s="235" t="s">
        <v>22</v>
      </c>
      <c r="C241" s="260">
        <v>1460.001</v>
      </c>
      <c r="D241" s="260" t="s">
        <v>984</v>
      </c>
      <c r="E241" s="293"/>
      <c r="F241" s="1659"/>
      <c r="G241" s="293">
        <v>1236.1327000000001</v>
      </c>
      <c r="H241" s="1678"/>
    </row>
    <row r="242" spans="1:18" x14ac:dyDescent="0.25">
      <c r="A242" s="8"/>
      <c r="B242" s="235" t="s">
        <v>23</v>
      </c>
      <c r="C242" s="254"/>
      <c r="D242" s="254"/>
      <c r="E242" s="293"/>
      <c r="F242" s="1659"/>
      <c r="G242" s="293">
        <v>949.19</v>
      </c>
      <c r="H242" s="1678"/>
    </row>
    <row r="243" spans="1:18" x14ac:dyDescent="0.25">
      <c r="A243" s="15"/>
      <c r="B243" s="28" t="s">
        <v>11</v>
      </c>
      <c r="C243" s="254"/>
      <c r="D243" s="254"/>
      <c r="E243" s="295"/>
      <c r="G243" s="751"/>
      <c r="H243" s="1675"/>
    </row>
    <row r="244" spans="1:18" x14ac:dyDescent="0.25">
      <c r="A244" s="15"/>
      <c r="B244" s="235" t="s">
        <v>21</v>
      </c>
      <c r="C244" s="252">
        <f>292</f>
        <v>292</v>
      </c>
      <c r="D244" s="252" t="s">
        <v>984</v>
      </c>
      <c r="E244" s="294"/>
      <c r="F244" s="1659"/>
      <c r="G244" s="294">
        <v>693.22799999999995</v>
      </c>
      <c r="H244" s="1798">
        <f>G244/G9*10</f>
        <v>2.7695884938074311</v>
      </c>
    </row>
    <row r="245" spans="1:18" x14ac:dyDescent="0.25">
      <c r="A245" s="15"/>
      <c r="B245" s="74" t="s">
        <v>378</v>
      </c>
      <c r="C245" s="949">
        <v>4.3</v>
      </c>
      <c r="D245" s="949" t="s">
        <v>988</v>
      </c>
      <c r="E245" s="950"/>
      <c r="G245" s="751"/>
      <c r="H245" s="1675"/>
    </row>
    <row r="246" spans="1:18" x14ac:dyDescent="0.25">
      <c r="A246" s="15"/>
      <c r="B246" s="14" t="s">
        <v>20</v>
      </c>
      <c r="C246" s="252">
        <v>1168.001</v>
      </c>
      <c r="D246" s="252" t="s">
        <v>984</v>
      </c>
      <c r="E246" s="294"/>
      <c r="F246" s="1659"/>
      <c r="G246" s="294">
        <f>G241-G244</f>
        <v>542.90470000000016</v>
      </c>
      <c r="H246" s="1678"/>
    </row>
    <row r="247" spans="1:18" ht="15.75" thickBot="1" x14ac:dyDescent="0.3">
      <c r="A247" s="40"/>
      <c r="B247" s="41" t="s">
        <v>1</v>
      </c>
      <c r="C247" s="1805">
        <v>1460.001</v>
      </c>
      <c r="D247" s="1805" t="s">
        <v>984</v>
      </c>
      <c r="E247" s="1660"/>
      <c r="F247" s="1689"/>
      <c r="G247" s="1660">
        <f>G244+G246</f>
        <v>1236.1327000000001</v>
      </c>
      <c r="H247" s="1690"/>
    </row>
    <row r="248" spans="1:18" ht="15.75" thickBot="1" x14ac:dyDescent="0.3">
      <c r="A248" s="1806">
        <v>5</v>
      </c>
      <c r="B248" s="1779" t="s">
        <v>18</v>
      </c>
      <c r="C248" s="1765"/>
      <c r="D248" s="1765"/>
      <c r="E248" s="1669" t="s">
        <v>914</v>
      </c>
      <c r="F248" s="1669" t="s">
        <v>915</v>
      </c>
      <c r="G248" s="1670" t="s">
        <v>188</v>
      </c>
      <c r="H248" s="1671" t="s">
        <v>990</v>
      </c>
    </row>
    <row r="249" spans="1:18" x14ac:dyDescent="0.25">
      <c r="A249" s="8"/>
      <c r="B249" s="235" t="s">
        <v>4</v>
      </c>
      <c r="C249" s="234">
        <v>408000</v>
      </c>
      <c r="D249" s="234" t="s">
        <v>997</v>
      </c>
      <c r="E249" s="1635"/>
      <c r="F249" s="1659"/>
      <c r="G249" s="298">
        <v>186740</v>
      </c>
      <c r="H249" s="1678"/>
    </row>
    <row r="250" spans="1:18" x14ac:dyDescent="0.25">
      <c r="A250" s="8"/>
      <c r="B250" s="30" t="s">
        <v>17</v>
      </c>
      <c r="C250" s="262"/>
      <c r="D250" s="262"/>
      <c r="E250" s="282"/>
      <c r="G250" s="751"/>
      <c r="H250" s="1675"/>
      <c r="R250">
        <v>1.8</v>
      </c>
    </row>
    <row r="251" spans="1:18" x14ac:dyDescent="0.25">
      <c r="A251" s="15"/>
      <c r="B251" s="235" t="s">
        <v>16</v>
      </c>
      <c r="C251" s="252">
        <v>46.63</v>
      </c>
      <c r="D251" s="1700" t="s">
        <v>237</v>
      </c>
      <c r="E251" s="1504">
        <v>447.1</v>
      </c>
      <c r="F251" s="1685">
        <v>530.54999999999995</v>
      </c>
      <c r="G251" s="1687">
        <f>F251-E251</f>
        <v>83.449999999999932</v>
      </c>
      <c r="H251" s="1679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4">
        <f>C251/2000</f>
        <v>2.3315000000000002E-2</v>
      </c>
      <c r="D252" s="234"/>
      <c r="E252" s="33"/>
      <c r="G252" s="751"/>
      <c r="H252" s="1675"/>
    </row>
    <row r="253" spans="1:18" x14ac:dyDescent="0.25">
      <c r="A253" s="15"/>
      <c r="B253" s="14"/>
      <c r="C253" s="130">
        <f>C251/C9*1000</f>
        <v>18.652000000000001</v>
      </c>
      <c r="D253" s="130" t="s">
        <v>1000</v>
      </c>
      <c r="E253" s="33"/>
      <c r="G253" s="751"/>
      <c r="H253" s="1675"/>
      <c r="R253">
        <v>5</v>
      </c>
    </row>
    <row r="254" spans="1:18" ht="14.85" hidden="1" customHeight="1" x14ac:dyDescent="0.25">
      <c r="A254" s="15"/>
      <c r="B254" s="235" t="s">
        <v>15</v>
      </c>
      <c r="C254" s="234">
        <v>122000</v>
      </c>
      <c r="D254" s="234"/>
      <c r="E254" s="275"/>
      <c r="F254" s="1659"/>
      <c r="G254" s="1676"/>
      <c r="H254" s="1678"/>
    </row>
    <row r="255" spans="1:18" x14ac:dyDescent="0.25">
      <c r="A255" s="15"/>
      <c r="B255" s="14" t="s">
        <v>917</v>
      </c>
      <c r="C255" s="234">
        <v>106000</v>
      </c>
      <c r="D255" s="234"/>
      <c r="E255" s="947"/>
      <c r="F255" s="511"/>
      <c r="G255" s="1688"/>
      <c r="H255" s="1680"/>
      <c r="R255">
        <v>2.2999999999999998</v>
      </c>
    </row>
    <row r="256" spans="1:18" ht="15.75" thickBot="1" x14ac:dyDescent="0.3">
      <c r="A256" s="40"/>
      <c r="B256" s="28" t="s">
        <v>1</v>
      </c>
      <c r="C256" s="263">
        <v>408000</v>
      </c>
      <c r="D256" s="263"/>
      <c r="E256" s="1691"/>
      <c r="F256" s="1683"/>
      <c r="G256" s="1692">
        <f>SUM(G251,G254,G255)</f>
        <v>83.449999999999932</v>
      </c>
      <c r="H256" s="1684"/>
      <c r="R256" s="1796">
        <f>SUM(R250:R255)</f>
        <v>11</v>
      </c>
    </row>
    <row r="257" spans="1:18" ht="15.75" thickBot="1" x14ac:dyDescent="0.3">
      <c r="A257" s="1806">
        <v>6</v>
      </c>
      <c r="B257" s="1779" t="s">
        <v>13</v>
      </c>
      <c r="C257" s="1670"/>
      <c r="D257" s="1670"/>
      <c r="E257" s="1669" t="s">
        <v>914</v>
      </c>
      <c r="F257" s="1669" t="s">
        <v>915</v>
      </c>
      <c r="G257" s="1670" t="s">
        <v>188</v>
      </c>
      <c r="H257" s="1671" t="s">
        <v>991</v>
      </c>
      <c r="R257">
        <f>R256/2500*1000</f>
        <v>4.4000000000000004</v>
      </c>
    </row>
    <row r="258" spans="1:18" x14ac:dyDescent="0.25">
      <c r="A258" s="17"/>
      <c r="B258" s="242" t="s">
        <v>12</v>
      </c>
      <c r="C258" s="264">
        <v>1100</v>
      </c>
      <c r="D258" s="264" t="s">
        <v>1001</v>
      </c>
      <c r="E258" s="244"/>
      <c r="F258" s="1659"/>
      <c r="G258" s="244">
        <v>572</v>
      </c>
      <c r="H258" s="1678"/>
    </row>
    <row r="259" spans="1:18" x14ac:dyDescent="0.25">
      <c r="A259" s="17"/>
      <c r="B259" s="43" t="s">
        <v>11</v>
      </c>
      <c r="C259" s="251"/>
      <c r="D259" s="251"/>
      <c r="E259" s="34"/>
      <c r="G259" s="751"/>
      <c r="H259" s="1675"/>
    </row>
    <row r="260" spans="1:18" x14ac:dyDescent="0.25">
      <c r="A260" s="17"/>
      <c r="B260" s="242" t="s">
        <v>10</v>
      </c>
      <c r="C260" s="1701">
        <v>170.4</v>
      </c>
      <c r="D260" s="1810" t="s">
        <v>1001</v>
      </c>
      <c r="E260" s="245"/>
      <c r="F260" s="1659"/>
      <c r="G260" s="1676"/>
      <c r="H260" s="1678"/>
    </row>
    <row r="261" spans="1:18" x14ac:dyDescent="0.25">
      <c r="A261" s="17"/>
      <c r="B261" s="242"/>
      <c r="C261" s="1702">
        <f>C260/C9</f>
        <v>6.8159999999999998E-2</v>
      </c>
      <c r="D261" s="1810" t="s">
        <v>1002</v>
      </c>
      <c r="E261" s="245"/>
      <c r="F261" s="1659"/>
      <c r="G261" s="1676"/>
      <c r="H261" s="1678"/>
    </row>
    <row r="262" spans="1:18" ht="14.85" hidden="1" customHeight="1" x14ac:dyDescent="0.25">
      <c r="A262" s="17"/>
      <c r="B262" s="242" t="s">
        <v>9</v>
      </c>
      <c r="C262" s="265">
        <v>179.63</v>
      </c>
      <c r="D262" s="265"/>
      <c r="E262" s="245"/>
      <c r="F262" s="1659"/>
      <c r="G262" s="1676"/>
      <c r="H262" s="1678"/>
    </row>
    <row r="263" spans="1:18" x14ac:dyDescent="0.25">
      <c r="A263" s="17"/>
      <c r="B263" s="242" t="s">
        <v>8</v>
      </c>
      <c r="C263" s="264">
        <v>491.59</v>
      </c>
      <c r="D263" s="264" t="s">
        <v>1001</v>
      </c>
      <c r="E263" s="245"/>
      <c r="F263" s="1659"/>
      <c r="G263" s="245">
        <v>368</v>
      </c>
      <c r="H263" s="1678"/>
    </row>
    <row r="264" spans="1:18" x14ac:dyDescent="0.25">
      <c r="A264" s="17"/>
      <c r="B264" s="31" t="s">
        <v>7</v>
      </c>
      <c r="C264" s="264">
        <v>337.28</v>
      </c>
      <c r="D264" s="264" t="s">
        <v>1001</v>
      </c>
      <c r="E264" s="34"/>
      <c r="G264" s="34">
        <f>G258-G260-G262-G263</f>
        <v>204</v>
      </c>
      <c r="H264" s="1675"/>
    </row>
    <row r="265" spans="1:18" ht="15.75" thickBot="1" x14ac:dyDescent="0.3">
      <c r="A265" s="17"/>
      <c r="B265" s="242" t="s">
        <v>6</v>
      </c>
      <c r="C265" s="264">
        <v>330</v>
      </c>
      <c r="D265" s="264" t="s">
        <v>1001</v>
      </c>
      <c r="E265" s="1693"/>
      <c r="F265" s="1689"/>
      <c r="G265" s="245">
        <v>298</v>
      </c>
      <c r="H265" s="1690"/>
    </row>
    <row r="266" spans="1:18" ht="15.75" thickBot="1" x14ac:dyDescent="0.3">
      <c r="A266" s="1808">
        <v>7</v>
      </c>
      <c r="B266" s="1809" t="s">
        <v>5</v>
      </c>
      <c r="C266" s="1670"/>
      <c r="D266" s="1670"/>
      <c r="E266" s="1669" t="s">
        <v>914</v>
      </c>
      <c r="F266" s="1669" t="s">
        <v>915</v>
      </c>
      <c r="G266" s="1670" t="s">
        <v>188</v>
      </c>
      <c r="H266" s="1671" t="s">
        <v>992</v>
      </c>
    </row>
    <row r="267" spans="1:18" x14ac:dyDescent="0.25">
      <c r="A267" s="83"/>
      <c r="B267" s="122" t="s">
        <v>4</v>
      </c>
      <c r="C267" s="1065"/>
      <c r="D267" s="1065"/>
      <c r="E267" s="33"/>
      <c r="G267" s="751"/>
      <c r="H267" s="1675"/>
    </row>
    <row r="268" spans="1:18" x14ac:dyDescent="0.25">
      <c r="A268" s="83"/>
      <c r="B268" s="235" t="s">
        <v>3</v>
      </c>
      <c r="C268" s="234">
        <v>28770</v>
      </c>
      <c r="D268" s="234" t="s">
        <v>918</v>
      </c>
      <c r="E268" s="245"/>
      <c r="F268" s="1659"/>
      <c r="G268" s="245">
        <v>5.9</v>
      </c>
      <c r="H268" s="1678"/>
      <c r="I268" s="818"/>
    </row>
    <row r="269" spans="1:18" x14ac:dyDescent="0.25">
      <c r="A269" s="83"/>
      <c r="B269" s="122" t="s">
        <v>1</v>
      </c>
      <c r="C269" s="13"/>
      <c r="D269" s="13"/>
      <c r="E269" s="1651"/>
      <c r="G269" s="1651">
        <f>G268</f>
        <v>5.9</v>
      </c>
      <c r="H269" s="1675"/>
    </row>
    <row r="270" spans="1:18" x14ac:dyDescent="0.25">
      <c r="A270" s="83"/>
      <c r="B270" s="122" t="s">
        <v>16</v>
      </c>
      <c r="C270" s="13"/>
      <c r="D270" s="13"/>
      <c r="E270" s="282"/>
      <c r="G270" s="751"/>
      <c r="H270" s="1675"/>
    </row>
    <row r="271" spans="1:18" x14ac:dyDescent="0.25">
      <c r="A271" s="15"/>
      <c r="B271" s="247" t="s">
        <v>909</v>
      </c>
      <c r="C271" s="266">
        <v>19646.41</v>
      </c>
      <c r="D271" s="254" t="s">
        <v>995</v>
      </c>
      <c r="E271" s="275">
        <v>79215.8</v>
      </c>
      <c r="F271" s="1686">
        <v>94113.3</v>
      </c>
      <c r="G271" s="1652">
        <f>F271-E271</f>
        <v>14897.5</v>
      </c>
      <c r="H271" s="1751">
        <f>G271/G9</f>
        <v>5.9518577706751898</v>
      </c>
    </row>
    <row r="272" spans="1:18" x14ac:dyDescent="0.25">
      <c r="A272" s="15"/>
      <c r="B272" s="952"/>
      <c r="C272" s="1703">
        <f>C271/C9</f>
        <v>7.8585640000000003</v>
      </c>
      <c r="D272" s="1703" t="s">
        <v>1003</v>
      </c>
      <c r="E272" s="947"/>
      <c r="G272" s="751"/>
      <c r="H272" s="1675"/>
    </row>
    <row r="273" spans="1:11" x14ac:dyDescent="0.25">
      <c r="A273" s="15"/>
      <c r="B273" s="247" t="s">
        <v>119</v>
      </c>
      <c r="C273" s="266">
        <v>10757.64</v>
      </c>
      <c r="D273" s="254" t="s">
        <v>996</v>
      </c>
      <c r="E273" s="275">
        <v>81749.95</v>
      </c>
      <c r="F273" s="1686">
        <v>92760.52</v>
      </c>
      <c r="G273" s="1652">
        <f>F273-E273</f>
        <v>11010.570000000007</v>
      </c>
      <c r="H273" s="1751">
        <f>G273/G9</f>
        <v>4.3989492608869387</v>
      </c>
    </row>
    <row r="274" spans="1:11" ht="14.85" hidden="1" customHeight="1" x14ac:dyDescent="0.25">
      <c r="A274" s="15"/>
      <c r="B274" s="952"/>
      <c r="C274" s="953"/>
      <c r="D274" s="953"/>
      <c r="E274" s="947"/>
      <c r="G274" s="751"/>
      <c r="H274" s="1675"/>
    </row>
    <row r="275" spans="1:11" ht="14.85" hidden="1" customHeight="1" x14ac:dyDescent="0.25">
      <c r="A275" s="15"/>
      <c r="B275" s="44" t="s">
        <v>15</v>
      </c>
      <c r="C275" s="532"/>
      <c r="D275" s="532"/>
      <c r="E275" s="299"/>
      <c r="G275" s="751"/>
      <c r="H275" s="1675"/>
    </row>
    <row r="276" spans="1:11" ht="14.85" hidden="1" customHeight="1" x14ac:dyDescent="0.25">
      <c r="A276" s="15"/>
      <c r="B276" s="247" t="s">
        <v>120</v>
      </c>
      <c r="C276" s="266">
        <v>1308.96</v>
      </c>
      <c r="D276" s="266"/>
      <c r="E276" s="275"/>
      <c r="G276" s="751"/>
      <c r="H276" s="1675"/>
    </row>
    <row r="277" spans="1:11" ht="14.85" hidden="1" customHeight="1" x14ac:dyDescent="0.25">
      <c r="A277" s="15"/>
      <c r="B277" s="952"/>
      <c r="C277" s="953"/>
      <c r="D277" s="953"/>
      <c r="E277" s="33"/>
      <c r="G277" s="751"/>
      <c r="H277" s="1675"/>
    </row>
    <row r="278" spans="1:11" ht="14.85" hidden="1" customHeight="1" x14ac:dyDescent="0.25">
      <c r="A278" s="15"/>
      <c r="B278" s="247" t="s">
        <v>121</v>
      </c>
      <c r="C278" s="266">
        <v>5759.67</v>
      </c>
      <c r="D278" s="266"/>
      <c r="E278" s="275">
        <v>792.3</v>
      </c>
      <c r="G278" s="751"/>
      <c r="H278" s="1675"/>
    </row>
    <row r="279" spans="1:11" ht="14.85" hidden="1" customHeight="1" x14ac:dyDescent="0.25">
      <c r="A279" s="15"/>
      <c r="B279" s="952"/>
      <c r="C279" s="953"/>
      <c r="D279" s="953"/>
      <c r="E279" s="947"/>
      <c r="G279" s="751"/>
      <c r="H279" s="1675"/>
    </row>
    <row r="280" spans="1:11" ht="14.85" hidden="1" customHeight="1" x14ac:dyDescent="0.25">
      <c r="A280" s="15"/>
      <c r="B280" s="44" t="s">
        <v>7</v>
      </c>
      <c r="C280" s="532"/>
      <c r="D280" s="532"/>
      <c r="E280" s="299"/>
      <c r="G280" s="751"/>
      <c r="H280" s="1675"/>
    </row>
    <row r="281" spans="1:11" ht="15.75" thickBot="1" x14ac:dyDescent="0.3">
      <c r="A281" s="15"/>
      <c r="B281" s="1758"/>
      <c r="C281" s="1759">
        <f>C273/C9</f>
        <v>4.3030559999999998</v>
      </c>
      <c r="D281" s="1759" t="s">
        <v>1003</v>
      </c>
      <c r="E281" s="1760"/>
      <c r="F281" s="1761"/>
      <c r="G281" s="1762"/>
      <c r="H281" s="1763"/>
    </row>
    <row r="282" spans="1:11" ht="15" hidden="1" customHeight="1" thickBot="1" x14ac:dyDescent="0.3">
      <c r="A282" s="19"/>
      <c r="B282" s="248" t="s">
        <v>123</v>
      </c>
      <c r="C282" s="267">
        <v>241.12</v>
      </c>
      <c r="D282" s="267"/>
      <c r="E282" s="1694"/>
      <c r="F282" s="1695"/>
      <c r="G282" s="1696"/>
      <c r="H282" s="1697"/>
    </row>
    <row r="284" spans="1:11" ht="15.75" x14ac:dyDescent="0.25">
      <c r="B284" s="2298" t="s">
        <v>923</v>
      </c>
      <c r="C284" s="2298"/>
      <c r="D284" s="1790"/>
      <c r="E284" s="2298" t="s">
        <v>924</v>
      </c>
      <c r="F284" s="2298"/>
      <c r="G284" s="2298"/>
      <c r="H284" s="2299" t="s">
        <v>929</v>
      </c>
      <c r="I284" s="2299"/>
      <c r="J284" s="2300" t="s">
        <v>933</v>
      </c>
      <c r="K284" s="2300"/>
    </row>
    <row r="285" spans="1:11" x14ac:dyDescent="0.25">
      <c r="B285" s="2301" t="s">
        <v>921</v>
      </c>
      <c r="C285" s="2302"/>
      <c r="D285" s="1789"/>
      <c r="E285" s="2301" t="s">
        <v>931</v>
      </c>
      <c r="F285" s="2302"/>
      <c r="G285" s="2302"/>
      <c r="H285" s="2301" t="s">
        <v>932</v>
      </c>
      <c r="I285" s="2302"/>
      <c r="J285" s="2312" t="s">
        <v>934</v>
      </c>
      <c r="K285" s="2312"/>
    </row>
    <row r="286" spans="1:11" ht="24.6" customHeight="1" x14ac:dyDescent="0.25">
      <c r="B286" s="2302"/>
      <c r="C286" s="2302"/>
      <c r="D286" s="1789"/>
      <c r="E286" s="2302"/>
      <c r="F286" s="2302"/>
      <c r="G286" s="2302"/>
      <c r="H286" s="2302"/>
      <c r="I286" s="2302"/>
      <c r="J286" s="2312"/>
      <c r="K286" s="2312"/>
    </row>
    <row r="287" spans="1:11" ht="14.85" customHeight="1" x14ac:dyDescent="0.25">
      <c r="B287" s="2301" t="s">
        <v>955</v>
      </c>
      <c r="C287" s="2302"/>
      <c r="D287" s="1789"/>
      <c r="E287" s="2301" t="s">
        <v>960</v>
      </c>
      <c r="F287" s="2302"/>
      <c r="G287" s="2302"/>
      <c r="H287" s="2301" t="s">
        <v>956</v>
      </c>
      <c r="I287" s="2302"/>
      <c r="J287" s="2312" t="s">
        <v>934</v>
      </c>
      <c r="K287" s="2312"/>
    </row>
    <row r="288" spans="1:11" ht="26.85" customHeight="1" x14ac:dyDescent="0.25">
      <c r="B288" s="2302"/>
      <c r="C288" s="2302"/>
      <c r="D288" s="1789"/>
      <c r="E288" s="2302"/>
      <c r="F288" s="2302"/>
      <c r="G288" s="2302"/>
      <c r="H288" s="2302"/>
      <c r="I288" s="2302"/>
      <c r="J288" s="2312"/>
      <c r="K288" s="2312"/>
    </row>
    <row r="289" spans="2:11" ht="41.85" customHeight="1" x14ac:dyDescent="0.25">
      <c r="B289" s="2301" t="s">
        <v>922</v>
      </c>
      <c r="C289" s="2302"/>
      <c r="D289" s="1789"/>
      <c r="E289" s="2301" t="s">
        <v>935</v>
      </c>
      <c r="F289" s="2302"/>
      <c r="G289" s="2302"/>
      <c r="H289" s="2302" t="s">
        <v>936</v>
      </c>
      <c r="I289" s="2302"/>
      <c r="J289" s="2312" t="s">
        <v>934</v>
      </c>
      <c r="K289" s="2312"/>
    </row>
    <row r="290" spans="2:11" ht="14.85" customHeight="1" x14ac:dyDescent="0.25">
      <c r="B290" s="2308" t="s">
        <v>930</v>
      </c>
      <c r="C290" s="2309"/>
      <c r="D290" s="1787"/>
      <c r="E290" s="2301" t="s">
        <v>937</v>
      </c>
      <c r="F290" s="2301"/>
      <c r="G290" s="2301"/>
      <c r="H290" s="2302" t="s">
        <v>938</v>
      </c>
      <c r="I290" s="2302"/>
      <c r="J290" s="2312" t="s">
        <v>934</v>
      </c>
      <c r="K290" s="2312"/>
    </row>
    <row r="291" spans="2:11" x14ac:dyDescent="0.25">
      <c r="B291" s="2310"/>
      <c r="C291" s="2311"/>
      <c r="D291" s="1788"/>
      <c r="E291" s="2301"/>
      <c r="F291" s="2301"/>
      <c r="G291" s="2301"/>
      <c r="H291" s="2302"/>
      <c r="I291" s="2302"/>
      <c r="J291" s="2312"/>
      <c r="K291" s="2312"/>
    </row>
  </sheetData>
  <mergeCells count="26"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  <mergeCell ref="A1:H1"/>
    <mergeCell ref="A2:A3"/>
    <mergeCell ref="B2:B3"/>
    <mergeCell ref="C2:C3"/>
    <mergeCell ref="E2:H3"/>
    <mergeCell ref="D2:D3"/>
    <mergeCell ref="B284:C284"/>
    <mergeCell ref="E284:G284"/>
    <mergeCell ref="H284:I284"/>
    <mergeCell ref="J284:K284"/>
    <mergeCell ref="B285:C286"/>
    <mergeCell ref="E285:G286"/>
    <mergeCell ref="H285:I28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B1" zoomScale="110" zoomScaleNormal="110" workbookViewId="0">
      <selection activeCell="D13" sqref="D13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29" t="s">
        <v>217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30" t="s">
        <v>359</v>
      </c>
      <c r="C3" s="831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948">
        <f>('JULI 2025'!AM10)/1000</f>
        <v>1382.6516399999998</v>
      </c>
      <c r="O3" s="833" t="s">
        <v>379</v>
      </c>
    </row>
    <row r="4" spans="2:15" x14ac:dyDescent="0.25">
      <c r="B4" s="834" t="s">
        <v>229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2">
        <f>'JULI 2025'!AM6</f>
        <v>25</v>
      </c>
      <c r="O4" s="835" t="s">
        <v>228</v>
      </c>
    </row>
    <row r="5" spans="2:15" x14ac:dyDescent="0.25">
      <c r="B5" s="836" t="s">
        <v>230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2">
        <f>N4*N3</f>
        <v>34566.290999999997</v>
      </c>
      <c r="O5" s="835" t="s">
        <v>280</v>
      </c>
    </row>
    <row r="6" spans="2:15" ht="15.75" thickBot="1" x14ac:dyDescent="0.3">
      <c r="B6" s="837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1185">
        <v>16000</v>
      </c>
      <c r="O6" s="838" t="s">
        <v>232</v>
      </c>
    </row>
    <row r="7" spans="2:15" ht="21" customHeight="1" thickBot="1" x14ac:dyDescent="0.3">
      <c r="B7" s="839" t="s">
        <v>99</v>
      </c>
      <c r="C7" s="840" t="s">
        <v>218</v>
      </c>
      <c r="D7" s="2313" t="s">
        <v>219</v>
      </c>
      <c r="E7" s="2313"/>
      <c r="F7" s="2314" t="s">
        <v>220</v>
      </c>
      <c r="G7" s="2314"/>
      <c r="H7" s="2315" t="s">
        <v>221</v>
      </c>
      <c r="I7" s="2316"/>
      <c r="J7" s="842" t="s">
        <v>222</v>
      </c>
      <c r="K7" s="2317" t="s">
        <v>223</v>
      </c>
      <c r="L7" s="2318"/>
      <c r="M7" s="841" t="s">
        <v>224</v>
      </c>
      <c r="N7" s="841" t="s">
        <v>225</v>
      </c>
      <c r="O7" s="843" t="s">
        <v>226</v>
      </c>
    </row>
    <row r="8" spans="2:15" ht="15.75" thickTop="1" x14ac:dyDescent="0.25">
      <c r="B8" s="844">
        <v>1</v>
      </c>
      <c r="C8" s="845" t="s">
        <v>233</v>
      </c>
      <c r="D8" s="960">
        <f>'JULI 2025'!$AM$76</f>
        <v>7.8514122328021827</v>
      </c>
      <c r="E8" s="846"/>
      <c r="F8" s="847">
        <f>($D$8*$N$3*10)</f>
        <v>108557.67999999998</v>
      </c>
      <c r="G8" s="848" t="s">
        <v>234</v>
      </c>
      <c r="H8" s="847">
        <f>$N$4</f>
        <v>25</v>
      </c>
      <c r="I8" s="847"/>
      <c r="J8" s="951">
        <f>$H$8*$F$8</f>
        <v>2713941.9999999995</v>
      </c>
      <c r="K8" s="849">
        <v>2400</v>
      </c>
      <c r="L8" s="849"/>
      <c r="M8" s="847">
        <f>$J$8*$K$8</f>
        <v>6513460799.999999</v>
      </c>
      <c r="N8" s="850">
        <f>$M$8/($N$5*1000)</f>
        <v>188.43389358725236</v>
      </c>
      <c r="O8" s="851">
        <f>($M$8/$N$6)/$N$5</f>
        <v>11.777118349203274</v>
      </c>
    </row>
    <row r="9" spans="2:15" x14ac:dyDescent="0.25">
      <c r="B9" s="852">
        <v>2</v>
      </c>
      <c r="C9" s="366" t="s">
        <v>235</v>
      </c>
      <c r="D9" s="372">
        <f>'JULI 2025'!$AM$84</f>
        <v>0.47753836244681269</v>
      </c>
      <c r="E9" s="853"/>
      <c r="F9" s="379">
        <f>($D$9*$N$3*10)</f>
        <v>6602.6919999999982</v>
      </c>
      <c r="G9" s="854" t="s">
        <v>234</v>
      </c>
      <c r="H9" s="379">
        <f>$H$8</f>
        <v>25</v>
      </c>
      <c r="I9" s="379"/>
      <c r="J9" s="379">
        <f>$H$9*$F$9</f>
        <v>165067.29999999996</v>
      </c>
      <c r="K9" s="367">
        <v>17420</v>
      </c>
      <c r="L9" s="367"/>
      <c r="M9" s="379">
        <f>$J$9*$K$9</f>
        <v>2875472365.9999995</v>
      </c>
      <c r="N9" s="401">
        <f>$M$9/($N$5*1000)</f>
        <v>83.187182738234753</v>
      </c>
      <c r="O9" s="855">
        <f>($M$9/$N$6)/$N$5</f>
        <v>5.199198921139673</v>
      </c>
    </row>
    <row r="10" spans="2:15" x14ac:dyDescent="0.25">
      <c r="B10" s="852">
        <v>3</v>
      </c>
      <c r="C10" s="366" t="s">
        <v>236</v>
      </c>
      <c r="D10" s="372">
        <v>29.1666666666667</v>
      </c>
      <c r="E10" s="854" t="s">
        <v>237</v>
      </c>
      <c r="F10" s="379">
        <f>D10</f>
        <v>29.1666666666667</v>
      </c>
      <c r="G10" s="854" t="s">
        <v>237</v>
      </c>
      <c r="H10" s="379">
        <f>$H$8</f>
        <v>25</v>
      </c>
      <c r="I10" s="379"/>
      <c r="J10" s="379">
        <f>$H$10*$F$10</f>
        <v>729.16666666666754</v>
      </c>
      <c r="K10" s="367">
        <v>15700</v>
      </c>
      <c r="L10" s="367"/>
      <c r="M10" s="379">
        <f>$J$10*$K$10</f>
        <v>11447916.666666681</v>
      </c>
      <c r="N10" s="401">
        <f>$M$10/($N$5*1000)</f>
        <v>0.33118730229594723</v>
      </c>
      <c r="O10" s="855">
        <f>($M$10/$N$6)/$N$5</f>
        <v>2.0699206393496705E-2</v>
      </c>
    </row>
    <row r="11" spans="2:15" x14ac:dyDescent="0.25">
      <c r="B11" s="856">
        <v>4</v>
      </c>
      <c r="C11" s="366" t="s">
        <v>238</v>
      </c>
      <c r="D11" s="401"/>
      <c r="E11" s="853"/>
      <c r="F11" s="379"/>
      <c r="G11" s="854"/>
      <c r="H11" s="379"/>
      <c r="I11" s="379"/>
      <c r="J11" s="379"/>
      <c r="K11" s="367"/>
      <c r="L11" s="367"/>
      <c r="M11" s="379"/>
      <c r="N11" s="401"/>
      <c r="O11" s="855"/>
    </row>
    <row r="12" spans="2:15" x14ac:dyDescent="0.25">
      <c r="B12" s="857"/>
      <c r="C12" s="368" t="s">
        <v>239</v>
      </c>
      <c r="D12" s="401">
        <f>'JULI 2025'!$AM$245</f>
        <v>0.13987313054550726</v>
      </c>
      <c r="E12" s="853" t="s">
        <v>240</v>
      </c>
      <c r="F12" s="379">
        <f>$D$12*$N$3</f>
        <v>193.39581334067969</v>
      </c>
      <c r="G12" s="854" t="s">
        <v>241</v>
      </c>
      <c r="H12" s="379">
        <f>$H$8</f>
        <v>25</v>
      </c>
      <c r="I12" s="379"/>
      <c r="J12" s="379">
        <f>$H$12*$F$12</f>
        <v>4834.8953335169927</v>
      </c>
      <c r="K12" s="367">
        <f>11.5*$N$6</f>
        <v>184000</v>
      </c>
      <c r="L12" s="367"/>
      <c r="M12" s="379">
        <f>$J$12*$K$12</f>
        <v>889620741.3671267</v>
      </c>
      <c r="N12" s="401">
        <f>$M$12/($N$5*1000)</f>
        <v>25.736656020373339</v>
      </c>
      <c r="O12" s="855">
        <f>($M$12/$N$6)/$N$5</f>
        <v>1.6085410012733337</v>
      </c>
    </row>
    <row r="13" spans="2:15" x14ac:dyDescent="0.25">
      <c r="B13" s="857"/>
      <c r="C13" s="368" t="s">
        <v>242</v>
      </c>
      <c r="D13" s="401">
        <v>0</v>
      </c>
      <c r="E13" s="853" t="s">
        <v>240</v>
      </c>
      <c r="F13" s="379">
        <f>$D$13*$N$3</f>
        <v>0</v>
      </c>
      <c r="G13" s="854" t="s">
        <v>241</v>
      </c>
      <c r="H13" s="379">
        <f>$H$8</f>
        <v>25</v>
      </c>
      <c r="I13" s="379"/>
      <c r="J13" s="379">
        <f>$H$13*$F$13</f>
        <v>0</v>
      </c>
      <c r="K13" s="367">
        <f>11.5*$N$6</f>
        <v>184000</v>
      </c>
      <c r="L13" s="367"/>
      <c r="M13" s="379">
        <f>$J$13*$K$13</f>
        <v>0</v>
      </c>
      <c r="N13" s="401">
        <f>$M$13/($N$5*1000)</f>
        <v>0</v>
      </c>
      <c r="O13" s="855">
        <f>($M$13/$N$6)/$N$5</f>
        <v>0</v>
      </c>
    </row>
    <row r="14" spans="2:15" x14ac:dyDescent="0.25">
      <c r="B14" s="858"/>
      <c r="C14" s="368" t="s">
        <v>243</v>
      </c>
      <c r="D14" s="401">
        <v>0</v>
      </c>
      <c r="E14" s="853" t="s">
        <v>240</v>
      </c>
      <c r="F14" s="379">
        <f>$D$14*$N$3</f>
        <v>0</v>
      </c>
      <c r="G14" s="854" t="s">
        <v>241</v>
      </c>
      <c r="H14" s="379">
        <f>$H$8</f>
        <v>25</v>
      </c>
      <c r="I14" s="379"/>
      <c r="J14" s="379">
        <f>$H$14*$F$14</f>
        <v>0</v>
      </c>
      <c r="K14" s="367">
        <f>11.5*$N$6</f>
        <v>184000</v>
      </c>
      <c r="L14" s="367"/>
      <c r="M14" s="379">
        <f>$J$14*$K$14</f>
        <v>0</v>
      </c>
      <c r="N14" s="401">
        <f>$M$14/($N$5*1000)</f>
        <v>0</v>
      </c>
      <c r="O14" s="855">
        <f>($M$14/$N$6)/$N$5</f>
        <v>0</v>
      </c>
    </row>
    <row r="15" spans="2:15" x14ac:dyDescent="0.25">
      <c r="B15" s="856">
        <v>5</v>
      </c>
      <c r="C15" s="366" t="s">
        <v>360</v>
      </c>
      <c r="D15" s="401"/>
      <c r="E15" s="853"/>
      <c r="F15" s="379"/>
      <c r="G15" s="854"/>
      <c r="H15" s="379"/>
      <c r="I15" s="379"/>
      <c r="J15" s="379"/>
      <c r="K15" s="367"/>
      <c r="L15" s="367"/>
      <c r="M15" s="379"/>
      <c r="N15" s="401"/>
      <c r="O15" s="855"/>
    </row>
    <row r="16" spans="2:15" x14ac:dyDescent="0.25">
      <c r="B16" s="857"/>
      <c r="C16" s="368" t="s">
        <v>244</v>
      </c>
      <c r="D16" s="369">
        <f>'JULI 2025'!AM252</f>
        <v>46.623168219002729</v>
      </c>
      <c r="E16" s="853" t="s">
        <v>245</v>
      </c>
      <c r="F16" s="379">
        <f>$D$16*$N$3/1000</f>
        <v>64.463599999999985</v>
      </c>
      <c r="G16" s="854" t="s">
        <v>246</v>
      </c>
      <c r="H16" s="379">
        <f>$H$8</f>
        <v>25</v>
      </c>
      <c r="I16" s="379"/>
      <c r="J16" s="379">
        <f>$H$16*$F$16</f>
        <v>1611.5899999999997</v>
      </c>
      <c r="K16" s="367">
        <f>Steam!H15</f>
        <v>58707.904886775686</v>
      </c>
      <c r="L16" s="367"/>
      <c r="M16" s="379">
        <f>$J$16*$K$16</f>
        <v>94613072.436478809</v>
      </c>
      <c r="N16" s="401">
        <f>$M$16/($N$5*1000)</f>
        <v>2.7371485253213543</v>
      </c>
      <c r="O16" s="855">
        <f>($M$16/$N$6)/$N$5</f>
        <v>0.17107178283258467</v>
      </c>
    </row>
    <row r="17" spans="2:15" x14ac:dyDescent="0.25">
      <c r="B17" s="858"/>
      <c r="C17" s="368" t="s">
        <v>247</v>
      </c>
      <c r="D17" s="369">
        <f>'JULI 2025'!$AM$256</f>
        <v>1.4679040918795709</v>
      </c>
      <c r="E17" s="853" t="s">
        <v>245</v>
      </c>
      <c r="F17" s="379">
        <f>$D$17*$N$3/1000</f>
        <v>2.0295999999999994</v>
      </c>
      <c r="G17" s="854" t="s">
        <v>246</v>
      </c>
      <c r="H17" s="379">
        <f>$H$8</f>
        <v>25</v>
      </c>
      <c r="I17" s="379"/>
      <c r="J17" s="379">
        <f>$H$17*$F$17</f>
        <v>50.739999999999988</v>
      </c>
      <c r="K17" s="367">
        <f>Steam!H15</f>
        <v>58707.904886775686</v>
      </c>
      <c r="L17" s="367"/>
      <c r="M17" s="379">
        <f>$J$17*$K$17</f>
        <v>2978839.0939549976</v>
      </c>
      <c r="N17" s="401">
        <f>$M$17/($N$5*1000)</f>
        <v>8.6177573808974686E-2</v>
      </c>
      <c r="O17" s="855">
        <f>($M$17/$N$6)/$N$5</f>
        <v>5.3860983630609188E-3</v>
      </c>
    </row>
    <row r="18" spans="2:15" x14ac:dyDescent="0.25">
      <c r="B18" s="857">
        <v>6</v>
      </c>
      <c r="C18" s="366" t="s">
        <v>361</v>
      </c>
      <c r="D18" s="371"/>
      <c r="E18" s="853"/>
      <c r="F18" s="374"/>
      <c r="G18" s="854"/>
      <c r="H18" s="379"/>
      <c r="I18" s="379"/>
      <c r="J18" s="379"/>
      <c r="K18" s="367"/>
      <c r="L18" s="367"/>
      <c r="M18" s="379"/>
      <c r="N18" s="401"/>
      <c r="O18" s="855"/>
    </row>
    <row r="19" spans="2:15" x14ac:dyDescent="0.25">
      <c r="B19" s="857"/>
      <c r="C19" s="368" t="s">
        <v>244</v>
      </c>
      <c r="D19" s="401">
        <f>'JULI 2025'!$AM$275</f>
        <v>9.2559748455511173</v>
      </c>
      <c r="E19" s="853" t="s">
        <v>248</v>
      </c>
      <c r="F19" s="379">
        <f>$D$19*$N$3</f>
        <v>12797.788799999997</v>
      </c>
      <c r="G19" s="854" t="s">
        <v>249</v>
      </c>
      <c r="H19" s="379">
        <f>$H$8</f>
        <v>25</v>
      </c>
      <c r="I19" s="379">
        <v>0</v>
      </c>
      <c r="J19" s="379">
        <f>$H$19*$F$19</f>
        <v>319944.71999999991</v>
      </c>
      <c r="K19" s="367">
        <v>1550</v>
      </c>
      <c r="L19" s="367">
        <f>[2]Electric!H21</f>
        <v>3666.6666666666665</v>
      </c>
      <c r="M19" s="379">
        <f>($F$19*$H$19*$K$19)+($F$19*$I$19*$L$19)</f>
        <v>495914315.99999988</v>
      </c>
      <c r="N19" s="401">
        <f>$M$19/($N$5*1000)</f>
        <v>14.346761010604229</v>
      </c>
      <c r="O19" s="855">
        <f>($M$19/$N$6)/$N$5</f>
        <v>0.89667256316276445</v>
      </c>
    </row>
    <row r="20" spans="2:15" x14ac:dyDescent="0.25">
      <c r="B20" s="857"/>
      <c r="C20" s="368" t="s">
        <v>250</v>
      </c>
      <c r="D20" s="372">
        <f>'JULI 2025'!$AM$277</f>
        <v>6.5333304056255264</v>
      </c>
      <c r="E20" s="853" t="s">
        <v>248</v>
      </c>
      <c r="F20" s="379">
        <f>$D$20*$N$3</f>
        <v>9033.3199999999979</v>
      </c>
      <c r="G20" s="854" t="s">
        <v>249</v>
      </c>
      <c r="H20" s="379">
        <f>$H$8</f>
        <v>25</v>
      </c>
      <c r="I20" s="379">
        <v>0</v>
      </c>
      <c r="J20" s="379">
        <f>$H$20*$F$20</f>
        <v>225832.99999999994</v>
      </c>
      <c r="K20" s="367">
        <v>1550</v>
      </c>
      <c r="L20" s="367">
        <f>L19</f>
        <v>3666.6666666666665</v>
      </c>
      <c r="M20" s="379">
        <f>(F20*H20*K20)+(F20*I20*L20)</f>
        <v>350041149.99999988</v>
      </c>
      <c r="N20" s="401">
        <f>$M$20/($N$5*1000)</f>
        <v>10.126662128719563</v>
      </c>
      <c r="O20" s="855">
        <f>($M$20/$N$6)/$N$5</f>
        <v>0.63291638304497277</v>
      </c>
    </row>
    <row r="21" spans="2:15" x14ac:dyDescent="0.25">
      <c r="B21" s="857"/>
      <c r="C21" s="368" t="s">
        <v>251</v>
      </c>
      <c r="D21" s="373">
        <v>0.33778769841269801</v>
      </c>
      <c r="E21" s="853" t="s">
        <v>248</v>
      </c>
      <c r="F21" s="379">
        <f>$D$21*$N$3</f>
        <v>467.04271518214222</v>
      </c>
      <c r="G21" s="854" t="s">
        <v>249</v>
      </c>
      <c r="H21" s="379">
        <f>$H$8</f>
        <v>25</v>
      </c>
      <c r="I21" s="379">
        <v>0</v>
      </c>
      <c r="J21" s="379">
        <f>$H$21*$F$21</f>
        <v>11676.067879553555</v>
      </c>
      <c r="K21" s="367">
        <v>1550</v>
      </c>
      <c r="L21" s="367">
        <f>L20</f>
        <v>3666.6666666666665</v>
      </c>
      <c r="M21" s="379">
        <f>($F$21*$H$21*$K$21)+($F$21*$I$21*$L$21)</f>
        <v>18097905.21330801</v>
      </c>
      <c r="N21" s="401">
        <f>$M$21/($N$5*1000)</f>
        <v>0.52357093253968179</v>
      </c>
      <c r="O21" s="855">
        <f>($M$21/$N$6)/$N$5</f>
        <v>3.2723183283730119E-2</v>
      </c>
    </row>
    <row r="22" spans="2:15" x14ac:dyDescent="0.25">
      <c r="B22" s="857">
        <v>7</v>
      </c>
      <c r="C22" s="366" t="s">
        <v>362</v>
      </c>
      <c r="D22" s="372"/>
      <c r="E22" s="853"/>
      <c r="F22" s="379"/>
      <c r="G22" s="854"/>
      <c r="H22" s="379"/>
      <c r="I22" s="379"/>
      <c r="J22" s="379"/>
      <c r="K22" s="367"/>
      <c r="L22" s="367"/>
      <c r="M22" s="379"/>
      <c r="N22" s="401"/>
      <c r="O22" s="855"/>
    </row>
    <row r="23" spans="2:15" x14ac:dyDescent="0.25">
      <c r="B23" s="857"/>
      <c r="C23" s="368" t="s">
        <v>253</v>
      </c>
      <c r="D23" s="369">
        <f>'JULI 2025'!$AM$262</f>
        <v>12.931673809029727</v>
      </c>
      <c r="E23" s="853" t="s">
        <v>254</v>
      </c>
      <c r="F23" s="379">
        <f>$D$23</f>
        <v>12.931673809029727</v>
      </c>
      <c r="G23" s="854" t="s">
        <v>254</v>
      </c>
      <c r="H23" s="379">
        <f>$H$8</f>
        <v>25</v>
      </c>
      <c r="I23" s="379"/>
      <c r="J23" s="379">
        <f>$H$23*$F$23</f>
        <v>323.29184522574315</v>
      </c>
      <c r="K23" s="367">
        <f>WTP!H13</f>
        <v>9401.4761481406222</v>
      </c>
      <c r="L23" s="367"/>
      <c r="M23" s="379">
        <f>$J$23*$K$23</f>
        <v>3039420.571778194</v>
      </c>
      <c r="N23" s="401">
        <f>$M$23/($N$5*1000)</f>
        <v>8.7930191057472559E-2</v>
      </c>
      <c r="O23" s="855">
        <f>($M$23/$N$6)/$N$5</f>
        <v>5.4956369410920358E-3</v>
      </c>
    </row>
    <row r="24" spans="2:15" x14ac:dyDescent="0.25">
      <c r="B24" s="856">
        <v>8</v>
      </c>
      <c r="C24" s="366" t="s">
        <v>255</v>
      </c>
      <c r="D24" s="374"/>
      <c r="E24" s="853"/>
      <c r="F24" s="379"/>
      <c r="G24" s="854"/>
      <c r="H24" s="379"/>
      <c r="I24" s="379"/>
      <c r="J24" s="379"/>
      <c r="K24" s="367"/>
      <c r="L24" s="367"/>
      <c r="M24" s="379"/>
      <c r="N24" s="401">
        <f>$M$24/($N$5*1000)</f>
        <v>0</v>
      </c>
      <c r="O24" s="855">
        <f>($M$24/$N$6)/$N$5</f>
        <v>0</v>
      </c>
    </row>
    <row r="25" spans="2:15" x14ac:dyDescent="0.25">
      <c r="B25" s="857"/>
      <c r="C25" s="368" t="s">
        <v>256</v>
      </c>
      <c r="D25" s="374">
        <v>0.4</v>
      </c>
      <c r="E25" s="853" t="s">
        <v>234</v>
      </c>
      <c r="F25" s="374">
        <f>D25</f>
        <v>0.4</v>
      </c>
      <c r="G25" s="854" t="s">
        <v>234</v>
      </c>
      <c r="H25" s="379">
        <f>$H$8</f>
        <v>25</v>
      </c>
      <c r="I25" s="379"/>
      <c r="J25" s="379">
        <f>$H$25*$F$25</f>
        <v>10</v>
      </c>
      <c r="K25" s="367">
        <v>27240</v>
      </c>
      <c r="L25" s="367"/>
      <c r="M25" s="379">
        <f>$J$25*$K$25</f>
        <v>272400</v>
      </c>
      <c r="N25" s="401">
        <f>$M$25/($N$5*1000)</f>
        <v>7.880509945368451E-3</v>
      </c>
      <c r="O25" s="855">
        <f>($M$25/$N$6)/$N$5</f>
        <v>4.9253187158552819E-4</v>
      </c>
    </row>
    <row r="26" spans="2:15" x14ac:dyDescent="0.25">
      <c r="B26" s="857"/>
      <c r="C26" s="368" t="s">
        <v>257</v>
      </c>
      <c r="D26" s="374">
        <v>0.66</v>
      </c>
      <c r="E26" s="853" t="s">
        <v>234</v>
      </c>
      <c r="F26" s="374">
        <f>D26</f>
        <v>0.66</v>
      </c>
      <c r="G26" s="854" t="s">
        <v>234</v>
      </c>
      <c r="H26" s="379">
        <f>$H$8</f>
        <v>25</v>
      </c>
      <c r="I26" s="379"/>
      <c r="J26" s="379">
        <f>$H$26*$F$26</f>
        <v>16.5</v>
      </c>
      <c r="K26" s="367">
        <v>29120</v>
      </c>
      <c r="L26" s="367"/>
      <c r="M26" s="379">
        <f>$J$26*$K$26</f>
        <v>480480</v>
      </c>
      <c r="N26" s="401">
        <f>$M$26/($N$5*1000)</f>
        <v>1.3900247498350343E-2</v>
      </c>
      <c r="O26" s="855">
        <f>($M$26/$N$6)/$N$5</f>
        <v>8.6876546864689654E-4</v>
      </c>
    </row>
    <row r="27" spans="2:15" x14ac:dyDescent="0.25">
      <c r="B27" s="857"/>
      <c r="C27" s="368" t="s">
        <v>258</v>
      </c>
      <c r="D27" s="374">
        <v>0.41</v>
      </c>
      <c r="E27" s="853" t="s">
        <v>234</v>
      </c>
      <c r="F27" s="374">
        <f>D27</f>
        <v>0.41</v>
      </c>
      <c r="G27" s="854" t="s">
        <v>234</v>
      </c>
      <c r="H27" s="379">
        <f>$H$8</f>
        <v>25</v>
      </c>
      <c r="I27" s="379"/>
      <c r="J27" s="379">
        <f>$H$27*$F$27</f>
        <v>10.25</v>
      </c>
      <c r="K27" s="367">
        <v>117212</v>
      </c>
      <c r="L27" s="367"/>
      <c r="M27" s="379">
        <f>$J$27*$K$27</f>
        <v>1201423</v>
      </c>
      <c r="N27" s="401">
        <f>$M$27/($N$5*1000)</f>
        <v>3.4757070117820858E-2</v>
      </c>
      <c r="O27" s="855">
        <f>($M$27/$N$6)/$N$5</f>
        <v>2.1723168823638036E-3</v>
      </c>
    </row>
    <row r="28" spans="2:15" x14ac:dyDescent="0.25">
      <c r="B28" s="858"/>
      <c r="C28" s="368" t="s">
        <v>259</v>
      </c>
      <c r="D28" s="374">
        <v>0.1</v>
      </c>
      <c r="E28" s="853" t="s">
        <v>234</v>
      </c>
      <c r="F28" s="374">
        <f>D28</f>
        <v>0.1</v>
      </c>
      <c r="G28" s="854" t="s">
        <v>234</v>
      </c>
      <c r="H28" s="379">
        <f>$H$8</f>
        <v>25</v>
      </c>
      <c r="I28" s="379"/>
      <c r="J28" s="379">
        <f>$H$28*$F$28</f>
        <v>2.5</v>
      </c>
      <c r="K28" s="367">
        <v>45940</v>
      </c>
      <c r="L28" s="367"/>
      <c r="M28" s="379">
        <f>$J$28*$K$28</f>
        <v>114850</v>
      </c>
      <c r="N28" s="401">
        <f>$M$28/($N$5*1000)</f>
        <v>3.3226012012686E-3</v>
      </c>
      <c r="O28" s="855">
        <f>($M$28/$N$6)/$N$5</f>
        <v>2.076625750792875E-4</v>
      </c>
    </row>
    <row r="29" spans="2:15" x14ac:dyDescent="0.25">
      <c r="B29" s="856">
        <v>9</v>
      </c>
      <c r="C29" s="366" t="s">
        <v>7</v>
      </c>
      <c r="D29" s="374"/>
      <c r="E29" s="853"/>
      <c r="F29" s="379"/>
      <c r="G29" s="854"/>
      <c r="H29" s="379"/>
      <c r="I29" s="379"/>
      <c r="J29" s="379"/>
      <c r="K29" s="367"/>
      <c r="L29" s="367"/>
      <c r="M29" s="379"/>
      <c r="N29" s="401"/>
      <c r="O29" s="855"/>
    </row>
    <row r="30" spans="2:15" x14ac:dyDescent="0.25">
      <c r="B30" s="857"/>
      <c r="C30" s="375" t="s">
        <v>260</v>
      </c>
      <c r="D30" s="376">
        <v>0.90361445783132532</v>
      </c>
      <c r="E30" s="859" t="s">
        <v>261</v>
      </c>
      <c r="F30" s="376">
        <f t="shared" ref="F30:F35" si="0">D30</f>
        <v>0.90361445783132532</v>
      </c>
      <c r="G30" s="860" t="s">
        <v>261</v>
      </c>
      <c r="H30" s="379">
        <f t="shared" ref="H30:H35" si="1">$H$8</f>
        <v>25</v>
      </c>
      <c r="I30" s="379"/>
      <c r="J30" s="379">
        <f>$H$30*$F$30</f>
        <v>22.590361445783135</v>
      </c>
      <c r="K30" s="367">
        <v>40000</v>
      </c>
      <c r="L30" s="367"/>
      <c r="M30" s="379">
        <f>$J$30*$K$30</f>
        <v>903614.45783132536</v>
      </c>
      <c r="N30" s="401">
        <f>$M$30/($N$5*1000)</f>
        <v>2.6141493104693395E-2</v>
      </c>
      <c r="O30" s="855">
        <f>($M$30/$N$6)/$N$5</f>
        <v>1.6338433190433374E-3</v>
      </c>
    </row>
    <row r="31" spans="2:15" x14ac:dyDescent="0.25">
      <c r="B31" s="857"/>
      <c r="C31" s="375" t="s">
        <v>262</v>
      </c>
      <c r="D31" s="376">
        <v>0.63253012048192769</v>
      </c>
      <c r="E31" s="859" t="s">
        <v>261</v>
      </c>
      <c r="F31" s="376">
        <f t="shared" si="0"/>
        <v>0.63253012048192769</v>
      </c>
      <c r="G31" s="860" t="s">
        <v>261</v>
      </c>
      <c r="H31" s="379">
        <f t="shared" si="1"/>
        <v>25</v>
      </c>
      <c r="I31" s="379"/>
      <c r="J31" s="379">
        <f>$H$31*$F$31</f>
        <v>15.813253012048193</v>
      </c>
      <c r="K31" s="367">
        <v>125000</v>
      </c>
      <c r="L31" s="367"/>
      <c r="M31" s="379">
        <f>$J$31*$K$31</f>
        <v>1976656.626506024</v>
      </c>
      <c r="N31" s="401">
        <f>$M$31/($N$5*1000)</f>
        <v>5.7184516166516798E-2</v>
      </c>
      <c r="O31" s="855">
        <f>($M$31/$N$6)/$N$5</f>
        <v>3.5740322604072999E-3</v>
      </c>
    </row>
    <row r="32" spans="2:15" x14ac:dyDescent="0.25">
      <c r="B32" s="857"/>
      <c r="C32" s="375" t="s">
        <v>263</v>
      </c>
      <c r="D32" s="376">
        <v>1.5666666666666667</v>
      </c>
      <c r="E32" s="859" t="s">
        <v>261</v>
      </c>
      <c r="F32" s="376">
        <f t="shared" si="0"/>
        <v>1.5666666666666667</v>
      </c>
      <c r="G32" s="860" t="s">
        <v>261</v>
      </c>
      <c r="H32" s="379">
        <f t="shared" si="1"/>
        <v>25</v>
      </c>
      <c r="I32" s="379"/>
      <c r="J32" s="379">
        <f>$H$32*$F$32</f>
        <v>39.166666666666664</v>
      </c>
      <c r="K32" s="367">
        <v>145000</v>
      </c>
      <c r="L32" s="367"/>
      <c r="M32" s="379">
        <f>$J$32*$K$32</f>
        <v>5679166.666666666</v>
      </c>
      <c r="N32" s="401">
        <f>$M$32/($N$5*1000)</f>
        <v>0.16429783185782548</v>
      </c>
      <c r="O32" s="855">
        <f>($M$32/$N$6)/$N$5</f>
        <v>1.0268614491114093E-2</v>
      </c>
    </row>
    <row r="33" spans="2:15" x14ac:dyDescent="0.25">
      <c r="B33" s="857"/>
      <c r="C33" s="375" t="s">
        <v>264</v>
      </c>
      <c r="D33" s="376">
        <v>0.12048192771084337</v>
      </c>
      <c r="E33" s="859" t="s">
        <v>261</v>
      </c>
      <c r="F33" s="376">
        <f t="shared" si="0"/>
        <v>0.12048192771084337</v>
      </c>
      <c r="G33" s="860" t="s">
        <v>261</v>
      </c>
      <c r="H33" s="379">
        <f t="shared" si="1"/>
        <v>25</v>
      </c>
      <c r="I33" s="379"/>
      <c r="J33" s="379">
        <f>$H$33*$F$33</f>
        <v>3.0120481927710845</v>
      </c>
      <c r="K33" s="367">
        <v>682500</v>
      </c>
      <c r="L33" s="367"/>
      <c r="M33" s="379">
        <f>$J$33*$K$33</f>
        <v>2055722.8915662651</v>
      </c>
      <c r="N33" s="401">
        <f>$M$33/($N$5*1000)</f>
        <v>5.9471896813177473E-2</v>
      </c>
      <c r="O33" s="855">
        <f>($M$33/$N$6)/$N$5</f>
        <v>3.7169935508235921E-3</v>
      </c>
    </row>
    <row r="34" spans="2:15" x14ac:dyDescent="0.25">
      <c r="B34" s="858"/>
      <c r="C34" s="375" t="s">
        <v>265</v>
      </c>
      <c r="D34" s="377">
        <v>3.6144578313253013</v>
      </c>
      <c r="E34" s="859" t="s">
        <v>261</v>
      </c>
      <c r="F34" s="376">
        <f t="shared" si="0"/>
        <v>3.6144578313253013</v>
      </c>
      <c r="G34" s="860" t="s">
        <v>261</v>
      </c>
      <c r="H34" s="379">
        <f t="shared" si="1"/>
        <v>25</v>
      </c>
      <c r="I34" s="379"/>
      <c r="J34" s="379">
        <f>$H$34*$F$34</f>
        <v>90.361445783132538</v>
      </c>
      <c r="K34" s="367">
        <v>14500</v>
      </c>
      <c r="L34" s="367"/>
      <c r="M34" s="379">
        <f>$J$34*$K$34</f>
        <v>1310240.9638554219</v>
      </c>
      <c r="N34" s="401">
        <f>$M$34/($N$5*1000)</f>
        <v>3.7905165001805428E-2</v>
      </c>
      <c r="O34" s="855">
        <f>($M$34/$N$6)/$N$5</f>
        <v>2.3690728126128393E-3</v>
      </c>
    </row>
    <row r="35" spans="2:15" x14ac:dyDescent="0.25">
      <c r="B35" s="852">
        <v>10</v>
      </c>
      <c r="C35" s="378" t="s">
        <v>363</v>
      </c>
      <c r="D35" s="379">
        <f>'JULI 2025'!$AM$268</f>
        <v>213.48</v>
      </c>
      <c r="E35" s="853" t="s">
        <v>254</v>
      </c>
      <c r="F35" s="398">
        <f t="shared" si="0"/>
        <v>213.48</v>
      </c>
      <c r="G35" s="860" t="s">
        <v>254</v>
      </c>
      <c r="H35" s="379">
        <f t="shared" si="1"/>
        <v>25</v>
      </c>
      <c r="I35" s="379"/>
      <c r="J35" s="379">
        <f>$H$35*$F$35</f>
        <v>5337</v>
      </c>
      <c r="K35" s="367">
        <f>WWTP!H17</f>
        <v>19784.72635927286</v>
      </c>
      <c r="L35" s="367"/>
      <c r="M35" s="379">
        <f>$J$35*$K$35</f>
        <v>105591084.57943925</v>
      </c>
      <c r="N35" s="401">
        <f>$M$35/($N$5*1000)</f>
        <v>3.0547415277918955</v>
      </c>
      <c r="O35" s="855">
        <f>($M$35/$N$6)/$N$5</f>
        <v>0.19092134548699349</v>
      </c>
    </row>
    <row r="36" spans="2:15" x14ac:dyDescent="0.25">
      <c r="B36" s="857">
        <v>11</v>
      </c>
      <c r="C36" s="380" t="s">
        <v>266</v>
      </c>
      <c r="D36" s="377"/>
      <c r="E36" s="859"/>
      <c r="F36" s="382"/>
      <c r="G36" s="860"/>
      <c r="H36" s="379"/>
      <c r="I36" s="379"/>
      <c r="J36" s="379"/>
      <c r="K36" s="381"/>
      <c r="L36" s="381"/>
      <c r="M36" s="379"/>
      <c r="N36" s="401"/>
      <c r="O36" s="855"/>
    </row>
    <row r="37" spans="2:15" x14ac:dyDescent="0.25">
      <c r="B37" s="857"/>
      <c r="C37" s="375" t="s">
        <v>267</v>
      </c>
      <c r="D37" s="382">
        <f>'JULI 2025'!$AM$88</f>
        <v>273743.47865993326</v>
      </c>
      <c r="E37" s="859" t="s">
        <v>234</v>
      </c>
      <c r="F37" s="382">
        <f>D37</f>
        <v>273743.47865993326</v>
      </c>
      <c r="G37" s="860" t="s">
        <v>234</v>
      </c>
      <c r="H37" s="379">
        <f>$H$8</f>
        <v>25</v>
      </c>
      <c r="I37" s="379"/>
      <c r="J37" s="379">
        <f>$F$37</f>
        <v>273743.47865993326</v>
      </c>
      <c r="K37" s="381">
        <v>0</v>
      </c>
      <c r="L37" s="381"/>
      <c r="M37" s="379">
        <f>$J$37*$K$37</f>
        <v>0</v>
      </c>
      <c r="N37" s="401">
        <f>$M$37/($N$5*1000)</f>
        <v>0</v>
      </c>
      <c r="O37" s="855">
        <f>($M$37/$N$6)/$N$5</f>
        <v>0</v>
      </c>
    </row>
    <row r="38" spans="2:15" x14ac:dyDescent="0.25">
      <c r="B38" s="857"/>
      <c r="C38" s="375" t="s">
        <v>268</v>
      </c>
      <c r="D38" s="376">
        <v>0.1</v>
      </c>
      <c r="E38" s="859" t="s">
        <v>269</v>
      </c>
      <c r="F38" s="376">
        <f>D38</f>
        <v>0.1</v>
      </c>
      <c r="G38" s="860" t="s">
        <v>269</v>
      </c>
      <c r="H38" s="379">
        <f>$H$8</f>
        <v>25</v>
      </c>
      <c r="I38" s="379"/>
      <c r="J38" s="379">
        <f>$H$38*$F$38</f>
        <v>2.5</v>
      </c>
      <c r="K38" s="381">
        <v>303030.30303030298</v>
      </c>
      <c r="L38" s="381"/>
      <c r="M38" s="379">
        <f>$J$38*$K$38</f>
        <v>757575.75757575745</v>
      </c>
      <c r="N38" s="401">
        <f>$M$38/($N$5*1000)</f>
        <v>2.1916605330197486E-2</v>
      </c>
      <c r="O38" s="855">
        <f>($M$38/$N$6)/$N$5</f>
        <v>1.3697878331373431E-3</v>
      </c>
    </row>
    <row r="39" spans="2:15" x14ac:dyDescent="0.25">
      <c r="B39" s="861">
        <v>12</v>
      </c>
      <c r="C39" s="383" t="s">
        <v>364</v>
      </c>
      <c r="D39" s="384"/>
      <c r="E39" s="862"/>
      <c r="F39" s="384"/>
      <c r="G39" s="863"/>
      <c r="H39" s="379"/>
      <c r="I39" s="864"/>
      <c r="J39" s="379"/>
      <c r="K39" s="385"/>
      <c r="L39" s="385"/>
      <c r="M39" s="379"/>
      <c r="N39" s="401">
        <f>$M$39/($N$5*1000)</f>
        <v>0</v>
      </c>
      <c r="O39" s="855">
        <f>($M$39/$N$6)/$N$5</f>
        <v>0</v>
      </c>
    </row>
    <row r="40" spans="2:15" x14ac:dyDescent="0.25">
      <c r="B40" s="865"/>
      <c r="C40" s="386" t="s">
        <v>270</v>
      </c>
      <c r="D40" s="384">
        <f>lab!H33</f>
        <v>745255.21064425772</v>
      </c>
      <c r="E40" s="862" t="s">
        <v>271</v>
      </c>
      <c r="F40" s="384">
        <f>D40</f>
        <v>745255.21064425772</v>
      </c>
      <c r="G40" s="863" t="s">
        <v>271</v>
      </c>
      <c r="H40" s="379">
        <f>$H$8</f>
        <v>25</v>
      </c>
      <c r="I40" s="864"/>
      <c r="J40" s="379"/>
      <c r="K40" s="385"/>
      <c r="L40" s="385"/>
      <c r="M40" s="379">
        <f>$H$40*$F$40</f>
        <v>18631380.266106442</v>
      </c>
      <c r="N40" s="401">
        <f>$M$40/($N$5*1000)</f>
        <v>0.53900432262479192</v>
      </c>
      <c r="O40" s="855">
        <f>($M$40/$N$6)/$N$5</f>
        <v>3.3687770164049495E-2</v>
      </c>
    </row>
    <row r="41" spans="2:15" x14ac:dyDescent="0.25">
      <c r="B41" s="865"/>
      <c r="C41" s="386" t="s">
        <v>365</v>
      </c>
      <c r="D41" s="384">
        <f>lab!H54</f>
        <v>259161.44425770309</v>
      </c>
      <c r="E41" s="862" t="s">
        <v>271</v>
      </c>
      <c r="F41" s="384">
        <f>D41</f>
        <v>259161.44425770309</v>
      </c>
      <c r="G41" s="863" t="s">
        <v>271</v>
      </c>
      <c r="H41" s="379">
        <f>$H$8</f>
        <v>25</v>
      </c>
      <c r="I41" s="864"/>
      <c r="J41" s="379"/>
      <c r="K41" s="385"/>
      <c r="L41" s="385"/>
      <c r="M41" s="379">
        <f>$H$41*$F$41</f>
        <v>6479036.1064425772</v>
      </c>
      <c r="N41" s="401">
        <f>$M$41/($N$5*1000)</f>
        <v>0.18743798998980182</v>
      </c>
      <c r="O41" s="855">
        <f>($M$41/$N$6)/$N$5</f>
        <v>1.1714874374362616E-2</v>
      </c>
    </row>
    <row r="42" spans="2:15" x14ac:dyDescent="0.25">
      <c r="B42" s="865"/>
      <c r="C42" s="386" t="s">
        <v>272</v>
      </c>
      <c r="D42" s="384">
        <v>13909.09090909091</v>
      </c>
      <c r="E42" s="862" t="s">
        <v>271</v>
      </c>
      <c r="F42" s="384">
        <f>D42</f>
        <v>13909.09090909091</v>
      </c>
      <c r="G42" s="863" t="s">
        <v>271</v>
      </c>
      <c r="H42" s="379">
        <f>$H$8</f>
        <v>25</v>
      </c>
      <c r="I42" s="864"/>
      <c r="J42" s="379"/>
      <c r="K42" s="385"/>
      <c r="L42" s="385"/>
      <c r="M42" s="379">
        <f>$H$42*$F$42</f>
        <v>347727.27272727276</v>
      </c>
      <c r="N42" s="401">
        <f>$M$42/($N$5*1000)</f>
        <v>1.005972184656065E-2</v>
      </c>
      <c r="O42" s="855">
        <f>($M$42/$N$6)/$N$5</f>
        <v>6.2873261541004065E-4</v>
      </c>
    </row>
    <row r="43" spans="2:15" x14ac:dyDescent="0.25">
      <c r="B43" s="865"/>
      <c r="C43" s="386" t="s">
        <v>366</v>
      </c>
      <c r="D43" s="384">
        <f>[2]Chemical!$H$61</f>
        <v>27103.641456582631</v>
      </c>
      <c r="E43" s="862" t="s">
        <v>271</v>
      </c>
      <c r="F43" s="384">
        <f>D43</f>
        <v>27103.641456582631</v>
      </c>
      <c r="G43" s="863" t="s">
        <v>271</v>
      </c>
      <c r="H43" s="379">
        <f>$H$8</f>
        <v>25</v>
      </c>
      <c r="I43" s="864"/>
      <c r="J43" s="379"/>
      <c r="K43" s="385"/>
      <c r="L43" s="385"/>
      <c r="M43" s="379">
        <f>$H$43*$F$43</f>
        <v>677591.03641456575</v>
      </c>
      <c r="N43" s="401">
        <f>$M$43/($N$5*1000)</f>
        <v>1.960265382289832E-2</v>
      </c>
      <c r="O43" s="855">
        <f>($M$43/$N$6)/$N$5</f>
        <v>1.225165863931145E-3</v>
      </c>
    </row>
    <row r="44" spans="2:15" x14ac:dyDescent="0.25">
      <c r="B44" s="866"/>
      <c r="C44" s="386" t="s">
        <v>273</v>
      </c>
      <c r="D44" s="384">
        <f>lab!I111</f>
        <v>135770.30812324933</v>
      </c>
      <c r="E44" s="862" t="s">
        <v>271</v>
      </c>
      <c r="F44" s="384">
        <f>D44</f>
        <v>135770.30812324933</v>
      </c>
      <c r="G44" s="863" t="s">
        <v>271</v>
      </c>
      <c r="H44" s="379">
        <f>$H$8</f>
        <v>25</v>
      </c>
      <c r="I44" s="864"/>
      <c r="J44" s="379"/>
      <c r="K44" s="385"/>
      <c r="L44" s="385"/>
      <c r="M44" s="379">
        <f>$H$44*$F$44</f>
        <v>3394257.7030812334</v>
      </c>
      <c r="N44" s="401">
        <f>$M$44/($N$5*1000)</f>
        <v>9.8195600536986546E-2</v>
      </c>
      <c r="O44" s="855">
        <f>($M$44/$N$6)/$N$5</f>
        <v>6.13722503356166E-3</v>
      </c>
    </row>
    <row r="45" spans="2:15" x14ac:dyDescent="0.25">
      <c r="B45" s="857">
        <v>13</v>
      </c>
      <c r="C45" s="378" t="s">
        <v>274</v>
      </c>
      <c r="D45" s="379"/>
      <c r="E45" s="853"/>
      <c r="F45" s="374"/>
      <c r="G45" s="854"/>
      <c r="H45" s="379"/>
      <c r="I45" s="379"/>
      <c r="J45" s="379"/>
      <c r="K45" s="367"/>
      <c r="L45" s="367"/>
      <c r="M45" s="379"/>
      <c r="N45" s="401"/>
      <c r="O45" s="855"/>
    </row>
    <row r="46" spans="2:15" x14ac:dyDescent="0.25">
      <c r="B46" s="857"/>
      <c r="C46" s="368" t="s">
        <v>275</v>
      </c>
      <c r="D46" s="374">
        <v>15.4</v>
      </c>
      <c r="E46" s="854" t="s">
        <v>276</v>
      </c>
      <c r="F46" s="379">
        <f>D46</f>
        <v>15.4</v>
      </c>
      <c r="G46" s="854" t="s">
        <v>276</v>
      </c>
      <c r="H46" s="379">
        <f>$H$8</f>
        <v>25</v>
      </c>
      <c r="I46" s="379"/>
      <c r="J46" s="379">
        <f>$H$46*$F$46</f>
        <v>385</v>
      </c>
      <c r="K46" s="367">
        <v>14500</v>
      </c>
      <c r="L46" s="367"/>
      <c r="M46" s="379">
        <f>$J$46*$K$46</f>
        <v>5582500</v>
      </c>
      <c r="N46" s="401">
        <f>$M$46/($N$5*1000)</f>
        <v>0.16150127301769229</v>
      </c>
      <c r="O46" s="855">
        <f>($M$46/$N$6)/$N$5</f>
        <v>1.0093829563605768E-2</v>
      </c>
    </row>
    <row r="47" spans="2:15" ht="15.75" thickBot="1" x14ac:dyDescent="0.3">
      <c r="B47" s="867"/>
      <c r="C47" s="868" t="s">
        <v>277</v>
      </c>
      <c r="D47" s="869">
        <v>0</v>
      </c>
      <c r="E47" s="870" t="s">
        <v>276</v>
      </c>
      <c r="F47" s="871">
        <f>D47</f>
        <v>0</v>
      </c>
      <c r="G47" s="870" t="s">
        <v>276</v>
      </c>
      <c r="H47" s="871">
        <f>$H$8</f>
        <v>25</v>
      </c>
      <c r="I47" s="871"/>
      <c r="J47" s="871">
        <f>$H$47*$F$47</f>
        <v>0</v>
      </c>
      <c r="K47" s="872">
        <v>14500</v>
      </c>
      <c r="L47" s="872"/>
      <c r="M47" s="871">
        <f>$J$47*$K$47</f>
        <v>0</v>
      </c>
      <c r="N47" s="873">
        <f>$M$47/($N$5*1000)</f>
        <v>0</v>
      </c>
      <c r="O47" s="874">
        <f>($M$47/$N$6)/$N$5</f>
        <v>0</v>
      </c>
    </row>
    <row r="48" spans="2:15" ht="21.6" customHeight="1" thickBot="1" x14ac:dyDescent="0.3">
      <c r="B48" s="404"/>
      <c r="C48" s="387"/>
      <c r="D48" s="388"/>
      <c r="E48" s="388"/>
      <c r="F48" s="389"/>
      <c r="G48" s="389"/>
      <c r="H48" s="389"/>
      <c r="I48" s="389"/>
      <c r="J48" s="389"/>
      <c r="K48" s="388"/>
      <c r="L48" s="388"/>
      <c r="M48" s="875">
        <f>SUM($M$8:$M$47)</f>
        <v>11410142234.677523</v>
      </c>
      <c r="N48" s="876">
        <f>SUM($N$8:$N$47)</f>
        <v>330.09449103687541</v>
      </c>
      <c r="O48" s="876">
        <f>SUM($O$8:$O$47)</f>
        <v>20.630905689804713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E14" sqref="E14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29" t="s">
        <v>278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30" t="s">
        <v>279</v>
      </c>
      <c r="C3" s="831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77" t="s">
        <v>379</v>
      </c>
      <c r="O3" s="878">
        <f>'JULI 2025'!AM24/1000</f>
        <v>1270.53424</v>
      </c>
    </row>
    <row r="4" spans="2:15" x14ac:dyDescent="0.25">
      <c r="B4" s="834" t="s">
        <v>281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3" t="s">
        <v>228</v>
      </c>
      <c r="O4" s="879">
        <f>'JULI 2025'!AM23</f>
        <v>25</v>
      </c>
    </row>
    <row r="5" spans="2:15" x14ac:dyDescent="0.25">
      <c r="B5" s="836" t="s">
        <v>230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3" t="s">
        <v>280</v>
      </c>
      <c r="O5" s="879">
        <f>O3*O4</f>
        <v>31763.356</v>
      </c>
    </row>
    <row r="6" spans="2:15" ht="15.75" thickBot="1" x14ac:dyDescent="0.3">
      <c r="B6" s="837" t="s">
        <v>231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880" t="s">
        <v>232</v>
      </c>
      <c r="O6" s="1183">
        <v>16000</v>
      </c>
    </row>
    <row r="7" spans="2:15" ht="15.75" thickBot="1" x14ac:dyDescent="0.3">
      <c r="B7" s="839" t="s">
        <v>99</v>
      </c>
      <c r="C7" s="840" t="s">
        <v>218</v>
      </c>
      <c r="D7" s="2313" t="s">
        <v>219</v>
      </c>
      <c r="E7" s="2313"/>
      <c r="F7" s="2314" t="s">
        <v>220</v>
      </c>
      <c r="G7" s="2314"/>
      <c r="H7" s="2315" t="s">
        <v>221</v>
      </c>
      <c r="I7" s="2316"/>
      <c r="J7" s="842" t="s">
        <v>222</v>
      </c>
      <c r="K7" s="2317" t="s">
        <v>223</v>
      </c>
      <c r="L7" s="2318"/>
      <c r="M7" s="841" t="s">
        <v>224</v>
      </c>
      <c r="N7" s="841" t="s">
        <v>225</v>
      </c>
      <c r="O7" s="843" t="s">
        <v>226</v>
      </c>
    </row>
    <row r="8" spans="2:15" ht="15.75" thickTop="1" x14ac:dyDescent="0.25">
      <c r="B8" s="858">
        <v>1</v>
      </c>
      <c r="C8" s="395" t="s">
        <v>133</v>
      </c>
      <c r="D8" s="396">
        <f>'JULI 2025'!AM254</f>
        <v>32.953602257897437</v>
      </c>
      <c r="E8" s="397" t="s">
        <v>245</v>
      </c>
      <c r="F8" s="398">
        <f>$D$8*$O$3/1000</f>
        <v>41.868679999999998</v>
      </c>
      <c r="G8" s="398" t="s">
        <v>246</v>
      </c>
      <c r="H8" s="398">
        <f>$O$4</f>
        <v>25</v>
      </c>
      <c r="I8" s="398"/>
      <c r="J8" s="398">
        <f>$H$8*$F$8</f>
        <v>1046.7169999999999</v>
      </c>
      <c r="K8" s="399">
        <f>Steam!H15</f>
        <v>58707.904886775686</v>
      </c>
      <c r="L8" s="399"/>
      <c r="M8" s="398">
        <f>$K$8*$J$8</f>
        <v>61450562.079371177</v>
      </c>
      <c r="N8" s="400">
        <f>$M$8/($O$5*1000)</f>
        <v>1.9346369470332787</v>
      </c>
      <c r="O8" s="881">
        <f>($M$8/$O$6)/$O$5</f>
        <v>0.12091480918957993</v>
      </c>
    </row>
    <row r="9" spans="2:15" x14ac:dyDescent="0.25">
      <c r="B9" s="856">
        <v>2</v>
      </c>
      <c r="C9" s="378" t="s">
        <v>282</v>
      </c>
      <c r="D9" s="373"/>
      <c r="E9" s="370"/>
      <c r="F9" s="379"/>
      <c r="G9" s="379"/>
      <c r="H9" s="379"/>
      <c r="I9" s="379"/>
      <c r="J9" s="379"/>
      <c r="K9" s="367"/>
      <c r="L9" s="367"/>
      <c r="M9" s="379"/>
      <c r="N9" s="401"/>
      <c r="O9" s="855"/>
    </row>
    <row r="10" spans="2:15" x14ac:dyDescent="0.25">
      <c r="B10" s="857"/>
      <c r="C10" s="368" t="s">
        <v>244</v>
      </c>
      <c r="D10" s="372">
        <f>'JULI 2025'!$AM$282</f>
        <v>14.325008847021115</v>
      </c>
      <c r="E10" s="370" t="s">
        <v>248</v>
      </c>
      <c r="F10" s="379">
        <f>$D$10*$O$3</f>
        <v>18200.414228443249</v>
      </c>
      <c r="G10" s="379" t="s">
        <v>249</v>
      </c>
      <c r="H10" s="379">
        <f>$O$4</f>
        <v>25</v>
      </c>
      <c r="I10" s="379">
        <v>0</v>
      </c>
      <c r="J10" s="379">
        <f>$H$10*$F$10</f>
        <v>455010.35571108124</v>
      </c>
      <c r="K10" s="367">
        <f>[2]Electric!$L$5</f>
        <v>1550</v>
      </c>
      <c r="L10" s="367">
        <v>3666.6666666666665</v>
      </c>
      <c r="M10" s="379">
        <f>($F$10*$H$10*$K$10)+($F$10*$I$10*$L$10)</f>
        <v>705266051.35217595</v>
      </c>
      <c r="N10" s="400">
        <f>$M$10/($O$5*1000)</f>
        <v>22.203763712882729</v>
      </c>
      <c r="O10" s="881">
        <f>($M$10/$O$6)/$O$5</f>
        <v>1.3877352320551708</v>
      </c>
    </row>
    <row r="11" spans="2:15" x14ac:dyDescent="0.25">
      <c r="B11" s="858"/>
      <c r="C11" s="368" t="s">
        <v>250</v>
      </c>
      <c r="D11" s="372">
        <f>'JULI 2025'!$AM$280</f>
        <v>25.631501829359241</v>
      </c>
      <c r="E11" s="370" t="s">
        <v>248</v>
      </c>
      <c r="F11" s="379">
        <f>$D$11*$O$3</f>
        <v>32565.700696823551</v>
      </c>
      <c r="G11" s="379" t="s">
        <v>249</v>
      </c>
      <c r="H11" s="379">
        <f>$H$10</f>
        <v>25</v>
      </c>
      <c r="I11" s="379">
        <v>0</v>
      </c>
      <c r="J11" s="379">
        <f>$H$11*$F$11</f>
        <v>814142.51742058876</v>
      </c>
      <c r="K11" s="367">
        <f>$K$10</f>
        <v>1550</v>
      </c>
      <c r="L11" s="367">
        <v>3666.6666666666665</v>
      </c>
      <c r="M11" s="379">
        <f>($F$11*$H$11*$K$11)+($F$11*$I$11*$L$11)</f>
        <v>1261920902.0019126</v>
      </c>
      <c r="N11" s="400">
        <f>$M$11/($O$5*1000)</f>
        <v>39.72882783550682</v>
      </c>
      <c r="O11" s="881">
        <f>($M$11/$O$6)/$O$5</f>
        <v>2.4830517397191767</v>
      </c>
    </row>
    <row r="12" spans="2:15" x14ac:dyDescent="0.25">
      <c r="B12" s="857">
        <v>3</v>
      </c>
      <c r="C12" s="366" t="s">
        <v>252</v>
      </c>
      <c r="D12" s="372"/>
      <c r="E12" s="370"/>
      <c r="F12" s="379"/>
      <c r="G12" s="379"/>
      <c r="H12" s="379"/>
      <c r="I12" s="379"/>
      <c r="J12" s="379"/>
      <c r="K12" s="367"/>
      <c r="L12" s="367"/>
      <c r="M12" s="379"/>
      <c r="N12" s="401"/>
      <c r="O12" s="855"/>
    </row>
    <row r="13" spans="2:15" x14ac:dyDescent="0.25">
      <c r="B13" s="857"/>
      <c r="C13" s="368" t="s">
        <v>253</v>
      </c>
      <c r="D13" s="369">
        <f>'JULI 2025'!$AM$264</f>
        <v>6.4413848461100907</v>
      </c>
      <c r="E13" s="370" t="s">
        <v>254</v>
      </c>
      <c r="F13" s="379">
        <f>$D$13</f>
        <v>6.4413848461100907</v>
      </c>
      <c r="G13" s="379" t="s">
        <v>254</v>
      </c>
      <c r="H13" s="379">
        <f>$H$11</f>
        <v>25</v>
      </c>
      <c r="I13" s="379"/>
      <c r="J13" s="379">
        <f>$H$13*$F$13</f>
        <v>161.03462115275227</v>
      </c>
      <c r="K13" s="367">
        <f>WTP!H13</f>
        <v>9401.4761481406222</v>
      </c>
      <c r="L13" s="367"/>
      <c r="M13" s="398">
        <f>$K$13*$J$13</f>
        <v>1513963.1497924617</v>
      </c>
      <c r="N13" s="400">
        <f>$M$13/($O$5*1000)</f>
        <v>4.7663828400011057E-2</v>
      </c>
      <c r="O13" s="881">
        <f>($M$13/$O$6)/$O$5</f>
        <v>2.9789892750006915E-3</v>
      </c>
    </row>
    <row r="14" spans="2:15" x14ac:dyDescent="0.25">
      <c r="B14" s="856">
        <v>4</v>
      </c>
      <c r="C14" s="366" t="s">
        <v>255</v>
      </c>
      <c r="D14" s="379"/>
      <c r="E14" s="370"/>
      <c r="F14" s="379"/>
      <c r="G14" s="379"/>
      <c r="H14" s="379"/>
      <c r="I14" s="379"/>
      <c r="J14" s="379"/>
      <c r="K14" s="367"/>
      <c r="L14" s="367"/>
      <c r="M14" s="379"/>
      <c r="N14" s="401"/>
      <c r="O14" s="855"/>
    </row>
    <row r="15" spans="2:15" x14ac:dyDescent="0.25">
      <c r="B15" s="857"/>
      <c r="C15" s="368" t="s">
        <v>256</v>
      </c>
      <c r="D15" s="374">
        <v>0.4</v>
      </c>
      <c r="E15" s="370" t="s">
        <v>234</v>
      </c>
      <c r="F15" s="374">
        <f>$D$15</f>
        <v>0.4</v>
      </c>
      <c r="G15" s="379" t="s">
        <v>234</v>
      </c>
      <c r="H15" s="379">
        <f>$H$13</f>
        <v>25</v>
      </c>
      <c r="I15" s="379"/>
      <c r="J15" s="379">
        <f>$H$15*$F$15</f>
        <v>10</v>
      </c>
      <c r="K15" s="367">
        <v>27240</v>
      </c>
      <c r="L15" s="367"/>
      <c r="M15" s="398">
        <f>$K$15*$J$15</f>
        <v>272400</v>
      </c>
      <c r="N15" s="400">
        <f>$M$15/($O$5*1000)</f>
        <v>8.5759200003929052E-3</v>
      </c>
      <c r="O15" s="881">
        <f>($M$15/$O$6)/$O$5</f>
        <v>5.3599500002455658E-4</v>
      </c>
    </row>
    <row r="16" spans="2:15" x14ac:dyDescent="0.25">
      <c r="B16" s="857"/>
      <c r="C16" s="368" t="s">
        <v>257</v>
      </c>
      <c r="D16" s="374">
        <v>0.66</v>
      </c>
      <c r="E16" s="370" t="s">
        <v>234</v>
      </c>
      <c r="F16" s="374">
        <f>$D$16</f>
        <v>0.66</v>
      </c>
      <c r="G16" s="379" t="s">
        <v>234</v>
      </c>
      <c r="H16" s="379">
        <f>$H$15</f>
        <v>25</v>
      </c>
      <c r="I16" s="379"/>
      <c r="J16" s="379">
        <f>$H$16*$F$16</f>
        <v>16.5</v>
      </c>
      <c r="K16" s="367">
        <v>29120</v>
      </c>
      <c r="L16" s="367"/>
      <c r="M16" s="398">
        <f>$K$16*$J$16</f>
        <v>480480</v>
      </c>
      <c r="N16" s="400">
        <f>$M$16/($O$5*1000)</f>
        <v>1.512686505796176E-2</v>
      </c>
      <c r="O16" s="881">
        <f>($M$16/$O$6)/$O$5</f>
        <v>9.4542906612261001E-4</v>
      </c>
    </row>
    <row r="17" spans="2:15" x14ac:dyDescent="0.25">
      <c r="B17" s="857"/>
      <c r="C17" s="368" t="s">
        <v>258</v>
      </c>
      <c r="D17" s="374">
        <v>0.41</v>
      </c>
      <c r="E17" s="370" t="s">
        <v>234</v>
      </c>
      <c r="F17" s="374">
        <f>$D$17</f>
        <v>0.41</v>
      </c>
      <c r="G17" s="379" t="s">
        <v>234</v>
      </c>
      <c r="H17" s="379">
        <f>$H$15</f>
        <v>25</v>
      </c>
      <c r="I17" s="379"/>
      <c r="J17" s="379">
        <f>$H$17*$F$17</f>
        <v>10.25</v>
      </c>
      <c r="K17" s="367">
        <v>117212</v>
      </c>
      <c r="L17" s="367"/>
      <c r="M17" s="398">
        <f>$K$17*$J$17</f>
        <v>1201423</v>
      </c>
      <c r="N17" s="400">
        <f>$M$17/($O$5*1000)</f>
        <v>3.7824183313627184E-2</v>
      </c>
      <c r="O17" s="881">
        <f>($M$17/$O$6)/$O$5</f>
        <v>2.3640114571016994E-3</v>
      </c>
    </row>
    <row r="18" spans="2:15" x14ac:dyDescent="0.25">
      <c r="B18" s="857"/>
      <c r="C18" s="375" t="s">
        <v>259</v>
      </c>
      <c r="D18" s="374">
        <v>0.1</v>
      </c>
      <c r="E18" s="370" t="s">
        <v>234</v>
      </c>
      <c r="F18" s="374">
        <f>$D$18</f>
        <v>0.1</v>
      </c>
      <c r="G18" s="379" t="s">
        <v>234</v>
      </c>
      <c r="H18" s="379">
        <f>$H$16</f>
        <v>25</v>
      </c>
      <c r="I18" s="379"/>
      <c r="J18" s="379">
        <f>$H$18*$F$18</f>
        <v>2.5</v>
      </c>
      <c r="K18" s="367">
        <v>45940</v>
      </c>
      <c r="L18" s="367"/>
      <c r="M18" s="398">
        <f>$K$18*$J$18</f>
        <v>114850</v>
      </c>
      <c r="N18" s="400">
        <f>$M$18/($O$5*1000)</f>
        <v>3.6158018063330586E-3</v>
      </c>
      <c r="O18" s="881">
        <f>($M$18/$O$6)/$O$5</f>
        <v>2.2598761289581616E-4</v>
      </c>
    </row>
    <row r="19" spans="2:15" x14ac:dyDescent="0.25">
      <c r="B19" s="856">
        <v>5</v>
      </c>
      <c r="C19" s="402" t="s">
        <v>7</v>
      </c>
      <c r="D19" s="379"/>
      <c r="E19" s="370"/>
      <c r="F19" s="379"/>
      <c r="G19" s="379"/>
      <c r="H19" s="379"/>
      <c r="I19" s="379"/>
      <c r="J19" s="379"/>
      <c r="K19" s="367"/>
      <c r="L19" s="367"/>
      <c r="M19" s="379"/>
      <c r="N19" s="401"/>
      <c r="O19" s="855"/>
    </row>
    <row r="20" spans="2:15" x14ac:dyDescent="0.25">
      <c r="B20" s="857"/>
      <c r="C20" s="403" t="s">
        <v>283</v>
      </c>
      <c r="D20" s="374">
        <v>0.33333333333333331</v>
      </c>
      <c r="E20" s="370" t="s">
        <v>261</v>
      </c>
      <c r="F20" s="374">
        <f>$D$20</f>
        <v>0.33333333333333331</v>
      </c>
      <c r="G20" s="379" t="s">
        <v>261</v>
      </c>
      <c r="H20" s="379">
        <f>$H$18</f>
        <v>25</v>
      </c>
      <c r="I20" s="379"/>
      <c r="J20" s="379">
        <f>$H$20*$F$20</f>
        <v>8.3333333333333321</v>
      </c>
      <c r="K20" s="367">
        <v>895000</v>
      </c>
      <c r="L20" s="367"/>
      <c r="M20" s="398">
        <f>$K$20*$J$20</f>
        <v>7458333.3333333321</v>
      </c>
      <c r="N20" s="400">
        <f>$M$20/($O$5*1000)</f>
        <v>0.23480936124423793</v>
      </c>
      <c r="O20" s="881">
        <f>($M$20/$O$6)/$O$5</f>
        <v>1.4675585077764871E-2</v>
      </c>
    </row>
    <row r="21" spans="2:15" ht="15.75" thickBot="1" x14ac:dyDescent="0.3">
      <c r="B21" s="867"/>
      <c r="C21" s="882" t="s">
        <v>262</v>
      </c>
      <c r="D21" s="869">
        <v>0.63253012048192769</v>
      </c>
      <c r="E21" s="883" t="s">
        <v>261</v>
      </c>
      <c r="F21" s="869">
        <f>$D$21</f>
        <v>0.63253012048192769</v>
      </c>
      <c r="G21" s="871" t="s">
        <v>261</v>
      </c>
      <c r="H21" s="871">
        <f>$H$20</f>
        <v>25</v>
      </c>
      <c r="I21" s="871"/>
      <c r="J21" s="871">
        <f>$H$21*$F$21</f>
        <v>15.813253012048193</v>
      </c>
      <c r="K21" s="872">
        <v>125000</v>
      </c>
      <c r="L21" s="872"/>
      <c r="M21" s="884">
        <f>$K$21*$J$21</f>
        <v>1976656.626506024</v>
      </c>
      <c r="N21" s="885">
        <f>$M$21/($O$5*1000)</f>
        <v>6.2230723557864104E-2</v>
      </c>
      <c r="O21" s="886">
        <f>($M$21/$O$6)/$O$5</f>
        <v>3.8894202223665061E-3</v>
      </c>
    </row>
    <row r="22" spans="2:15" ht="15.75" thickBot="1" x14ac:dyDescent="0.3">
      <c r="B22" s="404"/>
      <c r="C22" s="387"/>
      <c r="D22" s="388"/>
      <c r="E22" s="388"/>
      <c r="F22" s="389"/>
      <c r="G22" s="389"/>
      <c r="H22" s="389"/>
      <c r="I22" s="389"/>
      <c r="M22" s="875">
        <f>SUM(M8:M21)</f>
        <v>2041655621.5430915</v>
      </c>
      <c r="N22" s="876">
        <f>SUM(N8:N21)</f>
        <v>64.277075178803258</v>
      </c>
      <c r="O22" s="876">
        <f>SUM($O$8:$O$21)</f>
        <v>4.0173171986752036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="80" zoomScaleNormal="80" workbookViewId="0">
      <selection activeCell="N26" sqref="N26"/>
    </sheetView>
  </sheetViews>
  <sheetFormatPr defaultColWidth="8.5703125" defaultRowHeight="15" x14ac:dyDescent="0.25"/>
  <cols>
    <col min="1" max="1" width="8.42578125" style="343" customWidth="1"/>
    <col min="2" max="2" width="5.42578125" style="343" customWidth="1"/>
    <col min="3" max="3" width="24.42578125" style="343" customWidth="1"/>
    <col min="4" max="4" width="5.42578125" style="343" customWidth="1"/>
    <col min="5" max="5" width="46.5703125" style="343" customWidth="1"/>
    <col min="6" max="6" width="5.42578125" style="343" customWidth="1"/>
    <col min="7" max="7" width="18.42578125" style="343" customWidth="1"/>
    <col min="8" max="8" width="10.5703125" style="343" customWidth="1"/>
    <col min="9" max="9" width="13" style="343" customWidth="1"/>
    <col min="10" max="10" width="3.5703125" style="343" customWidth="1"/>
    <col min="11" max="12" width="8.5703125" style="343"/>
    <col min="13" max="13" width="20.42578125" style="343" customWidth="1"/>
    <col min="14" max="16384" width="8.5703125" style="343"/>
  </cols>
  <sheetData>
    <row r="2" spans="2:13" ht="19.5" thickBot="1" x14ac:dyDescent="0.3">
      <c r="B2" s="829" t="s">
        <v>1068</v>
      </c>
    </row>
    <row r="3" spans="2:13" x14ac:dyDescent="0.25">
      <c r="B3" s="887" t="s">
        <v>227</v>
      </c>
      <c r="C3" s="888"/>
      <c r="D3" s="888"/>
      <c r="E3" s="888"/>
      <c r="F3" s="888"/>
      <c r="G3" s="889"/>
      <c r="H3" s="890" t="s">
        <v>379</v>
      </c>
      <c r="I3" s="891">
        <f>'HPP REF '!$N$3</f>
        <v>1382.6516399999998</v>
      </c>
    </row>
    <row r="4" spans="2:13" x14ac:dyDescent="0.25">
      <c r="B4" s="892" t="s">
        <v>229</v>
      </c>
      <c r="C4" s="893"/>
      <c r="D4" s="893"/>
      <c r="E4" s="893"/>
      <c r="F4" s="963">
        <v>1</v>
      </c>
      <c r="G4" s="964"/>
      <c r="H4" s="894" t="s">
        <v>228</v>
      </c>
      <c r="I4" s="895">
        <f>'HPP REF '!$N$4</f>
        <v>25</v>
      </c>
    </row>
    <row r="5" spans="2:13" ht="15.75" thickBot="1" x14ac:dyDescent="0.3">
      <c r="B5" s="965" t="s">
        <v>551</v>
      </c>
      <c r="C5" s="966"/>
      <c r="D5" s="966"/>
      <c r="E5" s="966"/>
      <c r="F5" s="966"/>
      <c r="G5" s="898"/>
      <c r="H5" s="967" t="s">
        <v>280</v>
      </c>
      <c r="I5" s="900">
        <f>$I$4*$I$3</f>
        <v>34566.290999999997</v>
      </c>
    </row>
    <row r="6" spans="2:13" x14ac:dyDescent="0.25">
      <c r="B6" s="887" t="s">
        <v>380</v>
      </c>
      <c r="C6" s="888"/>
      <c r="D6" s="888"/>
      <c r="E6" s="888"/>
      <c r="F6" s="888"/>
      <c r="G6" s="968"/>
      <c r="H6" s="890" t="s">
        <v>379</v>
      </c>
      <c r="I6" s="891">
        <f>'HPP FRACT'!$O$3</f>
        <v>1270.53424</v>
      </c>
    </row>
    <row r="7" spans="2:13" x14ac:dyDescent="0.25">
      <c r="B7" s="892" t="s">
        <v>229</v>
      </c>
      <c r="C7" s="893"/>
      <c r="D7" s="893"/>
      <c r="E7" s="893"/>
      <c r="F7" s="893"/>
      <c r="G7" s="964"/>
      <c r="H7" s="894" t="s">
        <v>228</v>
      </c>
      <c r="I7" s="895">
        <f>'HPP FRACT'!$O$4</f>
        <v>25</v>
      </c>
    </row>
    <row r="8" spans="2:13" ht="15.75" thickBot="1" x14ac:dyDescent="0.3">
      <c r="B8" s="965" t="s">
        <v>552</v>
      </c>
      <c r="C8" s="966"/>
      <c r="D8" s="966"/>
      <c r="E8" s="966"/>
      <c r="F8" s="966"/>
      <c r="G8" s="898"/>
      <c r="H8" s="967" t="s">
        <v>280</v>
      </c>
      <c r="I8" s="900">
        <f>$I$7*$I$6</f>
        <v>31763.356</v>
      </c>
    </row>
    <row r="9" spans="2:13" ht="15.75" thickBot="1" x14ac:dyDescent="0.3">
      <c r="B9" s="896" t="s">
        <v>231</v>
      </c>
      <c r="C9" s="897"/>
      <c r="D9" s="897"/>
      <c r="E9" s="897"/>
      <c r="F9" s="897"/>
      <c r="G9" s="898"/>
      <c r="H9" s="899" t="s">
        <v>232</v>
      </c>
      <c r="I9" s="1181">
        <v>16000</v>
      </c>
    </row>
    <row r="10" spans="2:13" ht="15.75" thickBot="1" x14ac:dyDescent="0.3">
      <c r="B10" s="901" t="s">
        <v>99</v>
      </c>
      <c r="C10" s="902" t="s">
        <v>284</v>
      </c>
      <c r="D10" s="2319" t="s">
        <v>285</v>
      </c>
      <c r="E10" s="2320"/>
      <c r="F10" s="2321"/>
      <c r="G10" s="903" t="s">
        <v>367</v>
      </c>
      <c r="H10" s="901" t="s">
        <v>286</v>
      </c>
      <c r="I10" s="903" t="s">
        <v>226</v>
      </c>
    </row>
    <row r="11" spans="2:13" ht="15.75" thickTop="1" x14ac:dyDescent="0.25">
      <c r="B11" s="904" t="s">
        <v>287</v>
      </c>
      <c r="C11" s="905" t="s">
        <v>368</v>
      </c>
      <c r="D11" s="906" t="s">
        <v>369</v>
      </c>
      <c r="E11" s="905" t="s">
        <v>288</v>
      </c>
      <c r="F11" s="907"/>
      <c r="G11" s="908">
        <f>'HPP REF '!$M$48</f>
        <v>11410142234.677523</v>
      </c>
      <c r="H11" s="909">
        <f>$G$11/($I$5*1000)</f>
        <v>330.0944910368753</v>
      </c>
      <c r="I11" s="910">
        <f>(G11/$I$9)/$I$5</f>
        <v>20.630905689804706</v>
      </c>
      <c r="M11" s="911"/>
    </row>
    <row r="12" spans="2:13" x14ac:dyDescent="0.25">
      <c r="B12" s="912"/>
      <c r="D12" s="913" t="s">
        <v>369</v>
      </c>
      <c r="E12" s="914" t="s">
        <v>278</v>
      </c>
      <c r="F12" s="915"/>
      <c r="G12" s="407">
        <f>'HPP FRACT'!$M$22</f>
        <v>2041655621.5430915</v>
      </c>
      <c r="H12" s="408">
        <f>$G$12/($I$8*1000)</f>
        <v>64.277075178803258</v>
      </c>
      <c r="I12" s="916">
        <f>(G12/$I$9)/$I$8</f>
        <v>4.0173171986752036</v>
      </c>
      <c r="M12" s="911"/>
    </row>
    <row r="13" spans="2:13" x14ac:dyDescent="0.25">
      <c r="B13" s="912"/>
      <c r="D13" s="913" t="s">
        <v>369</v>
      </c>
      <c r="E13" s="914" t="s">
        <v>289</v>
      </c>
      <c r="F13" s="917">
        <v>0</v>
      </c>
      <c r="G13" s="407">
        <f>MTC!$F$18*F13</f>
        <v>0</v>
      </c>
      <c r="H13" s="408">
        <f>$G$13/($I$5*1000)</f>
        <v>0</v>
      </c>
      <c r="I13" s="918">
        <f>(G13/$I$9)/$I$5</f>
        <v>0</v>
      </c>
      <c r="M13" s="911"/>
    </row>
    <row r="14" spans="2:13" x14ac:dyDescent="0.25">
      <c r="B14" s="912"/>
      <c r="D14" s="913"/>
      <c r="E14" s="914"/>
      <c r="F14" s="917"/>
      <c r="G14" s="919">
        <f>SUM(G11:$G$13)</f>
        <v>13451797856.220613</v>
      </c>
      <c r="H14" s="409">
        <f>SUM($H$11:$H$13)</f>
        <v>394.37156621567857</v>
      </c>
      <c r="I14" s="920">
        <f>SUM(I11:I13)</f>
        <v>24.648222888479911</v>
      </c>
      <c r="K14" s="932"/>
      <c r="M14" s="911"/>
    </row>
    <row r="15" spans="2:13" x14ac:dyDescent="0.25">
      <c r="B15" s="921"/>
      <c r="C15" s="922"/>
      <c r="D15" s="923"/>
      <c r="E15" s="924"/>
      <c r="F15" s="925"/>
      <c r="G15" s="926"/>
      <c r="H15" s="927"/>
      <c r="I15" s="928"/>
      <c r="M15" s="911"/>
    </row>
    <row r="16" spans="2:13" x14ac:dyDescent="0.25">
      <c r="B16" s="912" t="s">
        <v>290</v>
      </c>
      <c r="C16" s="343" t="s">
        <v>370</v>
      </c>
      <c r="D16" s="913" t="s">
        <v>369</v>
      </c>
      <c r="E16" s="929" t="s">
        <v>371</v>
      </c>
      <c r="F16" s="917"/>
      <c r="G16" s="407">
        <f>LOG!I8+LOG!I9+LOG!$I$10</f>
        <v>3588810596.7840004</v>
      </c>
      <c r="H16" s="408">
        <f>$G$16/($I$5*1000)</f>
        <v>103.82400000000001</v>
      </c>
      <c r="I16" s="916">
        <f>($G$16/$I$9)/$I$5</f>
        <v>6.4890000000000008</v>
      </c>
      <c r="M16" s="930"/>
    </row>
    <row r="17" spans="2:13" x14ac:dyDescent="0.25">
      <c r="B17" s="912"/>
      <c r="D17" s="913" t="s">
        <v>369</v>
      </c>
      <c r="E17" s="931" t="s">
        <v>372</v>
      </c>
      <c r="F17" s="917">
        <f>F4</f>
        <v>1</v>
      </c>
      <c r="G17" s="407">
        <f>LOG!I11+LOG!I12+LOG!I13+LOG!$I$14*F17</f>
        <v>1886000000</v>
      </c>
      <c r="H17" s="408">
        <f>$G$17/($I$5*1000)</f>
        <v>54.561827301633258</v>
      </c>
      <c r="I17" s="916">
        <f>($G$17/$I$9)/$I$5</f>
        <v>3.4101142063520791</v>
      </c>
      <c r="M17" s="930"/>
    </row>
    <row r="18" spans="2:13" x14ac:dyDescent="0.25">
      <c r="B18" s="912"/>
      <c r="D18" s="913" t="s">
        <v>369</v>
      </c>
      <c r="E18" s="914" t="s">
        <v>373</v>
      </c>
      <c r="F18" s="917"/>
      <c r="G18" s="407">
        <f>LOG!I18+LOG!I19+LOG!I20+LOG!$I$21</f>
        <v>1851647076.2880001</v>
      </c>
      <c r="H18" s="408">
        <f>$G$18/($I$5*1000)</f>
        <v>53.568000000000005</v>
      </c>
      <c r="I18" s="916">
        <f>($G$18/$I$9)/$I$5</f>
        <v>3.3480000000000008</v>
      </c>
      <c r="M18" s="930"/>
    </row>
    <row r="19" spans="2:13" x14ac:dyDescent="0.25">
      <c r="B19" s="912"/>
      <c r="D19" s="913" t="s">
        <v>369</v>
      </c>
      <c r="E19" s="914" t="s">
        <v>374</v>
      </c>
      <c r="F19" s="917"/>
      <c r="G19" s="407">
        <f>LOG!I15+LOG!I16+LOG!$I$17</f>
        <v>1474459708.8959999</v>
      </c>
      <c r="H19" s="408">
        <f>$G$19/($I$5*1000)</f>
        <v>42.655999999999999</v>
      </c>
      <c r="I19" s="916">
        <f>($G$19/$I$9)/$I$5</f>
        <v>2.6659999999999999</v>
      </c>
      <c r="M19" s="930"/>
    </row>
    <row r="20" spans="2:13" x14ac:dyDescent="0.25">
      <c r="B20" s="912"/>
      <c r="D20" s="406"/>
      <c r="E20" s="914"/>
      <c r="F20" s="915"/>
      <c r="G20" s="919">
        <f>SUM($G$16:$G$19)</f>
        <v>8800917381.9680004</v>
      </c>
      <c r="H20" s="409">
        <f>SUM($H$16:$H$19)</f>
        <v>254.60982730163329</v>
      </c>
      <c r="I20" s="409">
        <f>SUM($I$16:$I$19)</f>
        <v>15.913114206352081</v>
      </c>
      <c r="K20" s="932"/>
      <c r="M20" s="930"/>
    </row>
    <row r="21" spans="2:13" x14ac:dyDescent="0.25">
      <c r="B21" s="921"/>
      <c r="C21" s="922"/>
      <c r="D21" s="933"/>
      <c r="E21" s="924"/>
      <c r="F21" s="934"/>
      <c r="G21" s="922"/>
      <c r="H21" s="935"/>
      <c r="I21" s="936"/>
      <c r="M21" s="930"/>
    </row>
    <row r="22" spans="2:13" x14ac:dyDescent="0.25">
      <c r="B22" s="937" t="s">
        <v>290</v>
      </c>
      <c r="C22" s="938" t="s">
        <v>291</v>
      </c>
      <c r="D22" s="939" t="s">
        <v>369</v>
      </c>
      <c r="E22" s="938" t="s">
        <v>292</v>
      </c>
      <c r="F22" s="940">
        <f>F4</f>
        <v>1</v>
      </c>
      <c r="G22" s="941">
        <f>[2]MPC!$H$29*$F$22</f>
        <v>2184665532.2092161</v>
      </c>
      <c r="H22" s="408">
        <f>$G$22/($I$5*1000)</f>
        <v>63.202196967248121</v>
      </c>
      <c r="I22" s="916">
        <f>($G$22/$I$9)/$I$5</f>
        <v>3.950137310453008</v>
      </c>
      <c r="M22" s="911"/>
    </row>
    <row r="23" spans="2:13" x14ac:dyDescent="0.25">
      <c r="B23" s="912"/>
      <c r="D23" s="913" t="s">
        <v>369</v>
      </c>
      <c r="E23" s="914" t="s">
        <v>293</v>
      </c>
      <c r="F23" s="917">
        <f>F4</f>
        <v>1</v>
      </c>
      <c r="G23" s="407">
        <f>OH!G51*$F$23</f>
        <v>1436056392.483475</v>
      </c>
      <c r="H23" s="408">
        <f>$G$23/($I$5*1000)</f>
        <v>41.544995165477111</v>
      </c>
      <c r="I23" s="916">
        <f>($G$23/$I$9)/$I$5</f>
        <v>2.5965621978423195</v>
      </c>
      <c r="M23" s="911"/>
    </row>
    <row r="24" spans="2:13" x14ac:dyDescent="0.25">
      <c r="B24" s="912"/>
      <c r="D24" s="913" t="s">
        <v>369</v>
      </c>
      <c r="E24" s="914" t="s">
        <v>294</v>
      </c>
      <c r="F24" s="917">
        <f>F4</f>
        <v>1</v>
      </c>
      <c r="G24" s="407">
        <f>DEP!I9*$F$24</f>
        <v>4181184787.4775009</v>
      </c>
      <c r="H24" s="408">
        <f>$G$24/($I$5*1000)</f>
        <v>120.96133737569649</v>
      </c>
      <c r="I24" s="916">
        <f>($G$24/$I$9)/$I$5</f>
        <v>7.5600835859810305</v>
      </c>
      <c r="M24" s="911"/>
    </row>
    <row r="25" spans="2:13" x14ac:dyDescent="0.25">
      <c r="B25" s="912"/>
      <c r="D25" s="913" t="s">
        <v>369</v>
      </c>
      <c r="E25" s="914" t="s">
        <v>295</v>
      </c>
      <c r="F25" s="917">
        <f>F4</f>
        <v>1</v>
      </c>
      <c r="G25" s="407">
        <f>AMOR!$G$20*$F$25</f>
        <v>1048409804.9999995</v>
      </c>
      <c r="H25" s="408">
        <f>$G$25/($I$5*1000)</f>
        <v>30.330410775052478</v>
      </c>
      <c r="I25" s="916">
        <f>($G$25/$I$9)/$I$5</f>
        <v>1.8956506734407799</v>
      </c>
      <c r="M25" s="911"/>
    </row>
    <row r="26" spans="2:13" x14ac:dyDescent="0.25">
      <c r="B26" s="912"/>
      <c r="D26" s="406"/>
      <c r="E26" s="914"/>
      <c r="F26" s="915"/>
      <c r="G26" s="919">
        <f>SUM($G$22:$G$25)</f>
        <v>8850316517.1701908</v>
      </c>
      <c r="H26" s="409">
        <f>SUM($H$22:$H$25)</f>
        <v>256.03894028347418</v>
      </c>
      <c r="I26" s="920">
        <f>SUM($I$22:$I$25)</f>
        <v>16.00243376771714</v>
      </c>
      <c r="K26" s="932"/>
      <c r="M26" s="911"/>
    </row>
    <row r="27" spans="2:13" ht="15.75" thickBot="1" x14ac:dyDescent="0.3">
      <c r="B27" s="912"/>
      <c r="D27" s="406"/>
      <c r="E27" s="914"/>
      <c r="F27" s="915"/>
      <c r="H27" s="409"/>
      <c r="I27" s="942"/>
      <c r="M27" s="911"/>
    </row>
    <row r="28" spans="2:13" ht="17.25" thickTop="1" thickBot="1" x14ac:dyDescent="0.3">
      <c r="B28" s="2322" t="s">
        <v>375</v>
      </c>
      <c r="C28" s="2322"/>
      <c r="D28" s="2322"/>
      <c r="E28" s="2322"/>
      <c r="F28" s="2322"/>
      <c r="G28" s="943">
        <f>$G$26+$G$20+$G$14</f>
        <v>31103031755.358803</v>
      </c>
      <c r="H28" s="944">
        <f>$H$26+$H$20+$H$14</f>
        <v>905.02033380078603</v>
      </c>
      <c r="I28" s="944">
        <f>$I$26+$I$20+$I$14</f>
        <v>56.563770862549134</v>
      </c>
      <c r="K28" s="932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zoomScaleNormal="100" workbookViewId="0">
      <pane xSplit="2" ySplit="5" topLeftCell="G23" activePane="bottomRight" state="frozen"/>
      <selection pane="topRight"/>
      <selection pane="bottomLeft"/>
      <selection pane="bottomRight" activeCell="K38" sqref="K38"/>
    </sheetView>
  </sheetViews>
  <sheetFormatPr defaultColWidth="9" defaultRowHeight="14.25" x14ac:dyDescent="0.2"/>
  <cols>
    <col min="1" max="1" width="9" style="180"/>
    <col min="2" max="2" width="9.5703125" style="180" customWidth="1"/>
    <col min="3" max="3" width="18" style="174" customWidth="1"/>
    <col min="4" max="4" width="11.42578125" style="180" customWidth="1"/>
    <col min="5" max="5" width="15.5703125" style="180" customWidth="1"/>
    <col min="6" max="6" width="15.42578125" style="180" bestFit="1" customWidth="1"/>
    <col min="7" max="7" width="13.5703125" style="180" customWidth="1"/>
    <col min="8" max="8" width="15.42578125" style="180" customWidth="1"/>
    <col min="9" max="9" width="14.5703125" style="228" customWidth="1"/>
    <col min="10" max="10" width="16.42578125" style="180" customWidth="1"/>
    <col min="11" max="11" width="17.5703125" style="180" customWidth="1"/>
    <col min="12" max="12" width="17.42578125" style="228" customWidth="1"/>
    <col min="13" max="13" width="11.28515625" style="180" customWidth="1"/>
    <col min="14" max="14" width="10.28515625" style="180" customWidth="1"/>
    <col min="15" max="16384" width="9" style="180"/>
  </cols>
  <sheetData>
    <row r="2" spans="2:14" s="175" customFormat="1" x14ac:dyDescent="0.2">
      <c r="C2" s="152"/>
    </row>
    <row r="3" spans="2:14" s="175" customFormat="1" ht="21" customHeight="1" x14ac:dyDescent="0.2">
      <c r="B3" s="2323" t="s">
        <v>136</v>
      </c>
      <c r="C3" s="2323"/>
      <c r="D3" s="2323"/>
      <c r="E3" s="2323"/>
      <c r="F3" s="2323"/>
      <c r="G3" s="2323"/>
      <c r="H3" s="2323"/>
      <c r="I3" s="2323"/>
      <c r="J3" s="2323"/>
      <c r="K3" s="2323"/>
      <c r="L3" s="2323"/>
      <c r="M3" s="2323"/>
      <c r="N3" s="2323"/>
    </row>
    <row r="4" spans="2:14" s="175" customFormat="1" ht="15" thickBot="1" x14ac:dyDescent="0.25">
      <c r="B4" s="176"/>
      <c r="C4" s="152"/>
      <c r="D4" s="175">
        <v>2024</v>
      </c>
    </row>
    <row r="5" spans="2:14" ht="18.75" customHeight="1" thickBot="1" x14ac:dyDescent="0.25">
      <c r="B5" s="2324"/>
      <c r="C5" s="2325" t="s">
        <v>137</v>
      </c>
      <c r="D5" s="2326"/>
      <c r="E5" s="2327"/>
      <c r="F5" s="2324" t="s">
        <v>138</v>
      </c>
      <c r="G5" s="177"/>
      <c r="H5" s="178"/>
      <c r="I5" s="179"/>
      <c r="J5" s="178"/>
      <c r="K5" s="2328" t="s">
        <v>139</v>
      </c>
      <c r="L5" s="2330" t="s">
        <v>140</v>
      </c>
      <c r="M5" s="2332" t="s">
        <v>141</v>
      </c>
      <c r="N5" s="2328"/>
    </row>
    <row r="6" spans="2:14" ht="60.75" thickBot="1" x14ac:dyDescent="0.25">
      <c r="B6" s="2324"/>
      <c r="C6" s="153" t="s">
        <v>947</v>
      </c>
      <c r="D6" s="177" t="s">
        <v>142</v>
      </c>
      <c r="E6" s="177" t="s">
        <v>143</v>
      </c>
      <c r="F6" s="2324"/>
      <c r="G6" s="177" t="s">
        <v>144</v>
      </c>
      <c r="H6" s="177" t="s">
        <v>145</v>
      </c>
      <c r="I6" s="181" t="s">
        <v>146</v>
      </c>
      <c r="J6" s="177" t="s">
        <v>147</v>
      </c>
      <c r="K6" s="2329"/>
      <c r="L6" s="2331"/>
      <c r="M6" s="177" t="s">
        <v>148</v>
      </c>
      <c r="N6" s="177" t="s">
        <v>149</v>
      </c>
    </row>
    <row r="7" spans="2:14" s="185" customFormat="1" ht="15" customHeight="1" thickBot="1" x14ac:dyDescent="0.25">
      <c r="B7" s="2324"/>
      <c r="C7" s="154">
        <v>1</v>
      </c>
      <c r="D7" s="182">
        <v>2</v>
      </c>
      <c r="E7" s="182" t="s">
        <v>150</v>
      </c>
      <c r="F7" s="182" t="s">
        <v>151</v>
      </c>
      <c r="G7" s="182">
        <v>5</v>
      </c>
      <c r="H7" s="182" t="s">
        <v>152</v>
      </c>
      <c r="I7" s="183">
        <v>7</v>
      </c>
      <c r="J7" s="182" t="s">
        <v>153</v>
      </c>
      <c r="K7" s="184" t="s">
        <v>154</v>
      </c>
      <c r="L7" s="183">
        <v>10</v>
      </c>
      <c r="M7" s="182" t="s">
        <v>155</v>
      </c>
      <c r="N7" s="182" t="s">
        <v>156</v>
      </c>
    </row>
    <row r="8" spans="2:14" x14ac:dyDescent="0.2">
      <c r="B8" s="186">
        <v>1</v>
      </c>
      <c r="C8" s="189"/>
      <c r="D8" s="155">
        <v>5</v>
      </c>
      <c r="E8" s="156">
        <f>C8*D8</f>
        <v>0</v>
      </c>
      <c r="F8" s="156">
        <f>E8</f>
        <v>0</v>
      </c>
      <c r="G8" s="157">
        <v>35.314667</v>
      </c>
      <c r="H8" s="157">
        <f>(F8*G8)/1000</f>
        <v>0</v>
      </c>
      <c r="I8" s="190">
        <v>0</v>
      </c>
      <c r="J8" s="158">
        <f>(H8*I8)/1000</f>
        <v>0</v>
      </c>
      <c r="K8" s="187">
        <f>L8-J8</f>
        <v>0</v>
      </c>
      <c r="L8" s="159">
        <v>0</v>
      </c>
      <c r="M8" s="160" t="e">
        <f>(J8/L8)</f>
        <v>#DIV/0!</v>
      </c>
      <c r="N8" s="160" t="e">
        <f>K8/L8</f>
        <v>#DIV/0!</v>
      </c>
    </row>
    <row r="9" spans="2:14" x14ac:dyDescent="0.2">
      <c r="B9" s="188">
        <f>B8+1</f>
        <v>2</v>
      </c>
      <c r="C9" s="189"/>
      <c r="D9" s="161">
        <v>5</v>
      </c>
      <c r="E9" s="162">
        <f t="shared" ref="E9:E21" si="0">C9*D9</f>
        <v>0</v>
      </c>
      <c r="F9" s="162">
        <f t="shared" ref="F9:F21" si="1">E9</f>
        <v>0</v>
      </c>
      <c r="G9" s="163">
        <v>35.314667</v>
      </c>
      <c r="H9" s="163">
        <f t="shared" ref="H9:H21" si="2">(F9*G9)/1000</f>
        <v>0</v>
      </c>
      <c r="I9" s="190">
        <v>0</v>
      </c>
      <c r="J9" s="164">
        <f>(H9*I9)/1000</f>
        <v>0</v>
      </c>
      <c r="K9" s="191">
        <f t="shared" ref="K9:K21" si="3">L9-J9</f>
        <v>0</v>
      </c>
      <c r="L9" s="165">
        <v>0</v>
      </c>
      <c r="M9" s="166" t="e">
        <f t="shared" ref="M9:M24" si="4">(J9/L9)</f>
        <v>#DIV/0!</v>
      </c>
      <c r="N9" s="167" t="e">
        <f t="shared" ref="N9:N34" si="5">K9/L9</f>
        <v>#DIV/0!</v>
      </c>
    </row>
    <row r="10" spans="2:14" x14ac:dyDescent="0.2">
      <c r="B10" s="188">
        <f t="shared" ref="B10:B38" si="6">B9+1</f>
        <v>3</v>
      </c>
      <c r="C10" s="189">
        <v>0</v>
      </c>
      <c r="D10" s="161">
        <v>5</v>
      </c>
      <c r="E10" s="162">
        <f t="shared" si="0"/>
        <v>0</v>
      </c>
      <c r="F10" s="162">
        <f t="shared" si="1"/>
        <v>0</v>
      </c>
      <c r="G10" s="163">
        <v>35.314667</v>
      </c>
      <c r="H10" s="163">
        <f t="shared" si="2"/>
        <v>0</v>
      </c>
      <c r="I10" s="190">
        <v>0</v>
      </c>
      <c r="J10" s="164">
        <f t="shared" ref="J10:J16" si="7">(H10*I10)/1000</f>
        <v>0</v>
      </c>
      <c r="K10" s="191">
        <f>L10-J10</f>
        <v>0</v>
      </c>
      <c r="L10" s="165">
        <v>0</v>
      </c>
      <c r="M10" s="166" t="e">
        <f t="shared" si="4"/>
        <v>#DIV/0!</v>
      </c>
      <c r="N10" s="167" t="e">
        <f t="shared" si="5"/>
        <v>#DIV/0!</v>
      </c>
    </row>
    <row r="11" spans="2:14" x14ac:dyDescent="0.2">
      <c r="B11" s="188">
        <f t="shared" si="6"/>
        <v>4</v>
      </c>
      <c r="C11" s="189">
        <v>0</v>
      </c>
      <c r="D11" s="161">
        <v>5</v>
      </c>
      <c r="E11" s="162">
        <f t="shared" si="0"/>
        <v>0</v>
      </c>
      <c r="F11" s="162">
        <f t="shared" si="1"/>
        <v>0</v>
      </c>
      <c r="G11" s="163">
        <v>35.314667</v>
      </c>
      <c r="H11" s="163">
        <f t="shared" si="2"/>
        <v>0</v>
      </c>
      <c r="I11" s="190">
        <v>0</v>
      </c>
      <c r="J11" s="164">
        <f t="shared" si="7"/>
        <v>0</v>
      </c>
      <c r="K11" s="191">
        <f t="shared" si="3"/>
        <v>0</v>
      </c>
      <c r="L11" s="168">
        <v>0</v>
      </c>
      <c r="M11" s="166" t="e">
        <f t="shared" si="4"/>
        <v>#DIV/0!</v>
      </c>
      <c r="N11" s="167" t="e">
        <f t="shared" si="5"/>
        <v>#DIV/0!</v>
      </c>
    </row>
    <row r="12" spans="2:14" x14ac:dyDescent="0.2">
      <c r="B12" s="188">
        <f t="shared" si="6"/>
        <v>5</v>
      </c>
      <c r="C12" s="189">
        <v>0</v>
      </c>
      <c r="D12" s="161">
        <v>5</v>
      </c>
      <c r="E12" s="162">
        <f t="shared" si="0"/>
        <v>0</v>
      </c>
      <c r="F12" s="162">
        <f t="shared" si="1"/>
        <v>0</v>
      </c>
      <c r="G12" s="163">
        <v>35.314667</v>
      </c>
      <c r="H12" s="163">
        <f t="shared" si="2"/>
        <v>0</v>
      </c>
      <c r="I12" s="190">
        <v>0</v>
      </c>
      <c r="J12" s="164">
        <f t="shared" si="7"/>
        <v>0</v>
      </c>
      <c r="K12" s="191">
        <f t="shared" si="3"/>
        <v>0</v>
      </c>
      <c r="L12" s="165">
        <v>0</v>
      </c>
      <c r="M12" s="166" t="e">
        <f t="shared" si="4"/>
        <v>#DIV/0!</v>
      </c>
      <c r="N12" s="167" t="e">
        <f t="shared" si="5"/>
        <v>#DIV/0!</v>
      </c>
    </row>
    <row r="13" spans="2:14" x14ac:dyDescent="0.2">
      <c r="B13" s="188">
        <f t="shared" si="6"/>
        <v>6</v>
      </c>
      <c r="C13" s="189">
        <v>0</v>
      </c>
      <c r="D13" s="161">
        <v>5</v>
      </c>
      <c r="E13" s="162">
        <f t="shared" si="0"/>
        <v>0</v>
      </c>
      <c r="F13" s="162">
        <f t="shared" si="1"/>
        <v>0</v>
      </c>
      <c r="G13" s="163">
        <v>35.314667</v>
      </c>
      <c r="H13" s="163">
        <f t="shared" si="2"/>
        <v>0</v>
      </c>
      <c r="I13" s="190">
        <v>0</v>
      </c>
      <c r="J13" s="164">
        <f t="shared" si="7"/>
        <v>0</v>
      </c>
      <c r="K13" s="191">
        <f t="shared" si="3"/>
        <v>0</v>
      </c>
      <c r="L13" s="165">
        <v>0</v>
      </c>
      <c r="M13" s="166" t="e">
        <f t="shared" si="4"/>
        <v>#DIV/0!</v>
      </c>
      <c r="N13" s="167" t="e">
        <f t="shared" si="5"/>
        <v>#DIV/0!</v>
      </c>
    </row>
    <row r="14" spans="2:14" x14ac:dyDescent="0.2">
      <c r="B14" s="188">
        <f t="shared" si="6"/>
        <v>7</v>
      </c>
      <c r="C14" s="189">
        <v>5445.8</v>
      </c>
      <c r="D14" s="161">
        <v>5</v>
      </c>
      <c r="E14" s="162">
        <f>C14*D14</f>
        <v>27229</v>
      </c>
      <c r="F14" s="162">
        <f t="shared" si="1"/>
        <v>27229</v>
      </c>
      <c r="G14" s="163">
        <v>35.314667</v>
      </c>
      <c r="H14" s="163">
        <f t="shared" si="2"/>
        <v>961.58306774300002</v>
      </c>
      <c r="I14" s="190">
        <v>1070.1539299999999</v>
      </c>
      <c r="J14" s="164">
        <f t="shared" si="7"/>
        <v>1029.0418989666277</v>
      </c>
      <c r="K14" s="191">
        <f t="shared" si="3"/>
        <v>-104.99095792102071</v>
      </c>
      <c r="L14" s="165">
        <v>924.05094104560703</v>
      </c>
      <c r="M14" s="166">
        <f t="shared" si="4"/>
        <v>1.1136203138348828</v>
      </c>
      <c r="N14" s="167">
        <f t="shared" si="5"/>
        <v>-0.11362031383488286</v>
      </c>
    </row>
    <row r="15" spans="2:14" x14ac:dyDescent="0.2">
      <c r="B15" s="188">
        <f t="shared" si="6"/>
        <v>8</v>
      </c>
      <c r="C15" s="189">
        <v>5810.5</v>
      </c>
      <c r="D15" s="161">
        <v>5</v>
      </c>
      <c r="E15" s="162">
        <f t="shared" si="0"/>
        <v>29052.5</v>
      </c>
      <c r="F15" s="162">
        <f t="shared" si="1"/>
        <v>29052.5</v>
      </c>
      <c r="G15" s="163">
        <v>35.314667</v>
      </c>
      <c r="H15" s="163">
        <f t="shared" si="2"/>
        <v>1025.9793630175</v>
      </c>
      <c r="I15" s="190">
        <v>1073.63867</v>
      </c>
      <c r="J15" s="164">
        <f t="shared" si="7"/>
        <v>1101.531118757556</v>
      </c>
      <c r="K15" s="191">
        <f>L15-J15</f>
        <v>-21.234858323159642</v>
      </c>
      <c r="L15" s="165">
        <v>1080.2962604343963</v>
      </c>
      <c r="M15" s="166">
        <f t="shared" si="4"/>
        <v>1.0196565137739355</v>
      </c>
      <c r="N15" s="167">
        <f t="shared" si="5"/>
        <v>-1.9656513773935423E-2</v>
      </c>
    </row>
    <row r="16" spans="2:14" x14ac:dyDescent="0.2">
      <c r="B16" s="188">
        <f t="shared" si="6"/>
        <v>9</v>
      </c>
      <c r="C16" s="189">
        <v>5849.8</v>
      </c>
      <c r="D16" s="161">
        <v>5</v>
      </c>
      <c r="E16" s="162">
        <f t="shared" si="0"/>
        <v>29249</v>
      </c>
      <c r="F16" s="162">
        <f t="shared" si="1"/>
        <v>29249</v>
      </c>
      <c r="G16" s="163">
        <v>35.314667</v>
      </c>
      <c r="H16" s="163">
        <f t="shared" si="2"/>
        <v>1032.9186950830001</v>
      </c>
      <c r="I16" s="190">
        <v>1077.4324899999999</v>
      </c>
      <c r="J16" s="164">
        <f t="shared" si="7"/>
        <v>1112.9001616108276</v>
      </c>
      <c r="K16" s="191">
        <f t="shared" si="3"/>
        <v>68.943763593051244</v>
      </c>
      <c r="L16" s="165">
        <v>1181.8439252038788</v>
      </c>
      <c r="M16" s="166">
        <f t="shared" si="4"/>
        <v>0.94166423998739268</v>
      </c>
      <c r="N16" s="167">
        <f t="shared" si="5"/>
        <v>5.8335760012607263E-2</v>
      </c>
    </row>
    <row r="17" spans="2:14" x14ac:dyDescent="0.2">
      <c r="B17" s="188">
        <f t="shared" si="6"/>
        <v>10</v>
      </c>
      <c r="C17" s="189">
        <v>6108.5</v>
      </c>
      <c r="D17" s="161">
        <v>5</v>
      </c>
      <c r="E17" s="162">
        <f t="shared" si="0"/>
        <v>30542.5</v>
      </c>
      <c r="F17" s="162">
        <f t="shared" si="1"/>
        <v>30542.5</v>
      </c>
      <c r="G17" s="163">
        <v>35.314667</v>
      </c>
      <c r="H17" s="163">
        <f t="shared" si="2"/>
        <v>1078.5982168475</v>
      </c>
      <c r="I17" s="190">
        <v>1057.65734</v>
      </c>
      <c r="J17" s="164">
        <f>(H17*I17)/1000</f>
        <v>1140.7873209596701</v>
      </c>
      <c r="K17" s="191">
        <f>L17-J17</f>
        <v>27.883243781771853</v>
      </c>
      <c r="L17" s="165">
        <v>1168.6705647414419</v>
      </c>
      <c r="M17" s="166">
        <f t="shared" si="4"/>
        <v>0.97614105752039648</v>
      </c>
      <c r="N17" s="167">
        <f t="shared" si="5"/>
        <v>2.3858942479603545E-2</v>
      </c>
    </row>
    <row r="18" spans="2:14" x14ac:dyDescent="0.2">
      <c r="B18" s="188">
        <f t="shared" si="6"/>
        <v>11</v>
      </c>
      <c r="C18" s="2183">
        <v>5078.5</v>
      </c>
      <c r="D18" s="161">
        <v>5</v>
      </c>
      <c r="E18" s="162">
        <f t="shared" si="0"/>
        <v>25392.5</v>
      </c>
      <c r="F18" s="162">
        <f>E18</f>
        <v>25392.5</v>
      </c>
      <c r="G18" s="163">
        <v>35.314667</v>
      </c>
      <c r="H18" s="163">
        <f t="shared" si="2"/>
        <v>896.72768179750005</v>
      </c>
      <c r="I18" s="2184">
        <v>1042.4353000000001</v>
      </c>
      <c r="J18" s="164">
        <f>(H18*I18)/1000</f>
        <v>934.78058999288169</v>
      </c>
      <c r="K18" s="191">
        <f t="shared" si="3"/>
        <v>9.2041237637569111</v>
      </c>
      <c r="L18" s="165">
        <v>943.9847137566386</v>
      </c>
      <c r="M18" s="166">
        <f t="shared" si="4"/>
        <v>0.99024971100736514</v>
      </c>
      <c r="N18" s="167">
        <f t="shared" si="5"/>
        <v>9.7502889926348486E-3</v>
      </c>
    </row>
    <row r="19" spans="2:14" x14ac:dyDescent="0.2">
      <c r="B19" s="188">
        <f t="shared" si="6"/>
        <v>12</v>
      </c>
      <c r="C19" s="2183">
        <v>5266.9</v>
      </c>
      <c r="D19" s="161">
        <v>5</v>
      </c>
      <c r="E19" s="162">
        <f>C19*D19</f>
        <v>26334.5</v>
      </c>
      <c r="F19" s="162">
        <f>E19</f>
        <v>26334.5</v>
      </c>
      <c r="G19" s="163">
        <v>35.314667</v>
      </c>
      <c r="H19" s="163">
        <f t="shared" si="2"/>
        <v>929.99409811150008</v>
      </c>
      <c r="I19" s="2184">
        <v>1049.6619800000001</v>
      </c>
      <c r="J19" s="164">
        <f>(H19*I19)/1000</f>
        <v>976.17944641203155</v>
      </c>
      <c r="K19" s="191">
        <f t="shared" si="3"/>
        <v>-87.649159878092405</v>
      </c>
      <c r="L19" s="165">
        <v>888.53028653393915</v>
      </c>
      <c r="M19" s="166">
        <f t="shared" si="4"/>
        <v>1.098645101024077</v>
      </c>
      <c r="N19" s="167">
        <f t="shared" si="5"/>
        <v>-9.8645101024076878E-2</v>
      </c>
    </row>
    <row r="20" spans="2:14" x14ac:dyDescent="0.2">
      <c r="B20" s="188">
        <f t="shared" si="6"/>
        <v>13</v>
      </c>
      <c r="C20" s="2183">
        <v>5177.5</v>
      </c>
      <c r="D20" s="161">
        <v>5</v>
      </c>
      <c r="E20" s="162">
        <f t="shared" si="0"/>
        <v>25887.5</v>
      </c>
      <c r="F20" s="162">
        <f>E20</f>
        <v>25887.5</v>
      </c>
      <c r="G20" s="163">
        <v>35.314667</v>
      </c>
      <c r="H20" s="163">
        <f t="shared" si="2"/>
        <v>914.20844196249993</v>
      </c>
      <c r="I20" s="2184">
        <v>1058.6798100000001</v>
      </c>
      <c r="J20" s="164">
        <f>(H20*I20)/1000</f>
        <v>967.85401963725553</v>
      </c>
      <c r="K20" s="191">
        <f t="shared" si="3"/>
        <v>-86.894690968263035</v>
      </c>
      <c r="L20" s="165">
        <v>880.9593286689925</v>
      </c>
      <c r="M20" s="166">
        <f t="shared" si="4"/>
        <v>1.0986364388689189</v>
      </c>
      <c r="N20" s="167">
        <f t="shared" si="5"/>
        <v>-9.8636438868919041E-2</v>
      </c>
    </row>
    <row r="21" spans="2:14" x14ac:dyDescent="0.2">
      <c r="B21" s="188">
        <f t="shared" si="6"/>
        <v>14</v>
      </c>
      <c r="C21" s="2183">
        <v>6466.2</v>
      </c>
      <c r="D21" s="161">
        <v>5</v>
      </c>
      <c r="E21" s="162">
        <f t="shared" si="0"/>
        <v>32331</v>
      </c>
      <c r="F21" s="162">
        <f t="shared" si="1"/>
        <v>32331</v>
      </c>
      <c r="G21" s="163">
        <v>35.314667</v>
      </c>
      <c r="H21" s="163">
        <f t="shared" si="2"/>
        <v>1141.7584987770001</v>
      </c>
      <c r="I21" s="2184">
        <v>1062.4056399999999</v>
      </c>
      <c r="J21" s="2065">
        <v>981.95929999999998</v>
      </c>
      <c r="K21" s="191">
        <f t="shared" si="3"/>
        <v>14.775554620616617</v>
      </c>
      <c r="L21" s="165">
        <v>996.7348546206166</v>
      </c>
      <c r="M21" s="166">
        <f t="shared" si="4"/>
        <v>0.98517604300469597</v>
      </c>
      <c r="N21" s="167">
        <f t="shared" si="5"/>
        <v>1.4823956995304012E-2</v>
      </c>
    </row>
    <row r="22" spans="2:14" x14ac:dyDescent="0.2">
      <c r="B22" s="188">
        <f t="shared" si="6"/>
        <v>15</v>
      </c>
      <c r="C22" s="2183">
        <v>6087.8</v>
      </c>
      <c r="D22" s="161">
        <v>5</v>
      </c>
      <c r="E22" s="162">
        <f t="shared" ref="E22:E37" si="8">C22*D22</f>
        <v>30439</v>
      </c>
      <c r="F22" s="162">
        <f t="shared" ref="F22:F37" si="9">E22</f>
        <v>30439</v>
      </c>
      <c r="G22" s="163">
        <v>36.314667</v>
      </c>
      <c r="H22" s="163">
        <f t="shared" ref="H22:H37" si="10">(F22*G22)/1000</f>
        <v>1105.382148813</v>
      </c>
      <c r="I22" s="2184">
        <v>1052.2938200000001</v>
      </c>
      <c r="J22" s="164">
        <f t="shared" ref="J22:J37" si="11">(H22*I22)/1000</f>
        <v>1163.1868039342403</v>
      </c>
      <c r="K22" s="191">
        <f t="shared" ref="K22:K37" si="12">L22-J22</f>
        <v>-128.11069451115827</v>
      </c>
      <c r="L22" s="165">
        <v>1035.076109423082</v>
      </c>
      <c r="M22" s="166">
        <f t="shared" si="4"/>
        <v>1.1237693473406154</v>
      </c>
      <c r="N22" s="167">
        <f t="shared" si="5"/>
        <v>-0.1237693473406154</v>
      </c>
    </row>
    <row r="23" spans="2:14" x14ac:dyDescent="0.2">
      <c r="B23" s="188">
        <f t="shared" si="6"/>
        <v>16</v>
      </c>
      <c r="C23" s="275">
        <v>4873.1000000000004</v>
      </c>
      <c r="D23" s="161">
        <v>5</v>
      </c>
      <c r="E23" s="162">
        <f t="shared" si="8"/>
        <v>24365.5</v>
      </c>
      <c r="F23" s="162">
        <f t="shared" si="9"/>
        <v>24365.5</v>
      </c>
      <c r="G23" s="163">
        <v>37.314667</v>
      </c>
      <c r="H23" s="163">
        <f t="shared" si="10"/>
        <v>909.19051878849996</v>
      </c>
      <c r="I23" s="2184">
        <v>1053.3731600000001</v>
      </c>
      <c r="J23" s="164">
        <f t="shared" si="11"/>
        <v>957.71688981828163</v>
      </c>
      <c r="K23" s="191">
        <f t="shared" si="12"/>
        <v>56.552118549505849</v>
      </c>
      <c r="L23" s="165">
        <v>1014.2690083677875</v>
      </c>
      <c r="M23" s="166">
        <f t="shared" si="4"/>
        <v>0.94424347181768631</v>
      </c>
      <c r="N23" s="167">
        <f t="shared" si="5"/>
        <v>5.5756528182313636E-2</v>
      </c>
    </row>
    <row r="24" spans="2:14" x14ac:dyDescent="0.2">
      <c r="B24" s="188">
        <f t="shared" si="6"/>
        <v>17</v>
      </c>
      <c r="C24" s="189">
        <v>5075.3999999999996</v>
      </c>
      <c r="D24" s="161">
        <v>5</v>
      </c>
      <c r="E24" s="162">
        <f t="shared" si="8"/>
        <v>25377</v>
      </c>
      <c r="F24" s="162">
        <f t="shared" si="9"/>
        <v>25377</v>
      </c>
      <c r="G24" s="163">
        <v>38.314667</v>
      </c>
      <c r="H24" s="163">
        <f t="shared" si="10"/>
        <v>972.31130445899998</v>
      </c>
      <c r="I24" s="190">
        <v>1053.6904300000001</v>
      </c>
      <c r="J24" s="164">
        <f>(H24*I24)/1000</f>
        <v>1024.5151164892648</v>
      </c>
      <c r="K24" s="191">
        <f t="shared" si="12"/>
        <v>-103.99444876643088</v>
      </c>
      <c r="L24" s="165">
        <v>920.52066772283388</v>
      </c>
      <c r="M24" s="166">
        <f t="shared" si="4"/>
        <v>1.1129735077254597</v>
      </c>
      <c r="N24" s="167">
        <f t="shared" si="5"/>
        <v>-0.11297350772545968</v>
      </c>
    </row>
    <row r="25" spans="2:14" x14ac:dyDescent="0.2">
      <c r="B25" s="188">
        <f t="shared" si="6"/>
        <v>18</v>
      </c>
      <c r="C25" s="189">
        <v>4606.6000000000004</v>
      </c>
      <c r="D25" s="161">
        <v>5</v>
      </c>
      <c r="E25" s="162">
        <f t="shared" si="8"/>
        <v>23033</v>
      </c>
      <c r="F25" s="162">
        <f t="shared" si="9"/>
        <v>23033</v>
      </c>
      <c r="G25" s="163">
        <v>39.314667</v>
      </c>
      <c r="H25" s="163">
        <f t="shared" si="10"/>
        <v>905.53472501099998</v>
      </c>
      <c r="I25" s="2184">
        <v>1062.8414299999999</v>
      </c>
      <c r="J25" s="164">
        <f t="shared" si="11"/>
        <v>962.43982204534791</v>
      </c>
      <c r="K25" s="191">
        <f t="shared" si="12"/>
        <v>26.636387927560008</v>
      </c>
      <c r="L25" s="2065">
        <v>989.07620997290792</v>
      </c>
      <c r="M25" s="166">
        <f t="shared" ref="M25:M34" si="13">(J25/L25)</f>
        <v>0.97306942816035413</v>
      </c>
      <c r="N25" s="167">
        <f t="shared" si="5"/>
        <v>2.6930571839645819E-2</v>
      </c>
    </row>
    <row r="26" spans="2:14" x14ac:dyDescent="0.2">
      <c r="B26" s="188">
        <f t="shared" si="6"/>
        <v>19</v>
      </c>
      <c r="C26" s="189">
        <v>5261.1</v>
      </c>
      <c r="D26" s="161">
        <v>5</v>
      </c>
      <c r="E26" s="162">
        <f t="shared" si="8"/>
        <v>26305.5</v>
      </c>
      <c r="F26" s="162">
        <f t="shared" si="9"/>
        <v>26305.5</v>
      </c>
      <c r="G26" s="163">
        <v>40.314667</v>
      </c>
      <c r="H26" s="163">
        <f t="shared" si="10"/>
        <v>1060.4974727685001</v>
      </c>
      <c r="I26" s="2184">
        <v>1082.6917699999999</v>
      </c>
      <c r="J26" s="164">
        <f t="shared" si="11"/>
        <v>1148.1918858722543</v>
      </c>
      <c r="K26" s="191">
        <f t="shared" si="12"/>
        <v>-209.58953334238163</v>
      </c>
      <c r="L26" s="2065">
        <v>938.60235252987263</v>
      </c>
      <c r="M26" s="166">
        <f t="shared" si="13"/>
        <v>1.2232996036899568</v>
      </c>
      <c r="N26" s="167">
        <f t="shared" si="5"/>
        <v>-0.22329960368995674</v>
      </c>
    </row>
    <row r="27" spans="2:14" x14ac:dyDescent="0.2">
      <c r="B27" s="188">
        <f t="shared" si="6"/>
        <v>20</v>
      </c>
      <c r="C27" s="189">
        <v>5977.4</v>
      </c>
      <c r="D27" s="161">
        <v>5</v>
      </c>
      <c r="E27" s="162">
        <f t="shared" si="8"/>
        <v>29887</v>
      </c>
      <c r="F27" s="162">
        <f t="shared" si="9"/>
        <v>29887</v>
      </c>
      <c r="G27" s="163">
        <v>41.314667</v>
      </c>
      <c r="H27" s="163">
        <f t="shared" si="10"/>
        <v>1234.7714526289999</v>
      </c>
      <c r="I27" s="2184">
        <v>1069.70886</v>
      </c>
      <c r="J27" s="164">
        <f t="shared" si="11"/>
        <v>1320.8459629523113</v>
      </c>
      <c r="K27" s="191">
        <f t="shared" si="12"/>
        <v>-338.88669810594399</v>
      </c>
      <c r="L27" s="2065">
        <v>981.95926484636732</v>
      </c>
      <c r="M27" s="166">
        <f t="shared" si="13"/>
        <v>1.3451127864850529</v>
      </c>
      <c r="N27" s="167">
        <f t="shared" si="5"/>
        <v>-0.345112786485053</v>
      </c>
    </row>
    <row r="28" spans="2:14" x14ac:dyDescent="0.2">
      <c r="B28" s="188">
        <f t="shared" si="6"/>
        <v>21</v>
      </c>
      <c r="C28" s="189">
        <v>6186.5</v>
      </c>
      <c r="D28" s="161">
        <v>5</v>
      </c>
      <c r="E28" s="162">
        <f t="shared" si="8"/>
        <v>30932.5</v>
      </c>
      <c r="F28" s="162">
        <f t="shared" si="9"/>
        <v>30932.5</v>
      </c>
      <c r="G28" s="163">
        <v>42.314667</v>
      </c>
      <c r="H28" s="163">
        <f t="shared" si="10"/>
        <v>1308.8984369775001</v>
      </c>
      <c r="I28" s="190">
        <v>1062.3425199999999</v>
      </c>
      <c r="J28" s="164">
        <f t="shared" si="11"/>
        <v>1390.4984639627385</v>
      </c>
      <c r="K28" s="191">
        <f t="shared" si="12"/>
        <v>-363.93485155610392</v>
      </c>
      <c r="L28" s="165">
        <v>1026.5636124066345</v>
      </c>
      <c r="M28" s="166">
        <f t="shared" si="13"/>
        <v>1.3545175838669263</v>
      </c>
      <c r="N28" s="167">
        <f t="shared" si="5"/>
        <v>-0.35451758386692633</v>
      </c>
    </row>
    <row r="29" spans="2:14" x14ac:dyDescent="0.2">
      <c r="B29" s="188">
        <f t="shared" si="6"/>
        <v>22</v>
      </c>
      <c r="C29" s="189">
        <v>6815.5</v>
      </c>
      <c r="D29" s="161">
        <v>5</v>
      </c>
      <c r="E29" s="162">
        <f>C29*D29</f>
        <v>34077.5</v>
      </c>
      <c r="F29" s="162">
        <f>E29</f>
        <v>34077.5</v>
      </c>
      <c r="G29" s="163">
        <v>42.314667</v>
      </c>
      <c r="H29" s="163">
        <f>(F29*G29)/1000</f>
        <v>1441.9780646925001</v>
      </c>
      <c r="I29" s="190">
        <v>1069.47741</v>
      </c>
      <c r="J29" s="164">
        <f>(H29*I29)/1000</f>
        <v>1542.1629659041473</v>
      </c>
      <c r="K29" s="191">
        <f>L29-J29</f>
        <v>-403.20768462682258</v>
      </c>
      <c r="L29" s="165">
        <v>1138.9552812773247</v>
      </c>
      <c r="M29" s="166">
        <f t="shared" si="13"/>
        <v>1.3540153781758928</v>
      </c>
      <c r="N29" s="167">
        <f t="shared" si="5"/>
        <v>-0.3540153781758929</v>
      </c>
    </row>
    <row r="30" spans="2:14" x14ac:dyDescent="0.2">
      <c r="B30" s="188">
        <f t="shared" si="6"/>
        <v>23</v>
      </c>
      <c r="C30" s="189">
        <v>6251.8</v>
      </c>
      <c r="D30" s="161">
        <v>5</v>
      </c>
      <c r="E30" s="162">
        <f t="shared" si="8"/>
        <v>31259</v>
      </c>
      <c r="F30" s="162">
        <f t="shared" si="9"/>
        <v>31259</v>
      </c>
      <c r="G30" s="163">
        <v>44.314667</v>
      </c>
      <c r="H30" s="163">
        <f t="shared" si="10"/>
        <v>1385.2321757529999</v>
      </c>
      <c r="I30" s="190">
        <v>1073.8507</v>
      </c>
      <c r="J30" s="164">
        <f>(H30*I30)/1000</f>
        <v>1487.5325415948819</v>
      </c>
      <c r="K30" s="191">
        <f t="shared" si="12"/>
        <v>-410.86890287346864</v>
      </c>
      <c r="L30" s="165">
        <v>1076.6636387214132</v>
      </c>
      <c r="M30" s="166">
        <f t="shared" si="13"/>
        <v>1.3816130573160195</v>
      </c>
      <c r="N30" s="167">
        <f t="shared" si="5"/>
        <v>-0.38161305731601936</v>
      </c>
    </row>
    <row r="31" spans="2:14" x14ac:dyDescent="0.2">
      <c r="B31" s="188">
        <f t="shared" si="6"/>
        <v>24</v>
      </c>
      <c r="C31" s="189">
        <v>5082.1000000000004</v>
      </c>
      <c r="D31" s="161">
        <v>5</v>
      </c>
      <c r="E31" s="162">
        <f t="shared" si="8"/>
        <v>25410.5</v>
      </c>
      <c r="F31" s="162">
        <f t="shared" si="9"/>
        <v>25410.5</v>
      </c>
      <c r="G31" s="163">
        <v>45.314667</v>
      </c>
      <c r="H31" s="163">
        <f t="shared" si="10"/>
        <v>1151.4683458034999</v>
      </c>
      <c r="I31" s="190">
        <v>1076.3122499999999</v>
      </c>
      <c r="J31" s="164">
        <f>(H31*I31)/1000</f>
        <v>1239.3394860755432</v>
      </c>
      <c r="K31" s="191">
        <f t="shared" si="12"/>
        <v>-290.50518607554318</v>
      </c>
      <c r="L31" s="165">
        <v>948.83429999999998</v>
      </c>
      <c r="M31" s="166">
        <f t="shared" si="13"/>
        <v>1.3061706201762975</v>
      </c>
      <c r="N31" s="167">
        <f t="shared" si="5"/>
        <v>-0.30617062017629759</v>
      </c>
    </row>
    <row r="32" spans="2:14" x14ac:dyDescent="0.2">
      <c r="B32" s="188">
        <f t="shared" si="6"/>
        <v>25</v>
      </c>
      <c r="C32" s="189">
        <v>5137.6000000000004</v>
      </c>
      <c r="D32" s="161">
        <v>5</v>
      </c>
      <c r="E32" s="162">
        <f t="shared" si="8"/>
        <v>25688</v>
      </c>
      <c r="F32" s="162">
        <f t="shared" si="9"/>
        <v>25688</v>
      </c>
      <c r="G32" s="163">
        <v>46.314667</v>
      </c>
      <c r="H32" s="163">
        <f t="shared" si="10"/>
        <v>1189.7311658960002</v>
      </c>
      <c r="I32" s="190">
        <v>1078.7581700000001</v>
      </c>
      <c r="J32" s="164">
        <f>(H32*I32)/1000</f>
        <v>1283.4322153139356</v>
      </c>
      <c r="K32" s="191">
        <f t="shared" si="12"/>
        <v>-341.59791531393557</v>
      </c>
      <c r="L32" s="2195">
        <v>941.83429999999998</v>
      </c>
      <c r="M32" s="166">
        <f t="shared" si="13"/>
        <v>1.3626942821194084</v>
      </c>
      <c r="N32" s="167">
        <f t="shared" si="5"/>
        <v>-0.36269428211940846</v>
      </c>
    </row>
    <row r="33" spans="2:14" x14ac:dyDescent="0.2">
      <c r="B33" s="188">
        <f t="shared" si="6"/>
        <v>26</v>
      </c>
      <c r="C33" s="189">
        <v>5733.3</v>
      </c>
      <c r="D33" s="161">
        <v>5</v>
      </c>
      <c r="E33" s="162">
        <f t="shared" si="8"/>
        <v>28666.5</v>
      </c>
      <c r="F33" s="162">
        <f t="shared" si="9"/>
        <v>28666.5</v>
      </c>
      <c r="G33" s="163">
        <v>47.314667</v>
      </c>
      <c r="H33" s="163">
        <f t="shared" si="10"/>
        <v>1356.3459015554999</v>
      </c>
      <c r="I33" s="190">
        <v>1089.0373500000001</v>
      </c>
      <c r="J33" s="164">
        <f t="shared" si="11"/>
        <v>1477.1113463133627</v>
      </c>
      <c r="K33" s="191">
        <f t="shared" si="12"/>
        <v>-550.52534631336266</v>
      </c>
      <c r="L33" s="2195">
        <v>926.58600000000001</v>
      </c>
      <c r="M33" s="166">
        <f t="shared" si="13"/>
        <v>1.5941438207714802</v>
      </c>
      <c r="N33" s="167">
        <f t="shared" si="5"/>
        <v>-0.59414382077148009</v>
      </c>
    </row>
    <row r="34" spans="2:14" x14ac:dyDescent="0.2">
      <c r="B34" s="188">
        <f t="shared" si="6"/>
        <v>27</v>
      </c>
      <c r="C34" s="189">
        <v>4336.5</v>
      </c>
      <c r="D34" s="161">
        <v>5</v>
      </c>
      <c r="E34" s="162">
        <f t="shared" si="8"/>
        <v>21682.5</v>
      </c>
      <c r="F34" s="162">
        <f t="shared" si="9"/>
        <v>21682.5</v>
      </c>
      <c r="G34" s="163">
        <v>48.314667</v>
      </c>
      <c r="H34" s="163">
        <f t="shared" si="10"/>
        <v>1047.5827672275</v>
      </c>
      <c r="I34" s="190">
        <v>1091.27404</v>
      </c>
      <c r="J34" s="164">
        <f t="shared" si="11"/>
        <v>1143.1998786267336</v>
      </c>
      <c r="K34" s="191">
        <f t="shared" si="12"/>
        <v>-283.9779786267336</v>
      </c>
      <c r="L34" s="2195">
        <v>859.22190000000001</v>
      </c>
      <c r="M34" s="166">
        <f t="shared" si="13"/>
        <v>1.3305059829442587</v>
      </c>
      <c r="N34" s="167">
        <f t="shared" si="5"/>
        <v>-0.33050598294425876</v>
      </c>
    </row>
    <row r="35" spans="2:14" x14ac:dyDescent="0.2">
      <c r="B35" s="188">
        <f t="shared" si="6"/>
        <v>28</v>
      </c>
      <c r="C35" s="189">
        <v>3235.2</v>
      </c>
      <c r="D35" s="161">
        <v>5</v>
      </c>
      <c r="E35" s="162">
        <f t="shared" si="8"/>
        <v>16176</v>
      </c>
      <c r="F35" s="162">
        <f t="shared" si="9"/>
        <v>16176</v>
      </c>
      <c r="G35" s="163">
        <v>49.314667</v>
      </c>
      <c r="H35" s="163">
        <f t="shared" si="10"/>
        <v>797.71405339199998</v>
      </c>
      <c r="I35" s="190">
        <v>1089.51367</v>
      </c>
      <c r="J35" s="164">
        <f t="shared" si="11"/>
        <v>869.12036592169386</v>
      </c>
      <c r="K35" s="191">
        <f>L35-J35</f>
        <v>117.96053407830618</v>
      </c>
      <c r="L35" s="165">
        <v>987.08090000000004</v>
      </c>
      <c r="M35" s="166">
        <f t="shared" ref="M35:M37" si="14">(J35/L35)</f>
        <v>0.88049557632175213</v>
      </c>
      <c r="N35" s="167">
        <f t="shared" ref="N35:N37" si="15">K35/L35</f>
        <v>0.11950442367824783</v>
      </c>
    </row>
    <row r="36" spans="2:14" x14ac:dyDescent="0.2">
      <c r="B36" s="188">
        <f t="shared" si="6"/>
        <v>29</v>
      </c>
      <c r="C36" s="189">
        <v>4322.5</v>
      </c>
      <c r="D36" s="161">
        <v>5</v>
      </c>
      <c r="E36" s="162">
        <f t="shared" si="8"/>
        <v>21612.5</v>
      </c>
      <c r="F36" s="162">
        <f t="shared" si="9"/>
        <v>21612.5</v>
      </c>
      <c r="G36" s="163">
        <v>50.314667</v>
      </c>
      <c r="H36" s="163">
        <f t="shared" si="10"/>
        <v>1087.4257405374999</v>
      </c>
      <c r="I36" s="190">
        <v>1094.0705499999999</v>
      </c>
      <c r="J36" s="164">
        <f t="shared" si="11"/>
        <v>1189.7204780340196</v>
      </c>
      <c r="K36" s="191">
        <f t="shared" si="12"/>
        <v>-348.61027803401964</v>
      </c>
      <c r="L36" s="165">
        <v>841.11019999999996</v>
      </c>
      <c r="M36" s="166">
        <f t="shared" si="14"/>
        <v>1.4144644519041853</v>
      </c>
      <c r="N36" s="167">
        <f t="shared" si="15"/>
        <v>-0.41446445190418529</v>
      </c>
    </row>
    <row r="37" spans="2:14" x14ac:dyDescent="0.2">
      <c r="B37" s="188">
        <f t="shared" si="6"/>
        <v>30</v>
      </c>
      <c r="C37" s="189">
        <v>4009.2</v>
      </c>
      <c r="D37" s="161">
        <v>5</v>
      </c>
      <c r="E37" s="162">
        <f t="shared" si="8"/>
        <v>20046</v>
      </c>
      <c r="F37" s="162">
        <f t="shared" si="9"/>
        <v>20046</v>
      </c>
      <c r="G37" s="163">
        <v>51.314667</v>
      </c>
      <c r="H37" s="163">
        <f t="shared" si="10"/>
        <v>1028.6538146820001</v>
      </c>
      <c r="I37" s="190">
        <v>1094.04882</v>
      </c>
      <c r="J37" s="164">
        <f t="shared" si="11"/>
        <v>1125.3974921413408</v>
      </c>
      <c r="K37" s="191">
        <f t="shared" si="12"/>
        <v>-197.20799214134081</v>
      </c>
      <c r="L37" s="165">
        <v>928.18949999999995</v>
      </c>
      <c r="M37" s="166">
        <f t="shared" si="14"/>
        <v>1.2124652262725886</v>
      </c>
      <c r="N37" s="167">
        <f t="shared" si="15"/>
        <v>-0.21246522627258854</v>
      </c>
    </row>
    <row r="38" spans="2:14" ht="15" thickBot="1" x14ac:dyDescent="0.25">
      <c r="B38" s="188">
        <f t="shared" si="6"/>
        <v>31</v>
      </c>
      <c r="C38" s="189">
        <v>4295</v>
      </c>
      <c r="D38" s="161">
        <v>5</v>
      </c>
      <c r="E38" s="162">
        <f t="shared" ref="E38" si="16">C38*D38</f>
        <v>21475</v>
      </c>
      <c r="F38" s="162">
        <f t="shared" ref="F38" si="17">E38</f>
        <v>21475</v>
      </c>
      <c r="G38" s="163">
        <v>51.314667</v>
      </c>
      <c r="H38" s="163">
        <f t="shared" ref="H38" si="18">(F38*G38)/1000</f>
        <v>1101.9824738249999</v>
      </c>
      <c r="I38" s="190">
        <v>1093.9934000000001</v>
      </c>
      <c r="J38" s="164">
        <f t="shared" ref="J38" si="19">(H38*I38)/1000</f>
        <v>1205.5615532802226</v>
      </c>
      <c r="K38" s="191">
        <f t="shared" ref="K38" si="20">L38-J38</f>
        <v>-241.15245328022263</v>
      </c>
      <c r="L38" s="165">
        <v>964.40909999999997</v>
      </c>
      <c r="M38" s="166">
        <f t="shared" ref="M38" si="21">(J38/L38)</f>
        <v>1.2500520300775082</v>
      </c>
      <c r="N38" s="167">
        <f t="shared" ref="N38" si="22">K38/L38</f>
        <v>-0.2500520300775082</v>
      </c>
    </row>
    <row r="39" spans="2:14" ht="15" x14ac:dyDescent="0.25">
      <c r="B39" s="192" t="s">
        <v>157</v>
      </c>
      <c r="C39" s="169"/>
      <c r="D39" s="193"/>
      <c r="E39" s="193"/>
      <c r="F39" s="194">
        <f>AVERAGE(F8:F38)</f>
        <v>21369.403225806451</v>
      </c>
      <c r="G39" s="194"/>
      <c r="H39" s="194">
        <f t="shared" ref="H39:N39" si="23">AVERAGE(H8:H38)</f>
        <v>873.11189116614491</v>
      </c>
      <c r="I39" s="195">
        <f t="shared" si="23"/>
        <v>863.84979064516131</v>
      </c>
      <c r="J39" s="196">
        <f t="shared" si="23"/>
        <v>928.22603627797321</v>
      </c>
      <c r="K39" s="197">
        <f t="shared" si="23"/>
        <v>-135.19302917236885</v>
      </c>
      <c r="L39" s="198">
        <f t="shared" si="23"/>
        <v>793.03300710560438</v>
      </c>
      <c r="M39" s="199" t="e">
        <f t="shared" si="23"/>
        <v>#DIV/0!</v>
      </c>
      <c r="N39" s="199" t="e">
        <f t="shared" si="23"/>
        <v>#DIV/0!</v>
      </c>
    </row>
    <row r="40" spans="2:14" ht="15" x14ac:dyDescent="0.25">
      <c r="B40" s="200" t="s">
        <v>158</v>
      </c>
      <c r="C40" s="112">
        <f>SUM(C8:C37)</f>
        <v>128195.30000000002</v>
      </c>
      <c r="D40" s="201"/>
      <c r="E40" s="202">
        <f>SUM(E8:E38)</f>
        <v>662451.5</v>
      </c>
      <c r="F40" s="202">
        <f>SUM(F8:F38)</f>
        <v>662451.5</v>
      </c>
      <c r="G40" s="202"/>
      <c r="H40" s="202">
        <f>SUM(H8:H38)</f>
        <v>27066.468626150494</v>
      </c>
      <c r="I40" s="203"/>
      <c r="J40" s="204">
        <f>SUM(J8:J38)</f>
        <v>28775.007124617168</v>
      </c>
      <c r="K40" s="205"/>
      <c r="L40" s="206"/>
      <c r="M40" s="207"/>
      <c r="N40" s="207"/>
    </row>
    <row r="41" spans="2:14" ht="15" x14ac:dyDescent="0.25">
      <c r="B41" s="208" t="s">
        <v>159</v>
      </c>
      <c r="C41" s="170"/>
      <c r="D41" s="209"/>
      <c r="E41" s="209"/>
      <c r="F41" s="210"/>
      <c r="G41" s="210"/>
      <c r="H41" s="210"/>
      <c r="I41" s="211"/>
      <c r="J41" s="207"/>
      <c r="K41" s="205"/>
      <c r="L41" s="212"/>
      <c r="M41" s="207"/>
      <c r="N41" s="207"/>
    </row>
    <row r="42" spans="2:14" ht="30.75" customHeight="1" thickBot="1" x14ac:dyDescent="0.25">
      <c r="B42" s="213" t="s">
        <v>160</v>
      </c>
      <c r="C42" s="171"/>
      <c r="D42" s="214"/>
      <c r="E42" s="214"/>
      <c r="F42" s="215"/>
      <c r="G42" s="215"/>
      <c r="H42" s="216">
        <f>H40+H41</f>
        <v>27066.468626150494</v>
      </c>
      <c r="I42" s="217"/>
      <c r="J42" s="218">
        <f>J40+J41</f>
        <v>28775.007124617168</v>
      </c>
      <c r="K42" s="219"/>
      <c r="L42" s="220"/>
      <c r="M42" s="221"/>
      <c r="N42" s="221"/>
    </row>
    <row r="43" spans="2:14" s="175" customFormat="1" x14ac:dyDescent="0.2">
      <c r="C43" s="152"/>
    </row>
    <row r="44" spans="2:14" s="175" customFormat="1" x14ac:dyDescent="0.2">
      <c r="C44" s="152" t="s">
        <v>161</v>
      </c>
      <c r="F44" s="222"/>
    </row>
    <row r="45" spans="2:14" s="175" customFormat="1" x14ac:dyDescent="0.2">
      <c r="C45" s="152">
        <f>C40</f>
        <v>128195.30000000002</v>
      </c>
      <c r="D45" s="175" t="s">
        <v>124</v>
      </c>
      <c r="F45" s="152">
        <f>C40*5</f>
        <v>640976.50000000012</v>
      </c>
      <c r="G45" s="175">
        <v>9983.7000000000007</v>
      </c>
    </row>
    <row r="46" spans="2:14" s="175" customFormat="1" ht="15" x14ac:dyDescent="0.25">
      <c r="C46" s="152">
        <v>5</v>
      </c>
      <c r="D46" s="175" t="s">
        <v>162</v>
      </c>
      <c r="F46" s="152">
        <v>21286.9</v>
      </c>
      <c r="G46" s="222">
        <f>G45-C40</f>
        <v>-118211.60000000002</v>
      </c>
      <c r="H46" s="223"/>
      <c r="L46" s="223"/>
    </row>
    <row r="47" spans="2:14" s="175" customFormat="1" x14ac:dyDescent="0.2">
      <c r="C47" s="152">
        <f>C45*C46</f>
        <v>640976.50000000012</v>
      </c>
      <c r="D47" s="175" t="s">
        <v>163</v>
      </c>
      <c r="F47" s="152">
        <f>F45/F46</f>
        <v>30.111312591312032</v>
      </c>
      <c r="G47" s="222"/>
      <c r="H47" s="143"/>
      <c r="J47" s="143"/>
      <c r="L47" s="224"/>
    </row>
    <row r="48" spans="2:14" s="175" customFormat="1" x14ac:dyDescent="0.2">
      <c r="C48" s="152" t="e">
        <f>#REF!</f>
        <v>#REF!</v>
      </c>
      <c r="D48" s="175" t="s">
        <v>164</v>
      </c>
      <c r="H48" s="225"/>
      <c r="J48" s="152"/>
      <c r="L48" s="224"/>
    </row>
    <row r="49" spans="3:12" s="175" customFormat="1" ht="15" x14ac:dyDescent="0.25">
      <c r="C49" s="152" t="e">
        <f>(C47*C48)/1000</f>
        <v>#REF!</v>
      </c>
      <c r="D49" s="175" t="s">
        <v>165</v>
      </c>
      <c r="H49" s="173"/>
      <c r="J49" s="143"/>
      <c r="L49" s="152"/>
    </row>
    <row r="50" spans="3:12" s="175" customFormat="1" x14ac:dyDescent="0.2">
      <c r="C50" s="152">
        <f>I39</f>
        <v>863.84979064516131</v>
      </c>
      <c r="D50" s="175" t="s">
        <v>166</v>
      </c>
      <c r="H50" s="152"/>
      <c r="J50" s="226"/>
    </row>
    <row r="51" spans="3:12" s="175" customFormat="1" ht="15" x14ac:dyDescent="0.25">
      <c r="C51" s="173" t="e">
        <f>(C49*C50)/1000</f>
        <v>#REF!</v>
      </c>
      <c r="D51" s="175" t="s">
        <v>167</v>
      </c>
      <c r="H51" s="227"/>
      <c r="I51" s="223"/>
    </row>
    <row r="52" spans="3:12" s="175" customFormat="1" x14ac:dyDescent="0.2">
      <c r="C52" s="152"/>
    </row>
    <row r="53" spans="3:12" s="175" customFormat="1" x14ac:dyDescent="0.2">
      <c r="C53" s="152"/>
    </row>
    <row r="54" spans="3:12" s="175" customFormat="1" x14ac:dyDescent="0.2">
      <c r="C54" s="152"/>
    </row>
    <row r="55" spans="3:12" s="175" customFormat="1" x14ac:dyDescent="0.2">
      <c r="C55" s="152"/>
    </row>
    <row r="56" spans="3:12" s="175" customFormat="1" x14ac:dyDescent="0.2">
      <c r="C56" s="152"/>
    </row>
    <row r="57" spans="3:12" s="175" customFormat="1" x14ac:dyDescent="0.2">
      <c r="C57" s="152"/>
    </row>
    <row r="58" spans="3:12" s="175" customFormat="1" x14ac:dyDescent="0.2">
      <c r="C58" s="152"/>
    </row>
    <row r="59" spans="3:12" s="175" customFormat="1" x14ac:dyDescent="0.2">
      <c r="C59" s="152"/>
    </row>
    <row r="60" spans="3:12" s="175" customFormat="1" x14ac:dyDescent="0.2">
      <c r="C60" s="152"/>
      <c r="F60" s="143"/>
    </row>
    <row r="61" spans="3:12" s="175" customFormat="1" x14ac:dyDescent="0.2">
      <c r="C61" s="152"/>
      <c r="F61" s="143"/>
    </row>
    <row r="62" spans="3:12" s="175" customFormat="1" x14ac:dyDescent="0.2">
      <c r="C62" s="152"/>
      <c r="F62" s="143"/>
    </row>
    <row r="63" spans="3:12" s="175" customFormat="1" x14ac:dyDescent="0.2">
      <c r="C63" s="152"/>
      <c r="F63" s="143"/>
    </row>
    <row r="64" spans="3:12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  <row r="268" spans="3:3" s="175" customFormat="1" x14ac:dyDescent="0.2">
      <c r="C268" s="15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topLeftCell="A28" zoomScale="80" zoomScaleNormal="80" workbookViewId="0">
      <selection activeCell="H56" sqref="H56"/>
    </sheetView>
  </sheetViews>
  <sheetFormatPr defaultColWidth="9.42578125" defaultRowHeight="15" x14ac:dyDescent="0.25"/>
  <cols>
    <col min="1" max="1" width="9.42578125" style="1575"/>
    <col min="2" max="2" width="23.5703125" style="1575" customWidth="1"/>
    <col min="3" max="3" width="13.5703125" style="1575" customWidth="1"/>
    <col min="4" max="4" width="13.42578125" style="1575" customWidth="1"/>
    <col min="5" max="5" width="13" style="1575" customWidth="1"/>
    <col min="6" max="6" width="12.42578125" style="1575" customWidth="1"/>
    <col min="7" max="7" width="14.42578125" style="1575" bestFit="1" customWidth="1"/>
    <col min="8" max="8" width="12.5703125" style="1575" customWidth="1"/>
    <col min="9" max="9" width="18.5703125" style="1575" bestFit="1" customWidth="1"/>
    <col min="10" max="10" width="9.5703125" style="1575" customWidth="1"/>
    <col min="11" max="11" width="9.5703125" style="1575" bestFit="1" customWidth="1"/>
    <col min="12" max="12" width="9.42578125" style="1575" customWidth="1"/>
    <col min="13" max="13" width="8.5703125" style="1575" hidden="1" customWidth="1"/>
    <col min="14" max="14" width="9" style="1575" hidden="1" customWidth="1"/>
    <col min="15" max="15" width="10.42578125" style="1575" hidden="1" customWidth="1"/>
    <col min="16" max="16" width="9" style="1575" hidden="1" customWidth="1"/>
    <col min="17" max="17" width="8.5703125" style="1575" hidden="1" customWidth="1"/>
    <col min="18" max="18" width="9.5703125" style="1575" hidden="1" customWidth="1"/>
    <col min="19" max="19" width="0" style="1575" hidden="1" customWidth="1"/>
    <col min="20" max="20" width="18.5703125" style="1575" hidden="1" customWidth="1"/>
    <col min="21" max="16384" width="9.42578125" style="1575"/>
  </cols>
  <sheetData>
    <row r="4" spans="2:20" ht="15.75" x14ac:dyDescent="0.25">
      <c r="B4" s="1638" t="s">
        <v>1061</v>
      </c>
      <c r="I4" s="1598" t="s">
        <v>1064</v>
      </c>
      <c r="J4" s="2336" t="s">
        <v>940</v>
      </c>
      <c r="K4" s="2337"/>
      <c r="L4" s="2338"/>
      <c r="M4" s="2339" t="s">
        <v>943</v>
      </c>
      <c r="N4" s="2340"/>
      <c r="O4" s="2341"/>
      <c r="P4" s="2339" t="s">
        <v>944</v>
      </c>
      <c r="Q4" s="2340"/>
      <c r="R4" s="2341"/>
      <c r="S4" s="2342" t="s">
        <v>946</v>
      </c>
      <c r="T4" s="2343"/>
    </row>
    <row r="5" spans="2:20" ht="30" x14ac:dyDescent="0.25">
      <c r="B5" s="1576" t="s">
        <v>843</v>
      </c>
      <c r="C5" s="1576" t="s">
        <v>844</v>
      </c>
      <c r="D5" s="1576" t="s">
        <v>845</v>
      </c>
      <c r="E5" s="1576" t="s">
        <v>846</v>
      </c>
      <c r="F5" s="1577" t="s">
        <v>847</v>
      </c>
      <c r="G5" s="1576" t="s">
        <v>848</v>
      </c>
      <c r="I5" s="308" t="s">
        <v>169</v>
      </c>
      <c r="J5" s="316" t="s">
        <v>170</v>
      </c>
      <c r="K5" s="316" t="s">
        <v>941</v>
      </c>
      <c r="L5" s="316" t="s">
        <v>942</v>
      </c>
      <c r="M5" s="316" t="s">
        <v>170</v>
      </c>
      <c r="N5" s="316" t="s">
        <v>941</v>
      </c>
      <c r="O5" s="316" t="s">
        <v>945</v>
      </c>
      <c r="P5" s="316" t="s">
        <v>170</v>
      </c>
      <c r="Q5" s="316" t="s">
        <v>941</v>
      </c>
      <c r="R5" s="316" t="s">
        <v>945</v>
      </c>
      <c r="S5" s="2344"/>
      <c r="T5" s="2345"/>
    </row>
    <row r="6" spans="2:20" x14ac:dyDescent="0.25">
      <c r="B6" s="1579" t="s">
        <v>849</v>
      </c>
      <c r="C6" s="1581">
        <v>5.67</v>
      </c>
      <c r="D6" s="1580">
        <v>850</v>
      </c>
      <c r="E6" s="1581">
        <f>C6*D6/1000</f>
        <v>4.8194999999999997</v>
      </c>
      <c r="F6" s="1949">
        <v>100</v>
      </c>
      <c r="G6" s="1583">
        <f>(F6*E6/100)*1000</f>
        <v>4819.5</v>
      </c>
      <c r="H6" s="1584"/>
      <c r="I6" s="823">
        <v>45839</v>
      </c>
      <c r="J6" s="1708"/>
      <c r="K6" s="1708"/>
      <c r="L6" s="1723"/>
      <c r="M6" s="1708"/>
      <c r="N6" s="1708"/>
      <c r="O6" s="1726"/>
      <c r="P6" s="1708"/>
      <c r="Q6" s="1708"/>
      <c r="R6" s="1579"/>
      <c r="S6" s="2333"/>
      <c r="T6" s="2334"/>
    </row>
    <row r="7" spans="2:20" x14ac:dyDescent="0.25">
      <c r="B7" s="1579" t="s">
        <v>850</v>
      </c>
      <c r="C7" s="1637">
        <v>47.22</v>
      </c>
      <c r="D7" s="1580">
        <v>850</v>
      </c>
      <c r="E7" s="1581">
        <f>C7*D7/1000</f>
        <v>40.137</v>
      </c>
      <c r="F7" s="1949">
        <v>80</v>
      </c>
      <c r="G7" s="1583">
        <f>(F7*E7/100)*1000</f>
        <v>32109.599999999999</v>
      </c>
      <c r="H7" s="1638"/>
      <c r="I7" s="823">
        <v>45840</v>
      </c>
      <c r="J7" s="1708"/>
      <c r="K7" s="1708"/>
      <c r="L7" s="1723"/>
      <c r="M7" s="1708"/>
      <c r="N7" s="1708"/>
      <c r="O7" s="1726"/>
      <c r="P7" s="1708"/>
      <c r="Q7" s="1708"/>
      <c r="R7" s="1579"/>
      <c r="S7" s="2333"/>
      <c r="T7" s="2334"/>
    </row>
    <row r="8" spans="2:20" x14ac:dyDescent="0.25">
      <c r="B8" s="1579" t="s">
        <v>851</v>
      </c>
      <c r="C8" s="1637">
        <v>47.22</v>
      </c>
      <c r="D8" s="1580">
        <v>850</v>
      </c>
      <c r="E8" s="1581">
        <f t="shared" ref="E8:E21" si="0">C8*D8/1000</f>
        <v>40.137</v>
      </c>
      <c r="F8" s="1949">
        <v>80</v>
      </c>
      <c r="G8" s="1583">
        <f>(F8*E8/100)*1000</f>
        <v>32109.599999999999</v>
      </c>
      <c r="H8" s="1638"/>
      <c r="I8" s="823">
        <v>45841</v>
      </c>
      <c r="J8" s="1708"/>
      <c r="K8" s="1708"/>
      <c r="L8" s="1723"/>
      <c r="M8" s="1708"/>
      <c r="N8" s="1708"/>
      <c r="O8" s="1726"/>
      <c r="P8" s="1708"/>
      <c r="Q8" s="1708"/>
      <c r="R8" s="1579"/>
      <c r="S8" s="2333"/>
      <c r="T8" s="2334"/>
    </row>
    <row r="9" spans="2:20" x14ac:dyDescent="0.25">
      <c r="B9" s="1579" t="s">
        <v>852</v>
      </c>
      <c r="C9" s="1637">
        <v>35.68</v>
      </c>
      <c r="D9" s="1580">
        <v>850</v>
      </c>
      <c r="E9" s="1581">
        <f t="shared" si="0"/>
        <v>30.327999999999999</v>
      </c>
      <c r="F9" s="1949">
        <v>0</v>
      </c>
      <c r="G9" s="1583">
        <f>(F9*E9/100)*1000</f>
        <v>0</v>
      </c>
      <c r="H9" s="1638"/>
      <c r="I9" s="823">
        <v>45842</v>
      </c>
      <c r="J9" s="1708"/>
      <c r="K9" s="1709"/>
      <c r="L9" s="1724"/>
      <c r="M9" s="1709"/>
      <c r="N9" s="1709"/>
      <c r="O9" s="1727"/>
      <c r="P9" s="1709"/>
      <c r="Q9" s="1708"/>
      <c r="R9" s="1579"/>
      <c r="S9" s="2333"/>
      <c r="T9" s="2334"/>
    </row>
    <row r="10" spans="2:20" x14ac:dyDescent="0.25">
      <c r="B10" s="1579" t="s">
        <v>853</v>
      </c>
      <c r="C10" s="1585">
        <v>10.8</v>
      </c>
      <c r="D10" s="1585">
        <v>850</v>
      </c>
      <c r="E10" s="1586">
        <f t="shared" si="0"/>
        <v>9.18</v>
      </c>
      <c r="F10" s="1949">
        <v>17</v>
      </c>
      <c r="G10" s="1583">
        <f t="shared" ref="G10:G15" si="1">(F10*E10/100)*1000</f>
        <v>1560.6</v>
      </c>
      <c r="H10" s="1638"/>
      <c r="I10" s="823">
        <v>45843</v>
      </c>
      <c r="J10" s="1710"/>
      <c r="K10" s="1708"/>
      <c r="L10" s="1723"/>
      <c r="M10" s="1708"/>
      <c r="N10" s="1708"/>
      <c r="O10" s="1726"/>
      <c r="P10" s="1708"/>
      <c r="Q10" s="1708"/>
      <c r="R10" s="1579"/>
      <c r="S10" s="2333"/>
      <c r="T10" s="2334"/>
    </row>
    <row r="11" spans="2:20" x14ac:dyDescent="0.25">
      <c r="B11" s="1579" t="s">
        <v>854</v>
      </c>
      <c r="C11" s="1585">
        <v>10.1</v>
      </c>
      <c r="D11" s="1585">
        <v>850</v>
      </c>
      <c r="E11" s="1586">
        <f t="shared" si="0"/>
        <v>8.5850000000000009</v>
      </c>
      <c r="F11" s="1949">
        <v>0</v>
      </c>
      <c r="G11" s="1583">
        <f t="shared" si="1"/>
        <v>0</v>
      </c>
      <c r="H11" s="1638"/>
      <c r="I11" s="823">
        <v>45844</v>
      </c>
      <c r="J11" s="1710"/>
      <c r="K11" s="1710"/>
      <c r="L11" s="1725">
        <f t="shared" ref="L11:L16" si="2">J11-K11</f>
        <v>0</v>
      </c>
      <c r="M11" s="1710"/>
      <c r="N11" s="1710"/>
      <c r="O11" s="1728"/>
      <c r="P11" s="1710"/>
      <c r="Q11" s="1708"/>
      <c r="R11" s="1579"/>
      <c r="S11" s="2333"/>
      <c r="T11" s="2334"/>
    </row>
    <row r="12" spans="2:20" x14ac:dyDescent="0.25">
      <c r="B12" s="1579" t="s">
        <v>855</v>
      </c>
      <c r="C12" s="1585">
        <v>10.1</v>
      </c>
      <c r="D12" s="1585">
        <v>850</v>
      </c>
      <c r="E12" s="1586">
        <f t="shared" si="0"/>
        <v>8.5850000000000009</v>
      </c>
      <c r="F12" s="1949">
        <v>0</v>
      </c>
      <c r="G12" s="1583">
        <f t="shared" si="1"/>
        <v>0</v>
      </c>
      <c r="H12" s="1638"/>
      <c r="I12" s="823">
        <v>45845</v>
      </c>
      <c r="J12" s="1711"/>
      <c r="K12" s="1711">
        <v>300569.36</v>
      </c>
      <c r="L12" s="1725">
        <f t="shared" si="2"/>
        <v>-300569.36</v>
      </c>
      <c r="M12" s="1711"/>
      <c r="N12" s="1711"/>
      <c r="O12" s="1729"/>
      <c r="P12" s="1711"/>
      <c r="Q12" s="1708"/>
      <c r="R12" s="1579"/>
      <c r="S12" s="2333"/>
      <c r="T12" s="2334"/>
    </row>
    <row r="13" spans="2:20" x14ac:dyDescent="0.25">
      <c r="B13" s="1579" t="s">
        <v>856</v>
      </c>
      <c r="C13" s="1585">
        <v>10.1</v>
      </c>
      <c r="D13" s="1585">
        <v>850</v>
      </c>
      <c r="E13" s="1586">
        <f t="shared" si="0"/>
        <v>8.5850000000000009</v>
      </c>
      <c r="F13" s="1949">
        <v>0</v>
      </c>
      <c r="G13" s="1583">
        <f t="shared" si="1"/>
        <v>0</v>
      </c>
      <c r="H13" s="1638"/>
      <c r="I13" s="823">
        <v>45846</v>
      </c>
      <c r="J13" s="1711">
        <v>300569.36</v>
      </c>
      <c r="K13" s="1711">
        <v>310412</v>
      </c>
      <c r="L13" s="1725">
        <f t="shared" si="2"/>
        <v>-9842.640000000014</v>
      </c>
      <c r="M13" s="1711"/>
      <c r="N13" s="1711">
        <v>0</v>
      </c>
      <c r="O13" s="1729"/>
      <c r="P13" s="1711"/>
      <c r="Q13" s="1711">
        <v>174609</v>
      </c>
      <c r="R13" s="1579"/>
      <c r="S13" s="2333"/>
      <c r="T13" s="2334"/>
    </row>
    <row r="14" spans="2:20" x14ac:dyDescent="0.25">
      <c r="B14" s="1579" t="s">
        <v>857</v>
      </c>
      <c r="C14" s="1585">
        <v>10.1</v>
      </c>
      <c r="D14" s="1585">
        <v>850</v>
      </c>
      <c r="E14" s="1586">
        <f t="shared" si="0"/>
        <v>8.5850000000000009</v>
      </c>
      <c r="F14" s="1949">
        <v>0</v>
      </c>
      <c r="G14" s="1583">
        <f t="shared" si="1"/>
        <v>0</v>
      </c>
      <c r="H14" s="1638"/>
      <c r="I14" s="823">
        <v>45847</v>
      </c>
      <c r="J14" s="1711">
        <v>310412</v>
      </c>
      <c r="K14" s="1711">
        <v>301214</v>
      </c>
      <c r="L14" s="1725">
        <f t="shared" si="2"/>
        <v>9198</v>
      </c>
      <c r="M14" s="1711"/>
      <c r="N14" s="1712">
        <v>44191</v>
      </c>
      <c r="O14" s="1730"/>
      <c r="P14" s="1711">
        <v>174609</v>
      </c>
      <c r="Q14" s="1712">
        <v>38852</v>
      </c>
      <c r="R14" s="1720">
        <f>P14-Q14</f>
        <v>135757</v>
      </c>
      <c r="S14" s="2335">
        <f>R14+O14+L14</f>
        <v>144955</v>
      </c>
      <c r="T14" s="2334"/>
    </row>
    <row r="15" spans="2:20" ht="15.75" x14ac:dyDescent="0.25">
      <c r="B15" s="1579" t="s">
        <v>858</v>
      </c>
      <c r="C15" s="1585">
        <v>10.1</v>
      </c>
      <c r="D15" s="1585">
        <v>850</v>
      </c>
      <c r="E15" s="1586">
        <f t="shared" si="0"/>
        <v>8.5850000000000009</v>
      </c>
      <c r="F15" s="1949">
        <v>0</v>
      </c>
      <c r="G15" s="1583">
        <f t="shared" si="1"/>
        <v>0</v>
      </c>
      <c r="H15" s="1638"/>
      <c r="I15" s="823">
        <v>45848</v>
      </c>
      <c r="J15" s="1711">
        <v>301214</v>
      </c>
      <c r="K15" s="1597">
        <v>294983</v>
      </c>
      <c r="L15" s="1725">
        <f t="shared" si="2"/>
        <v>6231</v>
      </c>
      <c r="M15" s="1712">
        <v>44191</v>
      </c>
      <c r="N15" s="1711">
        <v>405272</v>
      </c>
      <c r="O15" s="1728">
        <f>M15-N15</f>
        <v>-361081</v>
      </c>
      <c r="P15" s="1712">
        <v>38852</v>
      </c>
      <c r="Q15" s="1712">
        <v>38852</v>
      </c>
      <c r="R15" s="1720">
        <f>P15-Q15</f>
        <v>0</v>
      </c>
      <c r="S15" s="2335">
        <f>R15+O15+L15</f>
        <v>-354850</v>
      </c>
      <c r="T15" s="2334"/>
    </row>
    <row r="16" spans="2:20" x14ac:dyDescent="0.25">
      <c r="B16" s="1579" t="s">
        <v>859</v>
      </c>
      <c r="C16" s="1580">
        <v>72.13</v>
      </c>
      <c r="D16" s="1580">
        <v>850</v>
      </c>
      <c r="E16" s="1581">
        <f t="shared" si="0"/>
        <v>61.31049999999999</v>
      </c>
      <c r="F16" s="1949">
        <v>0</v>
      </c>
      <c r="G16" s="1583">
        <f>(F16*E16/100)*1000</f>
        <v>0</v>
      </c>
      <c r="H16" s="1638"/>
      <c r="I16" s="823">
        <v>45849</v>
      </c>
      <c r="J16" s="1711">
        <v>294983</v>
      </c>
      <c r="K16" s="1711">
        <v>298492</v>
      </c>
      <c r="L16" s="1725">
        <f t="shared" si="2"/>
        <v>-3509</v>
      </c>
      <c r="M16" s="1708"/>
      <c r="N16" s="1708"/>
      <c r="O16" s="1726"/>
      <c r="P16" s="1708"/>
      <c r="Q16" s="1708"/>
      <c r="R16" s="1579"/>
      <c r="S16" s="2333"/>
      <c r="T16" s="2334"/>
    </row>
    <row r="17" spans="2:22" x14ac:dyDescent="0.25">
      <c r="B17" s="1579" t="s">
        <v>860</v>
      </c>
      <c r="C17" s="1580">
        <v>4.28</v>
      </c>
      <c r="D17" s="1580">
        <v>860</v>
      </c>
      <c r="E17" s="1581">
        <f t="shared" si="0"/>
        <v>3.6808000000000001</v>
      </c>
      <c r="F17" s="1949">
        <v>50</v>
      </c>
      <c r="G17" s="1583">
        <f t="shared" ref="G17:G23" si="3">(F17*E17/100)*1000</f>
        <v>1840.3999999999999</v>
      </c>
      <c r="H17" s="1638"/>
      <c r="I17" s="823">
        <v>45850</v>
      </c>
      <c r="J17" s="1711">
        <v>298492</v>
      </c>
      <c r="K17" s="1711">
        <v>279848</v>
      </c>
      <c r="L17" s="1725">
        <f t="shared" ref="L17:L29" si="4">J17-K17</f>
        <v>18644</v>
      </c>
      <c r="M17" s="1708"/>
      <c r="N17" s="1708"/>
      <c r="O17" s="1726"/>
      <c r="P17" s="1708"/>
      <c r="Q17" s="1708"/>
      <c r="R17" s="1579"/>
      <c r="S17" s="2333"/>
      <c r="T17" s="2334"/>
    </row>
    <row r="18" spans="2:22" x14ac:dyDescent="0.25">
      <c r="B18" s="1579" t="s">
        <v>861</v>
      </c>
      <c r="C18" s="1580">
        <v>10</v>
      </c>
      <c r="D18" s="1580">
        <v>810</v>
      </c>
      <c r="E18" s="1581">
        <f t="shared" si="0"/>
        <v>8.1</v>
      </c>
      <c r="F18" s="1949">
        <v>100</v>
      </c>
      <c r="G18" s="1583">
        <f t="shared" si="3"/>
        <v>8100</v>
      </c>
      <c r="H18" s="1638"/>
      <c r="I18" s="823">
        <v>45851</v>
      </c>
      <c r="J18" s="1711">
        <v>279848</v>
      </c>
      <c r="K18" s="1711">
        <v>307500</v>
      </c>
      <c r="L18" s="1725">
        <f t="shared" si="4"/>
        <v>-27652</v>
      </c>
      <c r="M18" s="1708"/>
      <c r="N18" s="1708"/>
      <c r="O18" s="1726"/>
      <c r="P18" s="1708"/>
      <c r="Q18" s="1708"/>
      <c r="R18" s="1579"/>
      <c r="S18" s="2333"/>
      <c r="T18" s="2334"/>
      <c r="U18" s="1638"/>
    </row>
    <row r="19" spans="2:22" x14ac:dyDescent="0.25">
      <c r="B19" s="1579" t="s">
        <v>862</v>
      </c>
      <c r="C19" s="1637">
        <v>21.8</v>
      </c>
      <c r="D19" s="1580">
        <v>800</v>
      </c>
      <c r="E19" s="1581">
        <f t="shared" si="0"/>
        <v>17.440000000000001</v>
      </c>
      <c r="F19" s="1949">
        <v>40</v>
      </c>
      <c r="G19" s="1583">
        <f t="shared" si="3"/>
        <v>6976</v>
      </c>
      <c r="H19" s="1638"/>
      <c r="I19" s="823">
        <v>45852</v>
      </c>
      <c r="J19" s="1711">
        <v>307500</v>
      </c>
      <c r="K19" s="1711">
        <v>298308</v>
      </c>
      <c r="L19" s="1948">
        <f>J19-K19</f>
        <v>9192</v>
      </c>
      <c r="M19" s="1708"/>
      <c r="N19" s="1708"/>
      <c r="O19" s="1726"/>
      <c r="P19" s="1708"/>
      <c r="Q19" s="1708"/>
      <c r="R19" s="1579"/>
      <c r="S19" s="2333"/>
      <c r="T19" s="2334"/>
    </row>
    <row r="20" spans="2:22" x14ac:dyDescent="0.25">
      <c r="B20" s="1579" t="s">
        <v>863</v>
      </c>
      <c r="C20" s="1580">
        <v>10</v>
      </c>
      <c r="D20" s="1580">
        <v>810</v>
      </c>
      <c r="E20" s="1581">
        <f t="shared" si="0"/>
        <v>8.1</v>
      </c>
      <c r="F20" s="1949">
        <v>100</v>
      </c>
      <c r="G20" s="1583">
        <f t="shared" si="3"/>
        <v>8100</v>
      </c>
      <c r="H20" s="1638"/>
      <c r="I20" s="823">
        <v>45853</v>
      </c>
      <c r="J20" s="1711">
        <v>298308</v>
      </c>
      <c r="K20" s="1711">
        <v>301410</v>
      </c>
      <c r="L20" s="1948">
        <f>J20-K20</f>
        <v>-3102</v>
      </c>
      <c r="M20" s="1708"/>
      <c r="N20" s="1708"/>
      <c r="O20" s="1726"/>
      <c r="P20" s="1708"/>
      <c r="Q20" s="1708"/>
      <c r="R20" s="1579"/>
      <c r="S20" s="2333"/>
      <c r="T20" s="2334"/>
    </row>
    <row r="21" spans="2:22" x14ac:dyDescent="0.25">
      <c r="B21" s="1579" t="s">
        <v>864</v>
      </c>
      <c r="C21" s="1637">
        <v>11.4</v>
      </c>
      <c r="D21" s="1580">
        <v>790</v>
      </c>
      <c r="E21" s="1581">
        <f t="shared" si="0"/>
        <v>9.0060000000000002</v>
      </c>
      <c r="F21" s="1949">
        <v>80</v>
      </c>
      <c r="G21" s="1583">
        <f t="shared" si="3"/>
        <v>7204.8</v>
      </c>
      <c r="H21" s="1638"/>
      <c r="I21" s="823">
        <v>45854</v>
      </c>
      <c r="J21" s="1711">
        <v>301410</v>
      </c>
      <c r="K21" s="1711">
        <v>304623</v>
      </c>
      <c r="L21" s="1948">
        <f>J21-K21</f>
        <v>-3213</v>
      </c>
      <c r="M21" s="1708"/>
      <c r="N21" s="1708"/>
      <c r="O21" s="1726"/>
      <c r="P21" s="1708"/>
      <c r="Q21" s="1708"/>
      <c r="R21" s="1579"/>
      <c r="S21" s="2333"/>
      <c r="T21" s="2334"/>
    </row>
    <row r="22" spans="2:22" x14ac:dyDescent="0.25">
      <c r="B22" s="1579" t="s">
        <v>865</v>
      </c>
      <c r="C22" s="1580">
        <v>14</v>
      </c>
      <c r="D22" s="1580">
        <v>790</v>
      </c>
      <c r="E22" s="1581">
        <f>C22*D22/1000</f>
        <v>11.06</v>
      </c>
      <c r="F22" s="1949">
        <v>40</v>
      </c>
      <c r="G22" s="1583">
        <f t="shared" si="3"/>
        <v>4424</v>
      </c>
      <c r="H22" s="1587"/>
      <c r="I22" s="823">
        <v>45855</v>
      </c>
      <c r="J22" s="1711">
        <v>304623</v>
      </c>
      <c r="K22" s="1711">
        <v>293070</v>
      </c>
      <c r="L22" s="1725">
        <f>J22-K22</f>
        <v>11553</v>
      </c>
      <c r="M22" s="1708"/>
      <c r="N22" s="1708"/>
      <c r="O22" s="1726"/>
      <c r="P22" s="1708"/>
      <c r="Q22" s="1708"/>
      <c r="R22" s="1579"/>
      <c r="S22" s="2333"/>
      <c r="T22" s="2334"/>
    </row>
    <row r="23" spans="2:22" x14ac:dyDescent="0.25">
      <c r="B23" s="1579" t="s">
        <v>866</v>
      </c>
      <c r="C23" s="1637">
        <v>149.76</v>
      </c>
      <c r="D23" s="1580">
        <v>790</v>
      </c>
      <c r="E23" s="1581">
        <f>C23*D23/1000</f>
        <v>118.31039999999999</v>
      </c>
      <c r="F23" s="1949">
        <v>100</v>
      </c>
      <c r="G23" s="1583">
        <f t="shared" si="3"/>
        <v>118310.39999999999</v>
      </c>
      <c r="H23" s="1588"/>
      <c r="I23" s="823">
        <v>45856</v>
      </c>
      <c r="J23" s="1711">
        <v>293070</v>
      </c>
      <c r="K23" s="1711">
        <v>302448</v>
      </c>
      <c r="L23" s="1725">
        <f t="shared" si="4"/>
        <v>-9378</v>
      </c>
      <c r="M23" s="1708"/>
      <c r="N23" s="1708"/>
      <c r="O23" s="1726"/>
      <c r="P23" s="1708"/>
      <c r="Q23" s="1708"/>
      <c r="R23" s="1579"/>
      <c r="S23" s="2333"/>
      <c r="T23" s="2334"/>
    </row>
    <row r="24" spans="2:22" x14ac:dyDescent="0.25">
      <c r="B24" s="1580"/>
      <c r="C24" s="1581">
        <f>SUM(C6:C23)</f>
        <v>490.45999999999992</v>
      </c>
      <c r="D24" s="1580"/>
      <c r="E24" s="1581">
        <f>SUM(E6:E23)</f>
        <v>404.53420000000006</v>
      </c>
      <c r="F24" s="1949"/>
      <c r="G24" s="1589"/>
      <c r="H24" s="1595"/>
      <c r="I24" s="823">
        <v>45857</v>
      </c>
      <c r="J24" s="1711">
        <v>302448</v>
      </c>
      <c r="K24" s="1711">
        <v>294782</v>
      </c>
      <c r="L24" s="1725">
        <f t="shared" si="4"/>
        <v>7666</v>
      </c>
      <c r="M24" s="1708"/>
      <c r="N24" s="1708"/>
      <c r="O24" s="1726"/>
      <c r="P24" s="1708"/>
      <c r="Q24" s="1708"/>
      <c r="R24" s="1579"/>
      <c r="S24" s="2333"/>
      <c r="T24" s="2334"/>
    </row>
    <row r="25" spans="2:22" ht="15.75" x14ac:dyDescent="0.25">
      <c r="E25" s="1588"/>
      <c r="F25" s="1590" t="s">
        <v>867</v>
      </c>
      <c r="G25" s="1597">
        <f>SUM(G6:G24)</f>
        <v>225554.9</v>
      </c>
      <c r="H25" s="1595"/>
      <c r="I25" s="823">
        <v>45858</v>
      </c>
      <c r="J25" s="1711">
        <v>294782</v>
      </c>
      <c r="K25" s="1711">
        <v>302448</v>
      </c>
      <c r="L25" s="1725">
        <f>J25-K25</f>
        <v>-7666</v>
      </c>
      <c r="M25" s="1708"/>
      <c r="N25" s="1708"/>
      <c r="O25" s="1726"/>
      <c r="P25" s="1708"/>
      <c r="Q25" s="1708"/>
      <c r="R25" s="1579"/>
      <c r="S25" s="2333"/>
      <c r="T25" s="2334"/>
    </row>
    <row r="26" spans="2:22" ht="15.75" x14ac:dyDescent="0.25">
      <c r="B26" s="1638"/>
      <c r="C26" s="1940"/>
      <c r="D26" s="1940"/>
      <c r="E26" s="1940"/>
      <c r="F26" s="1941"/>
      <c r="G26" s="1597"/>
      <c r="H26" s="1595"/>
      <c r="I26" s="823">
        <v>45859</v>
      </c>
      <c r="J26" s="1711">
        <v>302448</v>
      </c>
      <c r="K26" s="1927">
        <v>307090</v>
      </c>
      <c r="L26" s="1928">
        <f>J26-K26</f>
        <v>-4642</v>
      </c>
      <c r="M26" s="1708"/>
      <c r="N26" s="1708"/>
      <c r="O26" s="1726"/>
      <c r="P26" s="1708"/>
      <c r="Q26" s="1708"/>
      <c r="R26" s="1579"/>
      <c r="S26" s="2333"/>
      <c r="T26" s="2334"/>
      <c r="U26" s="1578">
        <f>L26+L25</f>
        <v>-12308</v>
      </c>
    </row>
    <row r="27" spans="2:22" x14ac:dyDescent="0.25">
      <c r="B27" s="1638"/>
      <c r="E27" s="1588"/>
      <c r="F27" s="1595"/>
      <c r="G27" s="1942"/>
      <c r="H27" s="1595"/>
      <c r="I27" s="823">
        <v>45860</v>
      </c>
      <c r="J27" s="1927">
        <v>307090</v>
      </c>
      <c r="K27" s="1927">
        <v>301876</v>
      </c>
      <c r="L27" s="1928">
        <f t="shared" si="4"/>
        <v>5214</v>
      </c>
      <c r="M27" s="1708"/>
      <c r="N27" s="1708"/>
      <c r="O27" s="1726"/>
      <c r="P27" s="1708"/>
      <c r="Q27" s="1708"/>
      <c r="R27" s="1579"/>
      <c r="S27" s="2333"/>
      <c r="T27" s="2334"/>
    </row>
    <row r="28" spans="2:22" ht="15.75" x14ac:dyDescent="0.25">
      <c r="B28" s="1638"/>
      <c r="E28" s="1588"/>
      <c r="F28" s="1595"/>
      <c r="G28" s="1597"/>
      <c r="H28" s="1595"/>
      <c r="I28" s="823">
        <v>45861</v>
      </c>
      <c r="J28" s="1927">
        <v>301876</v>
      </c>
      <c r="K28" s="1927">
        <v>312139</v>
      </c>
      <c r="L28" s="1928">
        <f t="shared" si="4"/>
        <v>-10263</v>
      </c>
      <c r="M28" s="1708"/>
      <c r="N28" s="1708"/>
      <c r="O28" s="1726"/>
      <c r="P28" s="1708"/>
      <c r="Q28" s="1708"/>
      <c r="R28" s="1579"/>
      <c r="S28" s="2333"/>
      <c r="T28" s="2334"/>
    </row>
    <row r="29" spans="2:22" ht="15.75" x14ac:dyDescent="0.25">
      <c r="B29" s="1638"/>
      <c r="E29" s="1588"/>
      <c r="F29" s="1595"/>
      <c r="G29" s="1597"/>
      <c r="H29" s="1595"/>
      <c r="I29" s="823">
        <v>45862</v>
      </c>
      <c r="J29" s="1927">
        <v>312139</v>
      </c>
      <c r="K29" s="1927">
        <v>283528</v>
      </c>
      <c r="L29" s="1928">
        <f t="shared" si="4"/>
        <v>28611</v>
      </c>
      <c r="M29" s="1708"/>
      <c r="N29" s="1708"/>
      <c r="O29" s="1726"/>
      <c r="P29" s="1708"/>
      <c r="Q29" s="1708"/>
      <c r="R29" s="1579"/>
      <c r="S29" s="2333"/>
      <c r="T29" s="2334"/>
      <c r="V29" s="1578"/>
    </row>
    <row r="30" spans="2:22" x14ac:dyDescent="0.25">
      <c r="B30" s="1575" t="s">
        <v>868</v>
      </c>
      <c r="H30" s="1588"/>
      <c r="I30" s="823">
        <v>45863</v>
      </c>
      <c r="J30" s="1927">
        <v>283528</v>
      </c>
      <c r="K30" s="1927">
        <v>313730</v>
      </c>
      <c r="L30" s="1928">
        <f>J30-K30</f>
        <v>-30202</v>
      </c>
      <c r="M30" s="1708"/>
      <c r="N30" s="1708"/>
      <c r="O30" s="1726"/>
      <c r="P30" s="1708"/>
      <c r="Q30" s="1708"/>
      <c r="R30" s="1579"/>
      <c r="S30" s="2333"/>
      <c r="T30" s="2334"/>
    </row>
    <row r="31" spans="2:22" x14ac:dyDescent="0.25">
      <c r="B31" s="1579" t="s">
        <v>869</v>
      </c>
      <c r="C31" s="1580">
        <f>5.3+0.78</f>
        <v>6.08</v>
      </c>
      <c r="D31" s="1580">
        <v>840</v>
      </c>
      <c r="E31" s="1581">
        <f>C31*D31/1000</f>
        <v>5.1071999999999997</v>
      </c>
      <c r="F31" s="1582">
        <v>0</v>
      </c>
      <c r="G31" s="1592">
        <f>F31*E31/100*1000</f>
        <v>0</v>
      </c>
      <c r="H31" s="1591">
        <v>0</v>
      </c>
      <c r="I31" s="823">
        <v>45864</v>
      </c>
      <c r="J31" s="1927">
        <v>313730</v>
      </c>
      <c r="K31" s="1927">
        <v>313427</v>
      </c>
      <c r="L31" s="1928">
        <f t="shared" ref="L31:L35" si="5">J31-K31</f>
        <v>303</v>
      </c>
      <c r="M31" s="1708"/>
      <c r="N31" s="1708"/>
      <c r="O31" s="1726"/>
      <c r="P31" s="1708"/>
      <c r="Q31" s="1708"/>
      <c r="R31" s="1579"/>
      <c r="S31" s="2333"/>
      <c r="T31" s="2334"/>
    </row>
    <row r="32" spans="2:22" x14ac:dyDescent="0.25">
      <c r="B32" s="1614"/>
      <c r="C32" s="1614"/>
      <c r="D32" s="1614"/>
      <c r="E32" s="1647"/>
      <c r="F32" s="1647"/>
      <c r="G32" s="1646"/>
      <c r="H32" s="1591"/>
      <c r="I32" s="823">
        <v>45865</v>
      </c>
      <c r="J32" s="1927">
        <v>313427</v>
      </c>
      <c r="K32" s="1927">
        <v>298308</v>
      </c>
      <c r="L32" s="1928">
        <f t="shared" si="5"/>
        <v>15119</v>
      </c>
      <c r="M32" s="1708"/>
      <c r="N32" s="1708"/>
      <c r="O32" s="1726"/>
      <c r="P32" s="1708"/>
      <c r="Q32" s="1708"/>
      <c r="R32" s="1579"/>
      <c r="S32" s="2333"/>
      <c r="T32" s="2334"/>
    </row>
    <row r="33" spans="2:20" x14ac:dyDescent="0.25">
      <c r="B33" s="1575" t="s">
        <v>870</v>
      </c>
      <c r="F33" s="1647"/>
      <c r="G33" s="1646"/>
      <c r="H33" s="1591"/>
      <c r="I33" s="823">
        <v>45866</v>
      </c>
      <c r="J33" s="1927">
        <v>298308</v>
      </c>
      <c r="K33" s="1927">
        <v>208557</v>
      </c>
      <c r="L33" s="1937">
        <f t="shared" si="5"/>
        <v>89751</v>
      </c>
      <c r="M33" s="1708"/>
      <c r="N33" s="1708"/>
      <c r="O33" s="1726"/>
      <c r="P33" s="1708"/>
      <c r="Q33" s="1708"/>
      <c r="R33" s="1579"/>
      <c r="S33" s="2333"/>
      <c r="T33" s="2334"/>
    </row>
    <row r="34" spans="2:20" x14ac:dyDescent="0.25">
      <c r="B34" s="1580"/>
      <c r="C34" s="1593" t="s">
        <v>871</v>
      </c>
      <c r="D34" s="1593" t="s">
        <v>872</v>
      </c>
      <c r="E34" s="1580" t="s">
        <v>796</v>
      </c>
      <c r="F34" s="1647"/>
      <c r="G34" s="1646"/>
      <c r="H34" s="1591"/>
      <c r="I34" s="823">
        <v>45867</v>
      </c>
      <c r="J34" s="1927">
        <v>208557</v>
      </c>
      <c r="K34" s="1927">
        <v>295949</v>
      </c>
      <c r="L34" s="1937">
        <f t="shared" si="5"/>
        <v>-87392</v>
      </c>
      <c r="M34" s="1708"/>
      <c r="N34" s="1708"/>
      <c r="O34" s="1726"/>
      <c r="P34" s="1708"/>
      <c r="Q34" s="1708"/>
      <c r="R34" s="1579"/>
      <c r="S34" s="2333"/>
      <c r="T34" s="2334"/>
    </row>
    <row r="35" spans="2:20" x14ac:dyDescent="0.25">
      <c r="B35" s="1580" t="s">
        <v>873</v>
      </c>
      <c r="C35" s="1594"/>
      <c r="D35" s="1594"/>
      <c r="E35" s="1594"/>
      <c r="F35" s="1614"/>
      <c r="I35" s="823">
        <v>45868</v>
      </c>
      <c r="J35" s="1927">
        <v>295949</v>
      </c>
      <c r="K35" s="1927">
        <v>199965</v>
      </c>
      <c r="L35" s="1937">
        <f t="shared" si="5"/>
        <v>95984</v>
      </c>
      <c r="M35" s="1708"/>
      <c r="N35" s="1708"/>
      <c r="O35" s="1726"/>
      <c r="P35" s="1708"/>
      <c r="Q35" s="1708"/>
      <c r="R35" s="1579"/>
      <c r="S35" s="2333"/>
      <c r="T35" s="2334"/>
    </row>
    <row r="36" spans="2:20" x14ac:dyDescent="0.25">
      <c r="B36" s="1648" t="s">
        <v>958</v>
      </c>
      <c r="C36" s="1594"/>
      <c r="D36" s="1594"/>
      <c r="E36" s="1594"/>
      <c r="F36" s="1614"/>
      <c r="I36" s="823">
        <v>45869</v>
      </c>
      <c r="J36" s="1927">
        <v>199965</v>
      </c>
      <c r="K36" s="1927">
        <v>225555</v>
      </c>
      <c r="L36" s="1937">
        <f t="shared" ref="L36" si="6">J36-K36</f>
        <v>-25590</v>
      </c>
      <c r="M36" s="1753"/>
      <c r="N36" s="1753"/>
      <c r="O36" s="1754"/>
      <c r="P36" s="1753"/>
      <c r="Q36" s="1753"/>
      <c r="R36" s="1755"/>
      <c r="S36" s="1752"/>
      <c r="T36" s="1752"/>
    </row>
    <row r="37" spans="2:20" x14ac:dyDescent="0.25">
      <c r="B37" s="1648" t="s">
        <v>959</v>
      </c>
      <c r="C37" s="1594"/>
      <c r="D37" s="1594"/>
      <c r="E37" s="1594"/>
      <c r="F37" s="1614"/>
      <c r="I37" s="1649"/>
      <c r="J37" s="1753"/>
      <c r="K37" s="1753"/>
      <c r="M37" s="1753"/>
      <c r="N37" s="1753"/>
      <c r="O37" s="1754"/>
      <c r="P37" s="1753"/>
      <c r="Q37" s="1753"/>
      <c r="R37" s="1755"/>
      <c r="S37" s="1752"/>
      <c r="T37" s="1752"/>
    </row>
    <row r="38" spans="2:20" x14ac:dyDescent="0.25">
      <c r="B38" s="1580" t="s">
        <v>874</v>
      </c>
      <c r="C38" s="1594"/>
      <c r="D38" s="1594"/>
      <c r="E38" s="1594"/>
      <c r="I38" s="1649"/>
    </row>
    <row r="39" spans="2:20" x14ac:dyDescent="0.25">
      <c r="B39" s="1580" t="s">
        <v>598</v>
      </c>
      <c r="C39" s="1580"/>
      <c r="D39" s="1580"/>
      <c r="E39" s="1580"/>
      <c r="I39" s="1649"/>
    </row>
    <row r="40" spans="2:20" x14ac:dyDescent="0.25">
      <c r="B40" s="1580" t="s">
        <v>875</v>
      </c>
      <c r="C40" s="1580"/>
      <c r="D40" s="1580"/>
      <c r="E40" s="1580"/>
      <c r="I40" s="1649"/>
    </row>
    <row r="41" spans="2:20" x14ac:dyDescent="0.25">
      <c r="B41" s="1580"/>
      <c r="C41" s="1594"/>
      <c r="D41" s="1594"/>
      <c r="E41" s="1594"/>
      <c r="I41" s="1649"/>
    </row>
    <row r="42" spans="2:20" x14ac:dyDescent="0.25">
      <c r="B42" s="1580"/>
      <c r="C42" s="1580"/>
      <c r="D42" s="1580"/>
      <c r="E42" s="1580"/>
      <c r="I42" s="1649"/>
    </row>
    <row r="43" spans="2:20" x14ac:dyDescent="0.25">
      <c r="B43" s="1580"/>
      <c r="C43" s="1580"/>
      <c r="D43" s="1580"/>
      <c r="E43" s="1580"/>
      <c r="I43" s="1649"/>
    </row>
    <row r="44" spans="2:20" x14ac:dyDescent="0.25">
      <c r="I44" s="1649"/>
    </row>
  </sheetData>
  <mergeCells count="34">
    <mergeCell ref="J4:L4"/>
    <mergeCell ref="M4:O4"/>
    <mergeCell ref="P4:R4"/>
    <mergeCell ref="S4:T5"/>
    <mergeCell ref="S6:T6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1:T31"/>
    <mergeCell ref="S32:T32"/>
    <mergeCell ref="S33:T33"/>
    <mergeCell ref="S34:T34"/>
    <mergeCell ref="S35:T35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Y44"/>
  <sheetViews>
    <sheetView topLeftCell="A22" zoomScale="80" zoomScaleNormal="80" workbookViewId="0">
      <selection activeCell="H56" sqref="H56"/>
    </sheetView>
  </sheetViews>
  <sheetFormatPr defaultColWidth="12.5703125" defaultRowHeight="15" x14ac:dyDescent="0.25"/>
  <cols>
    <col min="1" max="1" width="16.5703125" style="1575" customWidth="1"/>
    <col min="2" max="2" width="16.42578125" style="1575" customWidth="1"/>
    <col min="3" max="4" width="12.5703125" style="1575"/>
    <col min="5" max="5" width="14.42578125" style="1575" customWidth="1"/>
    <col min="6" max="6" width="15.42578125" style="1575" customWidth="1"/>
    <col min="7" max="7" width="15.42578125" style="1575" bestFit="1" customWidth="1"/>
    <col min="8" max="8" width="26" style="1575" customWidth="1"/>
    <col min="9" max="9" width="18.85546875" style="1575" bestFit="1" customWidth="1"/>
    <col min="10" max="10" width="9.42578125" style="1575" customWidth="1"/>
    <col min="11" max="11" width="9.5703125" style="1575" customWidth="1"/>
    <col min="12" max="12" width="11.5703125" style="1575" hidden="1" customWidth="1"/>
    <col min="13" max="13" width="10.5703125" style="1575" customWidth="1"/>
    <col min="14" max="14" width="10.7109375" style="1575" customWidth="1"/>
    <col min="15" max="15" width="11" style="1575" hidden="1" customWidth="1"/>
    <col min="16" max="16" width="9.42578125" style="1575" customWidth="1"/>
    <col min="17" max="17" width="11.140625" style="1575" customWidth="1"/>
    <col min="18" max="18" width="0.28515625" style="1575" customWidth="1"/>
    <col min="19" max="20" width="9.42578125" style="1575" customWidth="1"/>
    <col min="21" max="21" width="9.5703125" style="1575" customWidth="1"/>
    <col min="22" max="22" width="10.5703125" style="1575" bestFit="1" customWidth="1"/>
    <col min="23" max="23" width="9.5703125" style="1575" customWidth="1"/>
    <col min="24" max="16384" width="12.5703125" style="1575"/>
  </cols>
  <sheetData>
    <row r="1" spans="1:25" ht="15" customHeight="1" x14ac:dyDescent="0.25">
      <c r="E1" s="2357"/>
      <c r="F1" s="2357"/>
      <c r="G1" s="2357"/>
    </row>
    <row r="2" spans="1:25" ht="15" customHeight="1" x14ac:dyDescent="0.25">
      <c r="E2" s="2357"/>
      <c r="F2" s="2357"/>
      <c r="G2" s="2357"/>
    </row>
    <row r="4" spans="1:25" ht="18.75" x14ac:dyDescent="0.3">
      <c r="A4" s="1575" t="s">
        <v>876</v>
      </c>
      <c r="I4" s="2358" t="s">
        <v>953</v>
      </c>
      <c r="J4" s="2359"/>
      <c r="K4" s="2359"/>
      <c r="L4" s="2359"/>
      <c r="M4" s="2359"/>
      <c r="N4" s="2359"/>
      <c r="O4" s="2359"/>
      <c r="P4" s="2359"/>
      <c r="Q4" s="2359"/>
      <c r="R4" s="2360"/>
      <c r="S4" s="2361" t="s">
        <v>954</v>
      </c>
      <c r="T4" s="2361"/>
      <c r="U4" s="2361"/>
      <c r="V4" s="2361"/>
      <c r="W4" s="2355" t="s">
        <v>1070</v>
      </c>
    </row>
    <row r="5" spans="1:25" ht="15.75" x14ac:dyDescent="0.25">
      <c r="A5" s="1638" t="s">
        <v>1062</v>
      </c>
      <c r="I5" s="2347" t="s">
        <v>952</v>
      </c>
      <c r="J5" s="2348"/>
      <c r="K5" s="2348"/>
      <c r="L5" s="2349"/>
      <c r="M5" s="2350" t="s">
        <v>939</v>
      </c>
      <c r="N5" s="2351"/>
      <c r="O5" s="2352"/>
      <c r="P5" s="2353" t="s">
        <v>73</v>
      </c>
      <c r="Q5" s="2353"/>
      <c r="R5" s="2353"/>
      <c r="S5" s="2354" t="s">
        <v>943</v>
      </c>
      <c r="T5" s="2354"/>
      <c r="U5" s="2354" t="s">
        <v>944</v>
      </c>
      <c r="V5" s="2354"/>
      <c r="W5" s="2356"/>
    </row>
    <row r="6" spans="1:25" ht="165" x14ac:dyDescent="0.25">
      <c r="A6" s="1600" t="s">
        <v>843</v>
      </c>
      <c r="B6" s="1599" t="s">
        <v>844</v>
      </c>
      <c r="C6" s="1599" t="s">
        <v>845</v>
      </c>
      <c r="D6" s="1600" t="s">
        <v>846</v>
      </c>
      <c r="E6" s="1599" t="s">
        <v>877</v>
      </c>
      <c r="F6" s="1601" t="s">
        <v>878</v>
      </c>
      <c r="G6" s="1600" t="s">
        <v>14</v>
      </c>
      <c r="I6" s="1714" t="s">
        <v>169</v>
      </c>
      <c r="J6" s="1715" t="s">
        <v>170</v>
      </c>
      <c r="K6" s="1715" t="s">
        <v>171</v>
      </c>
      <c r="L6" s="1715" t="s">
        <v>942</v>
      </c>
      <c r="M6" s="1716" t="s">
        <v>170</v>
      </c>
      <c r="N6" s="1716" t="s">
        <v>171</v>
      </c>
      <c r="O6" s="1716" t="s">
        <v>942</v>
      </c>
      <c r="P6" s="1717" t="s">
        <v>170</v>
      </c>
      <c r="Q6" s="1717" t="s">
        <v>171</v>
      </c>
      <c r="R6" s="1733" t="s">
        <v>942</v>
      </c>
      <c r="S6" s="1943" t="s">
        <v>170</v>
      </c>
      <c r="T6" s="1943" t="s">
        <v>941</v>
      </c>
      <c r="U6" s="1944" t="s">
        <v>170</v>
      </c>
      <c r="V6" s="1944" t="s">
        <v>941</v>
      </c>
      <c r="W6" s="1944"/>
    </row>
    <row r="7" spans="1:25" x14ac:dyDescent="0.25">
      <c r="A7" s="1579" t="s">
        <v>879</v>
      </c>
      <c r="B7" s="1581">
        <v>70.510000000000005</v>
      </c>
      <c r="C7" s="1602">
        <v>890</v>
      </c>
      <c r="D7" s="1581">
        <v>60</v>
      </c>
      <c r="E7" s="1603">
        <f>D7/100</f>
        <v>0.6</v>
      </c>
      <c r="F7" s="2185">
        <v>0</v>
      </c>
      <c r="G7" s="1604">
        <f>E7*F7*1000</f>
        <v>0</v>
      </c>
      <c r="H7" s="1575" t="s">
        <v>216</v>
      </c>
      <c r="I7" s="823">
        <v>45839</v>
      </c>
      <c r="J7" s="1580"/>
      <c r="K7" s="1580"/>
      <c r="L7" s="1721"/>
      <c r="M7" s="1580"/>
      <c r="N7" s="1580"/>
      <c r="O7" s="1579"/>
      <c r="P7" s="1580"/>
      <c r="Q7" s="1580"/>
      <c r="R7" s="1718"/>
      <c r="S7" s="1708"/>
      <c r="T7" s="1708"/>
      <c r="U7" s="1708"/>
      <c r="V7" s="1708"/>
      <c r="W7" s="1708"/>
    </row>
    <row r="8" spans="1:25" x14ac:dyDescent="0.25">
      <c r="A8" s="1579" t="s">
        <v>880</v>
      </c>
      <c r="B8" s="1581">
        <v>70.510000000000005</v>
      </c>
      <c r="C8" s="1602">
        <v>890</v>
      </c>
      <c r="D8" s="1581">
        <v>60</v>
      </c>
      <c r="E8" s="1603">
        <f t="shared" ref="E8:E21" si="0">D8/100</f>
        <v>0.6</v>
      </c>
      <c r="F8" s="2185">
        <v>0</v>
      </c>
      <c r="G8" s="1604">
        <f t="shared" ref="G8:G21" si="1">E8*F8*1000</f>
        <v>0</v>
      </c>
      <c r="H8" s="1605"/>
      <c r="I8" s="823">
        <v>45840</v>
      </c>
      <c r="J8" s="1580"/>
      <c r="K8" s="1580"/>
      <c r="L8" s="1721"/>
      <c r="M8" s="1580"/>
      <c r="N8" s="1580"/>
      <c r="O8" s="1579"/>
      <c r="P8" s="1580"/>
      <c r="Q8" s="1580"/>
      <c r="R8" s="1718"/>
      <c r="S8" s="1708"/>
      <c r="T8" s="1708"/>
      <c r="U8" s="1708"/>
      <c r="V8" s="1708"/>
      <c r="W8" s="1708"/>
    </row>
    <row r="9" spans="1:25" x14ac:dyDescent="0.25">
      <c r="A9" s="1579" t="s">
        <v>881</v>
      </c>
      <c r="B9" s="1581">
        <v>70.510000000000005</v>
      </c>
      <c r="C9" s="1602">
        <v>890</v>
      </c>
      <c r="D9" s="1581">
        <v>60</v>
      </c>
      <c r="E9" s="1603">
        <f t="shared" si="0"/>
        <v>0.6</v>
      </c>
      <c r="F9" s="2185">
        <v>100</v>
      </c>
      <c r="G9" s="1604">
        <f t="shared" si="1"/>
        <v>60000</v>
      </c>
      <c r="I9" s="823">
        <v>45841</v>
      </c>
      <c r="J9" s="1580"/>
      <c r="K9" s="1580"/>
      <c r="L9" s="1721"/>
      <c r="M9" s="1580"/>
      <c r="N9" s="1580"/>
      <c r="O9" s="1579"/>
      <c r="P9" s="1580"/>
      <c r="Q9" s="1580"/>
      <c r="R9" s="1718"/>
      <c r="S9" s="1708"/>
      <c r="T9" s="1708"/>
      <c r="U9" s="1708"/>
      <c r="V9" s="1708"/>
      <c r="W9" s="1708"/>
    </row>
    <row r="10" spans="1:25" x14ac:dyDescent="0.25">
      <c r="A10" s="1579" t="s">
        <v>882</v>
      </c>
      <c r="B10" s="1581">
        <v>70.510000000000005</v>
      </c>
      <c r="C10" s="1602">
        <v>890</v>
      </c>
      <c r="D10" s="1581">
        <v>60</v>
      </c>
      <c r="E10" s="1603">
        <f t="shared" si="0"/>
        <v>0.6</v>
      </c>
      <c r="F10" s="2185">
        <v>98.9</v>
      </c>
      <c r="G10" s="1604">
        <f t="shared" si="1"/>
        <v>59340</v>
      </c>
      <c r="I10" s="823">
        <v>45842</v>
      </c>
      <c r="J10" s="1580"/>
      <c r="K10" s="1580"/>
      <c r="L10" s="1721"/>
      <c r="M10" s="1580"/>
      <c r="N10" s="1580"/>
      <c r="O10" s="1579"/>
      <c r="P10" s="1580"/>
      <c r="Q10" s="1580"/>
      <c r="R10" s="1718"/>
      <c r="S10" s="1709"/>
      <c r="T10" s="1709"/>
      <c r="U10" s="1709"/>
      <c r="V10" s="1708"/>
      <c r="W10" s="1708"/>
    </row>
    <row r="11" spans="1:25" x14ac:dyDescent="0.25">
      <c r="A11" s="1579" t="s">
        <v>883</v>
      </c>
      <c r="B11" s="1581">
        <v>70.510000000000005</v>
      </c>
      <c r="C11" s="1602">
        <v>890</v>
      </c>
      <c r="D11" s="1581">
        <v>60</v>
      </c>
      <c r="E11" s="1603">
        <f t="shared" si="0"/>
        <v>0.6</v>
      </c>
      <c r="F11" s="2185">
        <v>100</v>
      </c>
      <c r="G11" s="1604">
        <f t="shared" si="1"/>
        <v>60000</v>
      </c>
      <c r="I11" s="823">
        <v>45843</v>
      </c>
      <c r="J11" s="1580"/>
      <c r="K11" s="1580"/>
      <c r="L11" s="1721"/>
      <c r="M11" s="1580"/>
      <c r="N11" s="1580"/>
      <c r="O11" s="1579"/>
      <c r="P11" s="1580"/>
      <c r="Q11" s="1580"/>
      <c r="R11" s="1718"/>
      <c r="S11" s="1708"/>
      <c r="T11" s="1708"/>
      <c r="U11" s="1708"/>
      <c r="V11" s="1708"/>
      <c r="W11" s="1708"/>
    </row>
    <row r="12" spans="1:25" x14ac:dyDescent="0.25">
      <c r="A12" s="1579" t="s">
        <v>884</v>
      </c>
      <c r="B12" s="1581">
        <v>70.510000000000005</v>
      </c>
      <c r="C12" s="1602">
        <v>890</v>
      </c>
      <c r="D12" s="1581">
        <v>60</v>
      </c>
      <c r="E12" s="1603">
        <f t="shared" si="0"/>
        <v>0.6</v>
      </c>
      <c r="F12" s="2185">
        <v>99.9</v>
      </c>
      <c r="G12" s="1604">
        <f>E12*F12*1000</f>
        <v>59940</v>
      </c>
      <c r="I12" s="823">
        <v>45844</v>
      </c>
      <c r="J12" s="1580"/>
      <c r="K12" s="1580"/>
      <c r="L12" s="1721"/>
      <c r="M12" s="1580"/>
      <c r="N12" s="1580"/>
      <c r="O12" s="1579"/>
      <c r="P12" s="1580"/>
      <c r="Q12" s="1580"/>
      <c r="R12" s="1718"/>
      <c r="S12" s="1710"/>
      <c r="T12" s="1710"/>
      <c r="U12" s="1710"/>
      <c r="V12" s="1708"/>
      <c r="W12" s="1708"/>
    </row>
    <row r="13" spans="1:25" x14ac:dyDescent="0.25">
      <c r="A13" s="1579" t="s">
        <v>885</v>
      </c>
      <c r="B13" s="1581">
        <v>70.510000000000005</v>
      </c>
      <c r="C13" s="1602">
        <v>890</v>
      </c>
      <c r="D13" s="1581">
        <v>60</v>
      </c>
      <c r="E13" s="1603">
        <f t="shared" si="0"/>
        <v>0.6</v>
      </c>
      <c r="F13" s="2185">
        <v>100</v>
      </c>
      <c r="G13" s="1604">
        <f t="shared" si="1"/>
        <v>60000</v>
      </c>
      <c r="H13" s="1606"/>
      <c r="I13" s="823">
        <v>45845</v>
      </c>
      <c r="J13" s="1580"/>
      <c r="K13" s="1580"/>
      <c r="L13" s="1721"/>
      <c r="M13" s="1580"/>
      <c r="N13" s="1580"/>
      <c r="O13" s="1579"/>
      <c r="P13" s="1580"/>
      <c r="Q13" s="1580"/>
      <c r="R13" s="1718"/>
      <c r="S13" s="1711">
        <v>34859</v>
      </c>
      <c r="T13" s="1711">
        <v>34831</v>
      </c>
      <c r="U13" s="1711">
        <v>272307</v>
      </c>
      <c r="V13" s="1708">
        <v>33986</v>
      </c>
      <c r="W13" s="1708"/>
    </row>
    <row r="14" spans="1:25" x14ac:dyDescent="0.25">
      <c r="A14" s="1579" t="s">
        <v>886</v>
      </c>
      <c r="B14" s="1581">
        <v>70.510000000000005</v>
      </c>
      <c r="C14" s="1602">
        <v>890</v>
      </c>
      <c r="D14" s="1581">
        <v>60</v>
      </c>
      <c r="E14" s="1603">
        <f t="shared" si="0"/>
        <v>0.6</v>
      </c>
      <c r="F14" s="2185">
        <v>100</v>
      </c>
      <c r="G14" s="1604">
        <f t="shared" si="1"/>
        <v>60000</v>
      </c>
      <c r="I14" s="823">
        <v>45846</v>
      </c>
      <c r="J14" s="1639">
        <v>0</v>
      </c>
      <c r="K14" s="1639">
        <v>420000</v>
      </c>
      <c r="L14" s="1722">
        <f t="shared" ref="L14:L22" si="2">J14-K14</f>
        <v>-420000</v>
      </c>
      <c r="M14" s="1639">
        <v>0</v>
      </c>
      <c r="N14" s="1639">
        <v>21696</v>
      </c>
      <c r="O14" s="1720"/>
      <c r="P14" s="1950">
        <v>0</v>
      </c>
      <c r="Q14" s="1950">
        <v>0</v>
      </c>
      <c r="R14" s="1718"/>
      <c r="S14" s="1711">
        <v>34831</v>
      </c>
      <c r="T14" s="1956">
        <v>106130</v>
      </c>
      <c r="U14" s="1708">
        <v>33986</v>
      </c>
      <c r="V14" s="1711">
        <v>33991</v>
      </c>
      <c r="W14" s="1711"/>
    </row>
    <row r="15" spans="1:25" ht="14.85" customHeight="1" x14ac:dyDescent="0.25">
      <c r="A15" s="1579" t="s">
        <v>887</v>
      </c>
      <c r="B15" s="1581">
        <v>70.510000000000005</v>
      </c>
      <c r="C15" s="1602">
        <v>890</v>
      </c>
      <c r="D15" s="1581">
        <v>60</v>
      </c>
      <c r="E15" s="1603">
        <f t="shared" si="0"/>
        <v>0.6</v>
      </c>
      <c r="F15" s="2185">
        <v>100</v>
      </c>
      <c r="G15" s="1604">
        <f t="shared" si="1"/>
        <v>60000</v>
      </c>
      <c r="I15" s="823">
        <v>45847</v>
      </c>
      <c r="J15" s="1639">
        <v>420000</v>
      </c>
      <c r="K15" s="1639">
        <v>360000</v>
      </c>
      <c r="L15" s="1722">
        <f t="shared" si="2"/>
        <v>60000</v>
      </c>
      <c r="M15" s="1639">
        <v>216969</v>
      </c>
      <c r="N15" s="1639">
        <v>22253</v>
      </c>
      <c r="O15" s="1720"/>
      <c r="P15" s="1580"/>
      <c r="Q15" s="1639">
        <v>0</v>
      </c>
      <c r="R15" s="1718">
        <v>0</v>
      </c>
      <c r="S15" s="1956">
        <v>106130</v>
      </c>
      <c r="T15" s="1712">
        <v>34893</v>
      </c>
      <c r="U15" s="1711">
        <v>33991</v>
      </c>
      <c r="V15" s="1711">
        <v>34003</v>
      </c>
      <c r="W15" s="947">
        <v>53843</v>
      </c>
      <c r="Y15" s="1578"/>
    </row>
    <row r="16" spans="1:25" ht="14.85" customHeight="1" x14ac:dyDescent="0.25">
      <c r="A16" s="1579" t="s">
        <v>888</v>
      </c>
      <c r="B16" s="1581">
        <v>70.510000000000005</v>
      </c>
      <c r="C16" s="1602">
        <v>890</v>
      </c>
      <c r="D16" s="1581">
        <v>60</v>
      </c>
      <c r="E16" s="1603">
        <f t="shared" si="0"/>
        <v>0.6</v>
      </c>
      <c r="F16" s="2185">
        <v>99.9</v>
      </c>
      <c r="G16" s="1604">
        <f t="shared" si="1"/>
        <v>59940</v>
      </c>
      <c r="H16" s="1578"/>
      <c r="I16" s="823">
        <v>45848</v>
      </c>
      <c r="J16" s="1639">
        <v>360000</v>
      </c>
      <c r="K16" s="1575">
        <v>600000</v>
      </c>
      <c r="L16" s="1722">
        <f>J16-J17</f>
        <v>-240000</v>
      </c>
      <c r="M16" s="1639">
        <v>22253</v>
      </c>
      <c r="N16" s="1639">
        <v>12490</v>
      </c>
      <c r="O16" s="1720">
        <f t="shared" ref="O16:O23" si="3">M16-N16</f>
        <v>9763</v>
      </c>
      <c r="P16" s="1639">
        <v>0</v>
      </c>
      <c r="Q16" s="1639">
        <v>0</v>
      </c>
      <c r="R16" s="1719">
        <f t="shared" ref="R16:R25" si="4">P16-Q16</f>
        <v>0</v>
      </c>
      <c r="S16" s="1712">
        <v>34893</v>
      </c>
      <c r="T16" s="1711">
        <v>68629</v>
      </c>
      <c r="U16" s="1711">
        <v>34003</v>
      </c>
      <c r="V16" s="1712">
        <v>40538</v>
      </c>
      <c r="W16" s="1712"/>
    </row>
    <row r="17" spans="1:24" x14ac:dyDescent="0.25">
      <c r="A17" s="1579" t="s">
        <v>889</v>
      </c>
      <c r="B17" s="1581">
        <v>70.510000000000005</v>
      </c>
      <c r="C17" s="1602">
        <v>890</v>
      </c>
      <c r="D17" s="1581">
        <v>60</v>
      </c>
      <c r="E17" s="1603">
        <f t="shared" si="0"/>
        <v>0.6</v>
      </c>
      <c r="F17" s="2185">
        <v>100</v>
      </c>
      <c r="G17" s="1604">
        <f t="shared" si="1"/>
        <v>60000</v>
      </c>
      <c r="I17" s="823">
        <v>45849</v>
      </c>
      <c r="J17" s="1639">
        <v>600000</v>
      </c>
      <c r="K17" s="1639">
        <v>419580</v>
      </c>
      <c r="L17" s="1722" t="e">
        <f>#REF!-K17</f>
        <v>#REF!</v>
      </c>
      <c r="M17" s="1639">
        <v>12490</v>
      </c>
      <c r="N17" s="2057">
        <v>17315</v>
      </c>
      <c r="O17" s="1720">
        <f t="shared" si="3"/>
        <v>-4825</v>
      </c>
      <c r="P17" s="1639">
        <v>0</v>
      </c>
      <c r="Q17" s="1578">
        <v>0</v>
      </c>
      <c r="R17" s="1719">
        <f t="shared" si="4"/>
        <v>0</v>
      </c>
      <c r="S17" s="1711">
        <v>68629</v>
      </c>
      <c r="T17" s="1711">
        <v>34876</v>
      </c>
      <c r="U17" s="1712">
        <v>40538</v>
      </c>
      <c r="V17" s="1712">
        <v>59415</v>
      </c>
      <c r="W17" s="1712"/>
      <c r="X17" s="1578"/>
    </row>
    <row r="18" spans="1:24" x14ac:dyDescent="0.25">
      <c r="A18" s="1579" t="s">
        <v>890</v>
      </c>
      <c r="B18" s="1581">
        <v>70.510000000000005</v>
      </c>
      <c r="C18" s="1602">
        <v>890</v>
      </c>
      <c r="D18" s="1581">
        <v>60</v>
      </c>
      <c r="E18" s="1603">
        <f t="shared" si="0"/>
        <v>0.6</v>
      </c>
      <c r="F18" s="2185">
        <v>99.9</v>
      </c>
      <c r="G18" s="1604">
        <f t="shared" si="1"/>
        <v>59940</v>
      </c>
      <c r="H18" s="1578"/>
      <c r="I18" s="823">
        <v>45850</v>
      </c>
      <c r="J18" s="1639">
        <v>419580</v>
      </c>
      <c r="K18" s="1639">
        <v>479100</v>
      </c>
      <c r="L18" s="1722">
        <f t="shared" si="2"/>
        <v>-59520</v>
      </c>
      <c r="M18" s="1639">
        <v>17315</v>
      </c>
      <c r="N18" s="1639">
        <v>21738</v>
      </c>
      <c r="O18" s="1720">
        <f t="shared" si="3"/>
        <v>-4423</v>
      </c>
      <c r="P18" s="1639">
        <v>0</v>
      </c>
      <c r="Q18" s="1639">
        <v>0</v>
      </c>
      <c r="R18" s="1719">
        <f t="shared" si="4"/>
        <v>0</v>
      </c>
      <c r="S18" s="1711">
        <v>34876</v>
      </c>
      <c r="T18" s="2015">
        <v>34876</v>
      </c>
      <c r="U18" s="1712">
        <v>59415</v>
      </c>
      <c r="V18" s="2015">
        <v>71991</v>
      </c>
      <c r="W18" s="1711"/>
    </row>
    <row r="19" spans="1:24" x14ac:dyDescent="0.25">
      <c r="A19" s="1579" t="s">
        <v>891</v>
      </c>
      <c r="B19" s="1581">
        <v>70.510000000000005</v>
      </c>
      <c r="C19" s="1602">
        <v>890</v>
      </c>
      <c r="D19" s="1581">
        <v>60</v>
      </c>
      <c r="E19" s="1603">
        <f t="shared" si="0"/>
        <v>0.6</v>
      </c>
      <c r="F19" s="2185">
        <v>99.8</v>
      </c>
      <c r="G19" s="1604">
        <f t="shared" si="1"/>
        <v>59879.999999999993</v>
      </c>
      <c r="I19" s="823">
        <v>45851</v>
      </c>
      <c r="J19" s="1639">
        <v>479100</v>
      </c>
      <c r="K19" s="1950">
        <v>418500</v>
      </c>
      <c r="L19" s="1722">
        <f t="shared" si="2"/>
        <v>60600</v>
      </c>
      <c r="M19" s="1639">
        <v>21738</v>
      </c>
      <c r="N19" s="1639">
        <v>22623</v>
      </c>
      <c r="O19" s="1720">
        <f t="shared" si="3"/>
        <v>-885</v>
      </c>
      <c r="P19" s="1639">
        <v>0</v>
      </c>
      <c r="Q19" s="1639">
        <v>0</v>
      </c>
      <c r="R19" s="1719">
        <f t="shared" si="4"/>
        <v>0</v>
      </c>
      <c r="S19" s="2015">
        <v>34876</v>
      </c>
      <c r="T19" s="2054">
        <v>85045</v>
      </c>
      <c r="U19" s="2015">
        <v>71991</v>
      </c>
      <c r="V19" s="2054">
        <v>86131</v>
      </c>
      <c r="W19" s="1711"/>
    </row>
    <row r="20" spans="1:24" x14ac:dyDescent="0.25">
      <c r="A20" s="1579" t="s">
        <v>892</v>
      </c>
      <c r="B20" s="1581">
        <v>70.510000000000005</v>
      </c>
      <c r="C20" s="1602">
        <v>890</v>
      </c>
      <c r="D20" s="1581">
        <v>60</v>
      </c>
      <c r="E20" s="1603">
        <f t="shared" si="0"/>
        <v>0.6</v>
      </c>
      <c r="F20" s="2185">
        <v>99.6</v>
      </c>
      <c r="G20" s="1604">
        <f t="shared" si="1"/>
        <v>59759.999999999993</v>
      </c>
      <c r="I20" s="823">
        <v>45852</v>
      </c>
      <c r="J20" s="1950">
        <v>418500</v>
      </c>
      <c r="K20" s="1950">
        <v>540000</v>
      </c>
      <c r="L20" s="1951">
        <f t="shared" si="2"/>
        <v>-121500</v>
      </c>
      <c r="M20" s="1639">
        <v>22623</v>
      </c>
      <c r="N20" s="1950">
        <v>39470</v>
      </c>
      <c r="O20" s="1952">
        <f t="shared" si="3"/>
        <v>-16847</v>
      </c>
      <c r="P20" s="1950">
        <v>0</v>
      </c>
      <c r="Q20" s="1950">
        <v>0</v>
      </c>
      <c r="R20" s="1953">
        <f t="shared" si="4"/>
        <v>0</v>
      </c>
      <c r="S20" s="2054">
        <v>85045</v>
      </c>
      <c r="T20" s="1711">
        <v>81918</v>
      </c>
      <c r="U20" s="2054">
        <v>86131</v>
      </c>
      <c r="V20" s="1711">
        <v>102628</v>
      </c>
      <c r="W20" s="1711"/>
    </row>
    <row r="21" spans="1:24" x14ac:dyDescent="0.25">
      <c r="A21" s="1579" t="s">
        <v>893</v>
      </c>
      <c r="B21" s="1581">
        <v>70.510000000000005</v>
      </c>
      <c r="C21" s="1602">
        <v>890</v>
      </c>
      <c r="D21" s="1581">
        <v>60</v>
      </c>
      <c r="E21" s="1603">
        <f t="shared" si="0"/>
        <v>0.6</v>
      </c>
      <c r="F21" s="2185">
        <v>99.5</v>
      </c>
      <c r="G21" s="1604">
        <f t="shared" si="1"/>
        <v>59699.999999999993</v>
      </c>
      <c r="I21" s="823">
        <v>45853</v>
      </c>
      <c r="J21" s="1950">
        <v>540000</v>
      </c>
      <c r="K21" s="1950">
        <v>780000</v>
      </c>
      <c r="L21" s="1948">
        <f t="shared" si="2"/>
        <v>-240000</v>
      </c>
      <c r="M21" s="1950">
        <v>39470</v>
      </c>
      <c r="N21" s="1950">
        <v>25248</v>
      </c>
      <c r="O21" s="1952">
        <f t="shared" si="3"/>
        <v>14222</v>
      </c>
      <c r="P21" s="1950">
        <v>0</v>
      </c>
      <c r="Q21" s="1950">
        <v>0</v>
      </c>
      <c r="R21" s="1953">
        <f t="shared" si="4"/>
        <v>0</v>
      </c>
      <c r="S21" s="1711">
        <v>85045</v>
      </c>
      <c r="T21" s="2055">
        <v>81918</v>
      </c>
      <c r="U21" s="1711">
        <v>86131</v>
      </c>
      <c r="V21" s="1711">
        <v>102628</v>
      </c>
      <c r="W21" s="1711"/>
    </row>
    <row r="22" spans="1:24" x14ac:dyDescent="0.25">
      <c r="A22" s="1607"/>
      <c r="B22" s="1608"/>
      <c r="C22" s="1609"/>
      <c r="D22" s="1610"/>
      <c r="E22" s="1611"/>
      <c r="F22" s="2014"/>
      <c r="G22" s="1612"/>
      <c r="H22" s="1632"/>
      <c r="I22" s="823">
        <v>45854</v>
      </c>
      <c r="J22" s="1950">
        <v>780000</v>
      </c>
      <c r="K22" s="1950">
        <v>701880</v>
      </c>
      <c r="L22" s="1948">
        <f t="shared" si="2"/>
        <v>78120</v>
      </c>
      <c r="M22" s="1950">
        <v>25248</v>
      </c>
      <c r="N22" s="1950">
        <v>40262</v>
      </c>
      <c r="O22" s="1952">
        <f t="shared" si="3"/>
        <v>-15014</v>
      </c>
      <c r="P22" s="1950">
        <v>0</v>
      </c>
      <c r="Q22" s="1954"/>
      <c r="R22" s="1955">
        <f t="shared" si="4"/>
        <v>0</v>
      </c>
      <c r="S22" s="2055">
        <v>81918</v>
      </c>
      <c r="T22" s="2055">
        <v>84269</v>
      </c>
      <c r="U22" s="1711">
        <v>102628</v>
      </c>
      <c r="V22" s="1711">
        <v>115980</v>
      </c>
      <c r="W22" s="1711"/>
    </row>
    <row r="23" spans="1:24" x14ac:dyDescent="0.25">
      <c r="A23" s="1614"/>
      <c r="B23" s="1614"/>
      <c r="C23" s="1614"/>
      <c r="D23" s="1588"/>
      <c r="E23" s="1587"/>
      <c r="F23" s="1613" t="s">
        <v>894</v>
      </c>
      <c r="G23" s="1633">
        <f>SUM(G7:G21)</f>
        <v>778500</v>
      </c>
      <c r="H23" s="1578"/>
      <c r="I23" s="823">
        <v>45855</v>
      </c>
      <c r="J23" s="1950">
        <v>701880</v>
      </c>
      <c r="K23" s="1639">
        <v>540000</v>
      </c>
      <c r="L23" s="1721"/>
      <c r="M23" s="1950">
        <v>40262</v>
      </c>
      <c r="N23" s="1639">
        <v>56197</v>
      </c>
      <c r="O23" s="1579">
        <f t="shared" si="3"/>
        <v>-15935</v>
      </c>
      <c r="P23" s="1954"/>
      <c r="Q23" s="1639"/>
      <c r="R23" s="1718">
        <f t="shared" si="4"/>
        <v>0</v>
      </c>
      <c r="S23" s="2055">
        <v>34870</v>
      </c>
      <c r="T23" s="1711">
        <v>34856</v>
      </c>
      <c r="U23" s="1711">
        <v>136404</v>
      </c>
      <c r="V23" s="1711">
        <v>157615</v>
      </c>
      <c r="W23" s="1711"/>
    </row>
    <row r="24" spans="1:24" x14ac:dyDescent="0.25">
      <c r="A24" s="1614"/>
      <c r="B24" s="1614"/>
      <c r="C24" s="1614"/>
      <c r="D24" s="1588"/>
      <c r="E24" s="1587"/>
      <c r="G24" s="1615"/>
      <c r="H24" s="1578"/>
      <c r="I24" s="823">
        <v>45856</v>
      </c>
      <c r="J24" s="1639">
        <v>540000</v>
      </c>
      <c r="K24" s="1639">
        <v>300000</v>
      </c>
      <c r="L24" s="1721"/>
      <c r="M24" s="1639">
        <v>56197</v>
      </c>
      <c r="N24" s="1639">
        <v>23201</v>
      </c>
      <c r="O24" s="1579"/>
      <c r="P24" s="1639"/>
      <c r="Q24" s="1950"/>
      <c r="R24" s="1718">
        <f t="shared" si="4"/>
        <v>0</v>
      </c>
      <c r="S24" s="1711">
        <v>34856</v>
      </c>
      <c r="T24" s="1711">
        <v>58883</v>
      </c>
      <c r="U24" s="1711">
        <v>157615</v>
      </c>
      <c r="V24" s="1711">
        <v>170967</v>
      </c>
      <c r="W24" s="1711"/>
      <c r="X24" s="1578"/>
    </row>
    <row r="25" spans="1:24" x14ac:dyDescent="0.25">
      <c r="A25" s="1575" t="s">
        <v>895</v>
      </c>
      <c r="D25" s="1588"/>
      <c r="E25" s="1587"/>
      <c r="G25" s="1615"/>
      <c r="I25" s="823">
        <v>45857</v>
      </c>
      <c r="J25" s="1639">
        <v>300000</v>
      </c>
      <c r="K25" s="1639">
        <v>780000</v>
      </c>
      <c r="L25" s="1721"/>
      <c r="M25" s="1639">
        <v>23201</v>
      </c>
      <c r="N25" s="1639">
        <v>24721</v>
      </c>
      <c r="O25" s="1579"/>
      <c r="P25" s="1950"/>
      <c r="Q25" s="1950"/>
      <c r="R25" s="1718">
        <f t="shared" si="4"/>
        <v>0</v>
      </c>
      <c r="S25" s="1711">
        <v>58883</v>
      </c>
      <c r="T25" s="1711">
        <v>98338</v>
      </c>
      <c r="U25" s="1711">
        <v>170967</v>
      </c>
      <c r="V25" s="1711">
        <v>195337</v>
      </c>
      <c r="W25" s="1711"/>
    </row>
    <row r="26" spans="1:24" ht="42.75" x14ac:dyDescent="0.25">
      <c r="A26" s="1600" t="s">
        <v>843</v>
      </c>
      <c r="B26" s="1599" t="s">
        <v>844</v>
      </c>
      <c r="C26" s="1599" t="s">
        <v>845</v>
      </c>
      <c r="D26" s="1600" t="s">
        <v>846</v>
      </c>
      <c r="E26" s="1599" t="s">
        <v>877</v>
      </c>
      <c r="F26" s="1616" t="s">
        <v>878</v>
      </c>
      <c r="G26" s="1600" t="s">
        <v>14</v>
      </c>
      <c r="I26" s="823">
        <v>45858</v>
      </c>
      <c r="J26" s="1639">
        <v>780000</v>
      </c>
      <c r="K26" s="1957">
        <v>720000</v>
      </c>
      <c r="L26" s="1923"/>
      <c r="M26" s="1639">
        <v>24721</v>
      </c>
      <c r="N26" s="1639">
        <v>24721</v>
      </c>
      <c r="O26" s="1924"/>
      <c r="P26" s="1950"/>
      <c r="Q26" s="1950"/>
      <c r="R26" s="1925"/>
      <c r="S26" s="1711">
        <v>98338</v>
      </c>
      <c r="T26" s="1711">
        <v>113968</v>
      </c>
      <c r="U26" s="1711">
        <v>195337</v>
      </c>
      <c r="V26" s="1711">
        <v>209474</v>
      </c>
      <c r="W26" s="1711"/>
      <c r="X26" s="1578"/>
    </row>
    <row r="27" spans="1:24" x14ac:dyDescent="0.25">
      <c r="A27" s="1640" t="s">
        <v>913</v>
      </c>
      <c r="B27" s="1580">
        <v>15.95</v>
      </c>
      <c r="C27" s="1580">
        <v>885</v>
      </c>
      <c r="D27" s="1581">
        <f>B27*C27/1000</f>
        <v>14.11575</v>
      </c>
      <c r="E27" s="1603">
        <f>D27/100</f>
        <v>0.14115749999999999</v>
      </c>
      <c r="F27" s="2193">
        <v>72.3</v>
      </c>
      <c r="G27" s="1604">
        <f>E27*F27*1000</f>
        <v>10205.687249999999</v>
      </c>
      <c r="I27" s="823">
        <v>45859</v>
      </c>
      <c r="J27" s="1957">
        <v>720000</v>
      </c>
      <c r="K27" s="1929">
        <v>658920</v>
      </c>
      <c r="L27" s="1721"/>
      <c r="M27" s="1639">
        <v>24721</v>
      </c>
      <c r="N27" s="1639">
        <v>19504</v>
      </c>
      <c r="O27" s="1579"/>
      <c r="P27" s="1950"/>
      <c r="Q27" s="1950"/>
      <c r="R27" s="1718"/>
      <c r="S27" s="1956">
        <v>113968</v>
      </c>
      <c r="T27" s="1926">
        <v>67849</v>
      </c>
      <c r="U27" s="1711">
        <v>209474</v>
      </c>
      <c r="V27" s="1711">
        <v>232257</v>
      </c>
      <c r="W27" s="1711"/>
      <c r="X27" s="1578"/>
    </row>
    <row r="28" spans="1:24" x14ac:dyDescent="0.25">
      <c r="A28" s="1640" t="s">
        <v>908</v>
      </c>
      <c r="B28" s="1580">
        <v>3.02</v>
      </c>
      <c r="C28" s="1580">
        <v>885</v>
      </c>
      <c r="D28" s="1581">
        <f>B28*C28/1000</f>
        <v>2.6726999999999999</v>
      </c>
      <c r="E28" s="1603">
        <f>D28/100</f>
        <v>2.6726999999999997E-2</v>
      </c>
      <c r="F28" s="2193">
        <v>0</v>
      </c>
      <c r="G28" s="1604">
        <f>E28*F28*1000</f>
        <v>0</v>
      </c>
      <c r="I28" s="823">
        <v>45860</v>
      </c>
      <c r="J28" s="2194">
        <v>658920</v>
      </c>
      <c r="K28" s="2194">
        <v>658860</v>
      </c>
      <c r="L28" s="1721"/>
      <c r="M28" s="1950">
        <v>19504</v>
      </c>
      <c r="N28" s="1950">
        <v>20809</v>
      </c>
      <c r="O28" s="1579"/>
      <c r="P28" s="308"/>
      <c r="Q28" s="1639"/>
      <c r="R28" s="1718"/>
      <c r="S28" s="1926">
        <v>67849</v>
      </c>
      <c r="T28" s="1926">
        <v>163972</v>
      </c>
      <c r="U28" s="1711">
        <v>232257</v>
      </c>
      <c r="V28" s="1711">
        <v>152224</v>
      </c>
      <c r="W28" s="1711"/>
      <c r="X28" s="1578"/>
    </row>
    <row r="29" spans="1:24" x14ac:dyDescent="0.25">
      <c r="A29" s="1579" t="s">
        <v>896</v>
      </c>
      <c r="B29" s="1580">
        <v>82.48</v>
      </c>
      <c r="C29" s="1580">
        <v>885</v>
      </c>
      <c r="D29" s="1581">
        <f>B29*C29/1000</f>
        <v>72.994799999999998</v>
      </c>
      <c r="E29" s="1603">
        <f>D29/100</f>
        <v>0.72994799999999993</v>
      </c>
      <c r="F29" s="2193">
        <v>0</v>
      </c>
      <c r="G29" s="1604">
        <f>E29*F29*1000</f>
        <v>0</v>
      </c>
      <c r="H29" s="1617"/>
      <c r="I29" s="823">
        <v>45861</v>
      </c>
      <c r="J29" s="2194">
        <v>658860</v>
      </c>
      <c r="K29" s="2194">
        <v>635580</v>
      </c>
      <c r="L29" s="1721"/>
      <c r="M29" s="1950">
        <v>20809</v>
      </c>
      <c r="N29" s="1950">
        <v>19215</v>
      </c>
      <c r="O29" s="1579"/>
      <c r="P29" s="308"/>
      <c r="Q29" s="1639"/>
      <c r="R29" s="1718"/>
      <c r="S29" s="1926">
        <v>163972</v>
      </c>
      <c r="T29" s="1926">
        <v>47434</v>
      </c>
      <c r="U29" s="1711">
        <v>152224</v>
      </c>
      <c r="V29" s="1711">
        <v>160023</v>
      </c>
      <c r="W29" s="1711"/>
    </row>
    <row r="30" spans="1:24" x14ac:dyDescent="0.25">
      <c r="A30" s="1579" t="s">
        <v>897</v>
      </c>
      <c r="B30" s="1580">
        <v>16.95</v>
      </c>
      <c r="C30" s="1580">
        <v>885</v>
      </c>
      <c r="D30" s="1581">
        <f>B30*C30/1000</f>
        <v>15.00075</v>
      </c>
      <c r="E30" s="1603">
        <f>D30/100</f>
        <v>0.15000749999999999</v>
      </c>
      <c r="F30" s="2193">
        <v>93</v>
      </c>
      <c r="G30" s="1604">
        <f>E30*F30*1000</f>
        <v>13950.697499999998</v>
      </c>
      <c r="H30" s="1596"/>
      <c r="I30" s="823">
        <v>45862</v>
      </c>
      <c r="J30" s="1929">
        <v>635580</v>
      </c>
      <c r="K30" s="1929">
        <v>360000</v>
      </c>
      <c r="L30" s="1721"/>
      <c r="M30" s="1639">
        <v>19215</v>
      </c>
      <c r="N30" s="1639">
        <v>31795</v>
      </c>
      <c r="O30" s="1579"/>
      <c r="P30" s="1639"/>
      <c r="Q30" s="1639"/>
      <c r="R30" s="1718"/>
      <c r="S30" s="1926">
        <v>43586</v>
      </c>
      <c r="T30" s="1926">
        <v>51413</v>
      </c>
      <c r="U30" s="1711">
        <v>160023</v>
      </c>
      <c r="V30" s="1711">
        <v>181229</v>
      </c>
      <c r="W30" s="1711"/>
    </row>
    <row r="31" spans="1:24" x14ac:dyDescent="0.25">
      <c r="F31" s="1613"/>
      <c r="G31" s="1633">
        <f>SUM(G27:G30)</f>
        <v>24156.384749999997</v>
      </c>
      <c r="I31" s="823">
        <v>45863</v>
      </c>
      <c r="J31" s="1929">
        <v>360000</v>
      </c>
      <c r="K31" s="1929">
        <v>168240</v>
      </c>
      <c r="L31" s="1721"/>
      <c r="M31" s="1639">
        <v>31795</v>
      </c>
      <c r="N31" s="1639">
        <v>32417</v>
      </c>
      <c r="O31" s="1579"/>
      <c r="P31" s="1639"/>
      <c r="Q31" s="1639"/>
      <c r="R31" s="1718"/>
      <c r="S31" s="1926">
        <v>51413</v>
      </c>
      <c r="T31" s="1926">
        <v>34860</v>
      </c>
      <c r="U31" s="1711">
        <v>181229</v>
      </c>
      <c r="V31" s="1926">
        <v>197739</v>
      </c>
      <c r="W31" s="1926"/>
    </row>
    <row r="32" spans="1:24" x14ac:dyDescent="0.25">
      <c r="A32" s="1619" t="s">
        <v>898</v>
      </c>
      <c r="B32" s="1620"/>
      <c r="C32" s="1620"/>
      <c r="D32" s="1621"/>
      <c r="E32" s="1622"/>
      <c r="F32" s="1623"/>
      <c r="G32" s="1624"/>
      <c r="H32" s="1625"/>
      <c r="I32" s="823">
        <v>45864</v>
      </c>
      <c r="J32" s="1929">
        <v>168240</v>
      </c>
      <c r="K32" s="1929">
        <v>598680</v>
      </c>
      <c r="L32" s="1721"/>
      <c r="M32" s="1639">
        <v>32417</v>
      </c>
      <c r="N32" s="1639">
        <v>23135</v>
      </c>
      <c r="O32" s="1579"/>
      <c r="P32" s="308"/>
      <c r="Q32" s="1639"/>
      <c r="R32" s="1718"/>
      <c r="S32" s="1926">
        <v>34860</v>
      </c>
      <c r="T32" s="1926">
        <v>34975</v>
      </c>
      <c r="U32" s="1926">
        <v>197739</v>
      </c>
      <c r="V32" s="1926">
        <v>213446</v>
      </c>
      <c r="W32" s="1926"/>
    </row>
    <row r="33" spans="1:23" ht="23.1" customHeight="1" x14ac:dyDescent="0.25">
      <c r="A33" s="1626" t="s">
        <v>899</v>
      </c>
      <c r="B33" s="1576" t="s">
        <v>900</v>
      </c>
      <c r="C33" s="1576" t="s">
        <v>901</v>
      </c>
      <c r="D33" s="1626" t="s">
        <v>902</v>
      </c>
      <c r="E33" s="1627" t="s">
        <v>903</v>
      </c>
      <c r="F33" s="1628" t="s">
        <v>904</v>
      </c>
      <c r="G33" s="1626" t="s">
        <v>14</v>
      </c>
      <c r="I33" s="823">
        <v>45865</v>
      </c>
      <c r="J33" s="1930">
        <v>598680</v>
      </c>
      <c r="K33" s="1929">
        <v>480000</v>
      </c>
      <c r="L33" s="1721"/>
      <c r="M33" s="1929">
        <v>23135</v>
      </c>
      <c r="N33" s="1639">
        <v>23032</v>
      </c>
      <c r="O33" s="1579"/>
      <c r="P33" s="1939"/>
      <c r="Q33" s="1639"/>
      <c r="R33" s="1718"/>
      <c r="S33" s="1710">
        <v>34975</v>
      </c>
      <c r="T33" s="1926">
        <v>67850</v>
      </c>
      <c r="U33" s="1710">
        <v>213446</v>
      </c>
      <c r="V33" s="1926">
        <v>226007</v>
      </c>
      <c r="W33" s="1926"/>
    </row>
    <row r="34" spans="1:23" ht="15" customHeight="1" x14ac:dyDescent="0.25">
      <c r="A34" s="1630" t="s">
        <v>905</v>
      </c>
      <c r="B34" s="1618">
        <v>12.2</v>
      </c>
      <c r="C34" s="1618">
        <v>1.75</v>
      </c>
      <c r="D34" s="1618">
        <v>1.52</v>
      </c>
      <c r="E34" s="1618">
        <v>0.88</v>
      </c>
      <c r="F34" s="1992">
        <v>0</v>
      </c>
      <c r="G34" s="1631">
        <f>B34*C34*D34*E34*F34/100</f>
        <v>0</v>
      </c>
      <c r="H34" s="2346"/>
      <c r="I34" s="823">
        <v>45866</v>
      </c>
      <c r="J34" s="1929">
        <v>480000</v>
      </c>
      <c r="K34" s="1929">
        <v>120000</v>
      </c>
      <c r="L34" s="1721"/>
      <c r="M34" s="1639">
        <v>23032</v>
      </c>
      <c r="N34" s="1639">
        <v>22191</v>
      </c>
      <c r="O34" s="1579"/>
      <c r="P34" s="308"/>
      <c r="Q34" s="1580"/>
      <c r="R34" s="1718"/>
      <c r="S34" s="1926">
        <v>67850</v>
      </c>
      <c r="T34" s="1926">
        <v>34881</v>
      </c>
      <c r="U34" s="1926">
        <v>226007</v>
      </c>
      <c r="V34" s="1926">
        <v>93213</v>
      </c>
      <c r="W34" s="1708"/>
    </row>
    <row r="35" spans="1:23" ht="15" customHeight="1" x14ac:dyDescent="0.25">
      <c r="A35" s="1630" t="s">
        <v>906</v>
      </c>
      <c r="B35" s="1618">
        <v>12.2</v>
      </c>
      <c r="C35" s="1618">
        <v>1.75</v>
      </c>
      <c r="D35" s="1618">
        <v>1.52</v>
      </c>
      <c r="E35" s="1618">
        <v>0.88</v>
      </c>
      <c r="F35" s="1992">
        <v>0</v>
      </c>
      <c r="G35" s="1631">
        <f>B35*C35*D35*E35*F35/100</f>
        <v>0</v>
      </c>
      <c r="H35" s="2346"/>
      <c r="I35" s="823">
        <v>45867</v>
      </c>
      <c r="J35" s="2194">
        <v>120000</v>
      </c>
      <c r="K35" s="2194">
        <v>359820</v>
      </c>
      <c r="L35" s="1951"/>
      <c r="M35" s="1950">
        <v>22191</v>
      </c>
      <c r="N35" s="1950">
        <v>19700</v>
      </c>
      <c r="O35" s="2196"/>
      <c r="P35" s="308"/>
      <c r="Q35" s="1954"/>
      <c r="R35" s="1955"/>
      <c r="S35" s="1926">
        <v>34881</v>
      </c>
      <c r="T35" s="1926">
        <v>34891</v>
      </c>
      <c r="U35" s="1926">
        <v>93213</v>
      </c>
      <c r="V35" s="1926">
        <v>97917</v>
      </c>
      <c r="W35" s="1708"/>
    </row>
    <row r="36" spans="1:23" ht="28.5" x14ac:dyDescent="0.25">
      <c r="F36" s="1613" t="s">
        <v>907</v>
      </c>
      <c r="G36" s="1629">
        <f>SUM(G34:G35)</f>
        <v>0</v>
      </c>
      <c r="I36" s="823">
        <v>45868</v>
      </c>
      <c r="J36" s="2194">
        <v>359820</v>
      </c>
      <c r="K36" s="2194">
        <v>658200</v>
      </c>
      <c r="L36" s="1721"/>
      <c r="M36" s="2201">
        <v>19700</v>
      </c>
      <c r="N36" s="2201">
        <v>20597</v>
      </c>
      <c r="O36" s="1579"/>
      <c r="P36" s="308"/>
      <c r="Q36" s="1580"/>
      <c r="R36" s="1718"/>
      <c r="S36" s="1926">
        <v>34891</v>
      </c>
      <c r="T36" s="1926">
        <v>44368</v>
      </c>
      <c r="U36" s="1926">
        <v>97917</v>
      </c>
      <c r="V36" s="1926">
        <v>106549</v>
      </c>
      <c r="W36" s="1708"/>
    </row>
    <row r="37" spans="1:23" x14ac:dyDescent="0.25">
      <c r="I37" s="823">
        <v>45869</v>
      </c>
      <c r="J37" s="2194">
        <v>658200</v>
      </c>
      <c r="K37" s="2194">
        <v>778500</v>
      </c>
      <c r="L37" s="1721"/>
      <c r="M37" s="2201">
        <v>20597</v>
      </c>
      <c r="N37" s="2201">
        <v>24156</v>
      </c>
      <c r="O37" s="1579"/>
      <c r="P37" s="308"/>
      <c r="Q37" s="1580"/>
      <c r="R37" s="1718"/>
      <c r="S37" s="1926">
        <v>44368</v>
      </c>
      <c r="T37" s="1926">
        <v>34894</v>
      </c>
      <c r="U37" s="1926">
        <v>106549</v>
      </c>
      <c r="V37" s="1926">
        <v>118327</v>
      </c>
      <c r="W37" s="1708"/>
    </row>
    <row r="38" spans="1:23" x14ac:dyDescent="0.25">
      <c r="G38" s="1578"/>
      <c r="I38"/>
      <c r="J38"/>
      <c r="K38"/>
      <c r="T38" s="1578"/>
    </row>
    <row r="39" spans="1:23" x14ac:dyDescent="0.25">
      <c r="I39"/>
      <c r="J39"/>
      <c r="K39"/>
    </row>
    <row r="40" spans="1:23" x14ac:dyDescent="0.25">
      <c r="I40"/>
      <c r="J40"/>
      <c r="K40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W4:W5"/>
    <mergeCell ref="E1:G1"/>
    <mergeCell ref="E2:G2"/>
    <mergeCell ref="I4:R4"/>
    <mergeCell ref="S4:V4"/>
    <mergeCell ref="U5:V5"/>
    <mergeCell ref="H34:H35"/>
    <mergeCell ref="I5:L5"/>
    <mergeCell ref="M5:O5"/>
    <mergeCell ref="P5:R5"/>
    <mergeCell ref="S5:T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dimension ref="A1:VBO265"/>
  <sheetViews>
    <sheetView zoomScale="90" zoomScaleNormal="90" workbookViewId="0">
      <selection activeCell="H12" sqref="H12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hidden="1" customWidth="1"/>
    <col min="7" max="8" width="17.5703125" customWidth="1"/>
    <col min="9" max="10" width="18.42578125" hidden="1" customWidth="1"/>
    <col min="11" max="11" width="17.5703125" customWidth="1"/>
    <col min="12" max="12" width="17.42578125" customWidth="1"/>
    <col min="13" max="13" width="18.42578125" hidden="1" customWidth="1"/>
    <col min="14" max="16" width="17.42578125" hidden="1" customWidth="1"/>
    <col min="17" max="17" width="17" hidden="1" customWidth="1"/>
    <col min="18" max="18" width="15.5703125" hidden="1" customWidth="1"/>
    <col min="20" max="20" width="25.42578125" customWidth="1"/>
    <col min="21" max="22" width="25.42578125" hidden="1" customWidth="1"/>
    <col min="23" max="23" width="13.42578125" customWidth="1"/>
    <col min="24" max="24" width="15.42578125" customWidth="1"/>
    <col min="25" max="32" width="9.42578125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11"/>
    </row>
    <row r="2" spans="2:933" ht="18" x14ac:dyDescent="0.25">
      <c r="B2" s="2366" t="s">
        <v>1063</v>
      </c>
      <c r="C2" s="2366"/>
      <c r="D2" s="2366"/>
      <c r="E2" s="2366"/>
      <c r="F2" s="2366"/>
      <c r="G2" s="2366"/>
      <c r="H2" s="2366"/>
      <c r="I2" s="2366"/>
      <c r="J2" s="2366"/>
      <c r="K2" s="2366"/>
      <c r="L2" s="2366"/>
      <c r="M2" s="2366"/>
      <c r="N2" s="2366"/>
      <c r="O2" s="2366"/>
      <c r="P2" s="2366"/>
      <c r="Q2" s="2366"/>
      <c r="R2" s="2366"/>
      <c r="S2" s="2366"/>
      <c r="T2" s="2366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</row>
    <row r="3" spans="2:933" ht="15.75" thickBot="1" x14ac:dyDescent="0.3">
      <c r="B3" s="413"/>
      <c r="F3" s="414" t="s">
        <v>819</v>
      </c>
      <c r="G3" s="414"/>
      <c r="H3" s="414"/>
      <c r="I3" s="414"/>
      <c r="J3" s="414"/>
      <c r="K3" s="414"/>
      <c r="L3" s="414"/>
      <c r="M3" s="414" t="s">
        <v>819</v>
      </c>
      <c r="N3" s="414" t="s">
        <v>819</v>
      </c>
      <c r="O3" s="414"/>
      <c r="P3" s="414"/>
      <c r="Q3" s="414"/>
      <c r="R3" s="414"/>
    </row>
    <row r="4" spans="2:933" ht="30.75" thickBot="1" x14ac:dyDescent="0.3">
      <c r="B4" s="2367" t="s">
        <v>99</v>
      </c>
      <c r="C4" s="2369" t="s">
        <v>100</v>
      </c>
      <c r="D4" s="2371" t="s">
        <v>101</v>
      </c>
      <c r="E4" s="2369" t="s">
        <v>102</v>
      </c>
      <c r="F4" s="2373" t="s">
        <v>1069</v>
      </c>
      <c r="G4" s="2374"/>
      <c r="H4" s="2374"/>
      <c r="I4" s="2374"/>
      <c r="J4" s="2374"/>
      <c r="K4" s="2374"/>
      <c r="L4" s="2374"/>
      <c r="M4" s="2374"/>
      <c r="N4" s="2374"/>
      <c r="O4" s="2374"/>
      <c r="P4" s="2374"/>
      <c r="Q4" s="2374"/>
      <c r="R4" s="2375"/>
      <c r="S4" s="717"/>
      <c r="T4" s="410" t="s">
        <v>297</v>
      </c>
      <c r="U4" s="662" t="s">
        <v>298</v>
      </c>
      <c r="V4" s="765" t="s">
        <v>299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68"/>
      <c r="C5" s="2370"/>
      <c r="D5" s="2372"/>
      <c r="E5" s="2370"/>
      <c r="F5" s="416" t="s">
        <v>300</v>
      </c>
      <c r="G5" s="416" t="s">
        <v>301</v>
      </c>
      <c r="H5" s="416" t="s">
        <v>302</v>
      </c>
      <c r="I5" s="417" t="s">
        <v>303</v>
      </c>
      <c r="J5" s="416" t="s">
        <v>304</v>
      </c>
      <c r="K5" s="416" t="s">
        <v>305</v>
      </c>
      <c r="L5" s="416" t="s">
        <v>306</v>
      </c>
      <c r="M5" s="416" t="s">
        <v>307</v>
      </c>
      <c r="N5" s="417" t="s">
        <v>308</v>
      </c>
      <c r="O5" s="417" t="s">
        <v>309</v>
      </c>
      <c r="P5" s="417" t="s">
        <v>310</v>
      </c>
      <c r="Q5" s="417" t="s">
        <v>311</v>
      </c>
      <c r="R5" s="416" t="s">
        <v>311</v>
      </c>
      <c r="T5" s="415" t="s">
        <v>126</v>
      </c>
      <c r="U5" s="662" t="s">
        <v>126</v>
      </c>
      <c r="V5" s="765" t="s">
        <v>312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63">
        <v>1</v>
      </c>
      <c r="C6" s="418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19" t="s">
        <v>127</v>
      </c>
      <c r="U6" s="663" t="s">
        <v>127</v>
      </c>
      <c r="V6" s="766" t="s">
        <v>127</v>
      </c>
      <c r="W6" s="62"/>
      <c r="X6" s="1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0"/>
      <c r="DF6" s="421"/>
      <c r="DG6" s="422">
        <v>29</v>
      </c>
      <c r="DH6" s="423">
        <v>30</v>
      </c>
      <c r="DI6" s="424">
        <v>31</v>
      </c>
    </row>
    <row r="7" spans="2:933" x14ac:dyDescent="0.25">
      <c r="B7" s="2364"/>
      <c r="C7" s="425" t="s">
        <v>16</v>
      </c>
      <c r="D7" s="426"/>
      <c r="E7" s="427"/>
      <c r="F7" s="428"/>
      <c r="G7" s="429"/>
      <c r="H7" s="1505"/>
      <c r="I7" s="428"/>
      <c r="J7" s="1512"/>
      <c r="K7" s="428"/>
      <c r="L7" s="428"/>
      <c r="M7" s="428"/>
      <c r="N7" s="428"/>
      <c r="O7" s="428"/>
      <c r="P7" s="428"/>
      <c r="Q7" s="428"/>
      <c r="R7" s="428"/>
      <c r="S7" s="3"/>
      <c r="T7" s="712" t="s">
        <v>16</v>
      </c>
      <c r="U7" s="664" t="s">
        <v>16</v>
      </c>
      <c r="V7" s="767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0" t="s">
        <v>313</v>
      </c>
      <c r="DF7" s="5" t="s">
        <v>14</v>
      </c>
      <c r="DG7" s="431">
        <v>1971319.99999999</v>
      </c>
      <c r="DH7" s="432">
        <v>2015120.00000001</v>
      </c>
      <c r="DI7" s="433">
        <v>2015230</v>
      </c>
      <c r="AIU7" s="434" t="s">
        <v>314</v>
      </c>
      <c r="AIV7" s="434" t="s">
        <v>127</v>
      </c>
      <c r="AIW7" s="434" t="s">
        <v>315</v>
      </c>
    </row>
    <row r="8" spans="2:933" x14ac:dyDescent="0.25">
      <c r="B8" s="2364"/>
      <c r="C8" s="435" t="s">
        <v>84</v>
      </c>
      <c r="D8" s="1946">
        <v>300</v>
      </c>
      <c r="E8" s="437" t="s">
        <v>83</v>
      </c>
      <c r="F8" s="438">
        <v>0</v>
      </c>
      <c r="G8" s="438">
        <v>13</v>
      </c>
      <c r="H8" s="530">
        <v>6</v>
      </c>
      <c r="I8" s="438"/>
      <c r="J8" s="531"/>
      <c r="K8" s="438">
        <v>10</v>
      </c>
      <c r="L8" s="438">
        <f>'JULI 2025'!AM6</f>
        <v>25</v>
      </c>
      <c r="M8" s="438"/>
      <c r="N8" s="438"/>
      <c r="O8" s="54"/>
      <c r="P8" s="54"/>
      <c r="Q8" s="438"/>
      <c r="R8" s="438">
        <f>'[3]Desember 24'!AL9</f>
        <v>0</v>
      </c>
      <c r="S8" s="3"/>
      <c r="T8" s="54">
        <f>SUM(F8:R8)</f>
        <v>54</v>
      </c>
      <c r="U8" s="665">
        <v>231</v>
      </c>
      <c r="V8" s="768">
        <f>T8/U8*100</f>
        <v>23.376623376623375</v>
      </c>
      <c r="W8" s="62"/>
      <c r="X8" s="3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0"/>
      <c r="DG8" s="431"/>
      <c r="DH8" s="432"/>
      <c r="DI8" s="433"/>
      <c r="FN8" s="3"/>
      <c r="OR8" s="141" t="s">
        <v>316</v>
      </c>
      <c r="AEE8" s="5" t="s">
        <v>317</v>
      </c>
      <c r="AEF8" s="5" t="s">
        <v>318</v>
      </c>
      <c r="AIT8" s="2" t="s">
        <v>192</v>
      </c>
      <c r="AIU8" s="141">
        <v>11008948</v>
      </c>
      <c r="AIV8" s="141">
        <f>T11</f>
        <v>74559975</v>
      </c>
      <c r="AIW8" s="4">
        <f>AIU8-AIV8</f>
        <v>-63551027</v>
      </c>
    </row>
    <row r="9" spans="2:933" x14ac:dyDescent="0.25">
      <c r="B9" s="2364"/>
      <c r="C9" s="11" t="s">
        <v>103</v>
      </c>
      <c r="D9" s="436"/>
      <c r="E9" s="437"/>
      <c r="F9" s="1525"/>
      <c r="G9" s="439">
        <v>0</v>
      </c>
      <c r="H9" s="523">
        <v>0</v>
      </c>
      <c r="I9" s="439"/>
      <c r="J9" s="678"/>
      <c r="K9" s="439">
        <v>0</v>
      </c>
      <c r="L9" s="439"/>
      <c r="M9" s="439"/>
      <c r="N9" s="439"/>
      <c r="O9" s="439"/>
      <c r="P9" s="519"/>
      <c r="Q9" s="438"/>
      <c r="R9" s="439">
        <f>'[3]Desember 24'!AL10</f>
        <v>0</v>
      </c>
      <c r="S9" s="3"/>
      <c r="T9" s="54"/>
      <c r="U9" s="665"/>
      <c r="V9" s="768"/>
      <c r="W9" s="62"/>
      <c r="X9" s="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0"/>
      <c r="DG9" s="431"/>
      <c r="DH9" s="432"/>
      <c r="DI9" s="433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364"/>
      <c r="C10" s="11" t="s">
        <v>319</v>
      </c>
      <c r="D10" s="436"/>
      <c r="E10" s="437"/>
      <c r="F10" s="439"/>
      <c r="G10" s="439">
        <v>0</v>
      </c>
      <c r="H10" s="523">
        <v>0</v>
      </c>
      <c r="I10" s="439"/>
      <c r="J10" s="678"/>
      <c r="K10" s="439">
        <v>0</v>
      </c>
      <c r="L10" s="439"/>
      <c r="M10" s="439"/>
      <c r="N10" s="439"/>
      <c r="O10" s="439"/>
      <c r="P10" s="1740"/>
      <c r="Q10" s="439"/>
      <c r="R10" s="439" t="e">
        <f t="shared" ref="R10" si="0">R11/R14*100</f>
        <v>#DIV/0!</v>
      </c>
      <c r="S10" s="3"/>
      <c r="T10" s="54">
        <f>AVERAGE(F10:Q10)</f>
        <v>0</v>
      </c>
      <c r="U10" s="665"/>
      <c r="V10" s="768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0"/>
      <c r="DG10" s="431"/>
      <c r="DH10" s="432"/>
      <c r="DI10" s="433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364"/>
      <c r="C11" s="440" t="s">
        <v>96</v>
      </c>
      <c r="D11" s="441">
        <v>707651000</v>
      </c>
      <c r="E11" s="442" t="s">
        <v>14</v>
      </c>
      <c r="F11" s="443">
        <v>0</v>
      </c>
      <c r="G11" s="443">
        <v>16619582</v>
      </c>
      <c r="H11" s="1506">
        <v>5560915</v>
      </c>
      <c r="I11" s="1988">
        <v>0</v>
      </c>
      <c r="J11" s="1513"/>
      <c r="K11" s="443">
        <v>17813187</v>
      </c>
      <c r="L11" s="443">
        <f>'JULI 2025'!AM9</f>
        <v>34566291</v>
      </c>
      <c r="M11" s="443"/>
      <c r="N11" s="443"/>
      <c r="O11" s="443"/>
      <c r="P11" s="57"/>
      <c r="Q11" s="443"/>
      <c r="R11" s="443">
        <f>'[3]Desember 24'!AL11</f>
        <v>0</v>
      </c>
      <c r="S11" s="718"/>
      <c r="T11" s="57">
        <f>SUM(F11:Q11)</f>
        <v>74559975</v>
      </c>
      <c r="U11" s="666">
        <v>421374000</v>
      </c>
      <c r="V11" s="769">
        <f>T11/U11</f>
        <v>0.17694488743966169</v>
      </c>
      <c r="W11" s="1067"/>
      <c r="X11" s="1"/>
      <c r="Y11" s="1"/>
      <c r="Z11" s="1"/>
      <c r="AA11" s="1"/>
      <c r="AB11" s="1"/>
      <c r="AC11" s="1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451"/>
      <c r="AU11" s="451"/>
      <c r="AV11" s="1"/>
      <c r="AW11" s="1"/>
      <c r="AX11" s="362">
        <f>T11/D11</f>
        <v>0.10536263638431939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4" t="s">
        <v>320</v>
      </c>
      <c r="DF11" s="445" t="s">
        <v>19</v>
      </c>
      <c r="DG11" s="446">
        <v>251.19641540408301</v>
      </c>
      <c r="DH11" s="447">
        <v>257.91391043490898</v>
      </c>
      <c r="DI11" s="448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321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3372812</v>
      </c>
      <c r="AIW11" s="4">
        <f>AIU11-AIV11</f>
        <v>-2805927</v>
      </c>
    </row>
    <row r="12" spans="2:933" x14ac:dyDescent="0.25">
      <c r="B12" s="2364"/>
      <c r="C12" s="440" t="s">
        <v>97</v>
      </c>
      <c r="D12" s="441"/>
      <c r="E12" s="442" t="s">
        <v>14</v>
      </c>
      <c r="F12" s="443">
        <v>0</v>
      </c>
      <c r="G12" s="443">
        <v>16619582</v>
      </c>
      <c r="H12" s="443">
        <v>5560915</v>
      </c>
      <c r="I12" s="443">
        <f t="shared" ref="I12:J12" si="1">I11</f>
        <v>0</v>
      </c>
      <c r="J12" s="443">
        <f t="shared" si="1"/>
        <v>0</v>
      </c>
      <c r="K12" s="443">
        <v>17813187</v>
      </c>
      <c r="L12" s="443">
        <f>L11</f>
        <v>34566291</v>
      </c>
      <c r="M12" s="443"/>
      <c r="N12" s="443"/>
      <c r="O12" s="443"/>
      <c r="P12" s="57"/>
      <c r="Q12" s="443"/>
      <c r="R12" s="443" t="e">
        <f>'[3]Desember 24'!AL12</f>
        <v>#DIV/0!</v>
      </c>
      <c r="S12" s="718"/>
      <c r="T12" s="57">
        <f>SUM(F12:Q12)</f>
        <v>74559975</v>
      </c>
      <c r="U12" s="667"/>
      <c r="V12" s="770"/>
      <c r="W12" s="62"/>
      <c r="X12" s="3"/>
      <c r="Y12" s="1"/>
      <c r="Z12" s="1"/>
      <c r="AA12" s="1"/>
      <c r="AB12" s="1"/>
      <c r="AC12" s="1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R12" s="62"/>
      <c r="AT12" s="451"/>
      <c r="AU12" s="45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2"/>
      <c r="BY12" s="1"/>
      <c r="DA12" s="1"/>
      <c r="DE12" s="430"/>
      <c r="DF12" s="5"/>
      <c r="DG12" s="450"/>
      <c r="DH12" s="451"/>
      <c r="DI12" s="452"/>
      <c r="DJ12" s="142"/>
      <c r="FM12" s="142"/>
      <c r="JH12" s="142"/>
      <c r="JI12" s="142"/>
      <c r="JJ12" s="142"/>
      <c r="JK12" s="142"/>
      <c r="OO12" s="142"/>
      <c r="OP12" s="142"/>
      <c r="OR12" s="142"/>
      <c r="PF12" s="145"/>
      <c r="PJ12" s="142"/>
      <c r="RM12" s="145"/>
      <c r="AGV12" s="141"/>
      <c r="AIK12" s="141"/>
      <c r="AIL12" s="141"/>
      <c r="AIM12" s="141"/>
      <c r="AIT12" s="2"/>
      <c r="AIU12" s="141"/>
      <c r="AIV12" s="141"/>
    </row>
    <row r="13" spans="2:933" x14ac:dyDescent="0.25">
      <c r="B13" s="2364"/>
      <c r="C13" s="440" t="s">
        <v>98</v>
      </c>
      <c r="D13" s="441"/>
      <c r="E13" s="442" t="s">
        <v>14</v>
      </c>
      <c r="F13" s="443">
        <v>0</v>
      </c>
      <c r="G13" s="443">
        <v>0</v>
      </c>
      <c r="H13" s="1506">
        <v>0</v>
      </c>
      <c r="I13" s="1521"/>
      <c r="J13" s="1513"/>
      <c r="K13" s="443"/>
      <c r="L13" s="443"/>
      <c r="M13" s="443"/>
      <c r="N13" s="443"/>
      <c r="O13" s="443"/>
      <c r="P13" s="443"/>
      <c r="Q13" s="443"/>
      <c r="R13" s="443" t="e">
        <f>'[3]Desember 24'!AL13</f>
        <v>#DIV/0!</v>
      </c>
      <c r="S13" s="718"/>
      <c r="T13" s="449">
        <f>SUM(F13:Q13)</f>
        <v>0</v>
      </c>
      <c r="U13" s="667"/>
      <c r="V13" s="770"/>
      <c r="W13" s="365"/>
      <c r="X13" s="1"/>
      <c r="Y13" s="3"/>
      <c r="Z13" s="1"/>
      <c r="AA13" s="1"/>
      <c r="AB13" s="1"/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51"/>
      <c r="AU13" s="451"/>
      <c r="AV13" s="1"/>
      <c r="AW13" s="1"/>
      <c r="AX13" s="362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30"/>
      <c r="DF13" s="5"/>
      <c r="DG13" s="450"/>
      <c r="DH13" s="451"/>
      <c r="DI13" s="452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364"/>
      <c r="C14" s="440" t="s">
        <v>322</v>
      </c>
      <c r="D14" s="441"/>
      <c r="E14" s="442" t="s">
        <v>14</v>
      </c>
      <c r="F14" s="443">
        <v>0</v>
      </c>
      <c r="G14" s="443">
        <v>58900</v>
      </c>
      <c r="H14" s="443">
        <v>58900</v>
      </c>
      <c r="I14" s="443">
        <v>58900</v>
      </c>
      <c r="J14" s="443">
        <v>58900</v>
      </c>
      <c r="K14" s="443">
        <v>58900</v>
      </c>
      <c r="L14" s="443">
        <v>58900</v>
      </c>
      <c r="M14" s="443"/>
      <c r="N14" s="443"/>
      <c r="O14" s="443"/>
      <c r="P14" s="443"/>
      <c r="Q14" s="443"/>
      <c r="R14" s="443"/>
      <c r="S14" s="718"/>
      <c r="T14" s="57">
        <f>SUM(F14:Q14)</f>
        <v>353400</v>
      </c>
      <c r="U14" s="667"/>
      <c r="V14" s="770"/>
      <c r="W14" s="365"/>
      <c r="X14" s="1"/>
      <c r="Y14" s="3"/>
      <c r="Z14" s="1"/>
      <c r="AA14" s="1"/>
      <c r="AB14" s="1"/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51"/>
      <c r="AU14" s="45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30"/>
      <c r="DF14" s="5"/>
      <c r="DG14" s="450"/>
      <c r="DH14" s="451"/>
      <c r="DI14" s="452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364"/>
      <c r="C15" s="453" t="s">
        <v>82</v>
      </c>
      <c r="D15" s="454">
        <v>5</v>
      </c>
      <c r="E15" s="455" t="s">
        <v>25</v>
      </c>
      <c r="F15" s="456">
        <v>0</v>
      </c>
      <c r="G15" s="456">
        <v>3.5869230769230778</v>
      </c>
      <c r="H15" s="1507">
        <v>4.1629999999999994</v>
      </c>
      <c r="I15" s="456"/>
      <c r="J15" s="1514"/>
      <c r="K15" s="456">
        <v>4.5701666666666672</v>
      </c>
      <c r="L15" s="456">
        <f>'JULI 2025'!AM13</f>
        <v>3.952</v>
      </c>
      <c r="M15" s="456"/>
      <c r="N15" s="456"/>
      <c r="O15" s="456"/>
      <c r="P15" s="1740"/>
      <c r="Q15" s="456"/>
      <c r="R15" s="456" t="e">
        <f>'[3]Desember 24'!AL14</f>
        <v>#DIV/0!</v>
      </c>
      <c r="T15" s="58">
        <f>AVERAGE(F15:Q15)</f>
        <v>3.2544179487179492</v>
      </c>
      <c r="U15" s="668" t="e">
        <f t="shared" ref="U15:V17" si="2">AVERAGE(G15:S15)</f>
        <v>#DIV/0!</v>
      </c>
      <c r="V15" s="768" t="e">
        <f t="shared" si="2"/>
        <v>#DIV/0!</v>
      </c>
      <c r="W15" s="62"/>
      <c r="X15" s="1"/>
      <c r="Y15" s="3"/>
      <c r="Z15" s="473">
        <f>39993684/2500000/29</f>
        <v>0.55163702068965514</v>
      </c>
      <c r="AA15" s="1"/>
      <c r="AB15" s="1"/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804"/>
      <c r="AU15" s="80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7"/>
      <c r="BY15" s="1"/>
      <c r="DA15" s="1"/>
      <c r="DE15" s="430" t="s">
        <v>323</v>
      </c>
      <c r="DF15" s="5" t="s">
        <v>14</v>
      </c>
      <c r="DG15" s="431">
        <v>182230</v>
      </c>
      <c r="DH15" s="432">
        <v>190070</v>
      </c>
      <c r="DI15" s="433">
        <v>197800.00000000099</v>
      </c>
      <c r="DJ15" s="457"/>
      <c r="FM15" s="457"/>
      <c r="FN15" s="457"/>
      <c r="JH15" s="457"/>
      <c r="JI15" s="457"/>
      <c r="JJ15" s="458"/>
      <c r="JK15" s="457"/>
      <c r="OO15" s="457">
        <f>T11/1000</f>
        <v>74559.975000000006</v>
      </c>
      <c r="OP15" s="457">
        <f>(T26+T49+T35)/1000</f>
        <v>36329.116000000002</v>
      </c>
      <c r="OR15" s="457" t="e">
        <f>SUM(OR16:OR17)</f>
        <v>#REF!</v>
      </c>
      <c r="PF15" s="459"/>
      <c r="PJ15" s="457"/>
      <c r="RM15" s="459"/>
      <c r="AGV15" s="457">
        <v>2000</v>
      </c>
      <c r="AIK15" s="457"/>
      <c r="AIL15" s="457"/>
      <c r="AIM15" s="457"/>
      <c r="AIT15" s="460"/>
      <c r="AIU15" s="457"/>
      <c r="AIV15" s="457"/>
    </row>
    <row r="16" spans="2:933" ht="15.75" thickBot="1" x14ac:dyDescent="0.3">
      <c r="B16" s="2364"/>
      <c r="C16" s="461" t="s">
        <v>81</v>
      </c>
      <c r="D16" s="462">
        <v>0.5</v>
      </c>
      <c r="E16" s="463" t="s">
        <v>25</v>
      </c>
      <c r="F16" s="456">
        <v>0</v>
      </c>
      <c r="G16" s="456">
        <v>0.36807692307692308</v>
      </c>
      <c r="H16" s="1507">
        <v>0.45199999999999996</v>
      </c>
      <c r="I16" s="456"/>
      <c r="J16" s="1514"/>
      <c r="K16" s="456">
        <v>0.43</v>
      </c>
      <c r="L16" s="456">
        <f>'JULI 2025'!AC14</f>
        <v>0.44500000000000001</v>
      </c>
      <c r="M16" s="456"/>
      <c r="N16" s="456"/>
      <c r="O16" s="456"/>
      <c r="P16" s="1740"/>
      <c r="Q16" s="456"/>
      <c r="R16" s="456" t="e">
        <f>'[3]Desember 24'!AL15</f>
        <v>#DIV/0!</v>
      </c>
      <c r="S16" s="718"/>
      <c r="T16" s="58">
        <f>AVERAGE(F16:Q16)</f>
        <v>0.33901538461538461</v>
      </c>
      <c r="U16" s="668" t="e">
        <f t="shared" si="2"/>
        <v>#DIV/0!</v>
      </c>
      <c r="V16" s="768" t="e">
        <f t="shared" si="2"/>
        <v>#DIV/0!</v>
      </c>
      <c r="W16" s="62"/>
      <c r="X16" s="1"/>
      <c r="Y16" s="3"/>
      <c r="Z16" s="1"/>
      <c r="AA16" s="1"/>
      <c r="AB16" s="1"/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451"/>
      <c r="AU16" s="45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4"/>
      <c r="DF16" s="465" t="s">
        <v>324</v>
      </c>
      <c r="DG16" s="466">
        <f>DG15/(DG7/1000)</f>
        <v>92.440598177871138</v>
      </c>
      <c r="DH16" s="467">
        <f>DH15/(DH7/1000)</f>
        <v>94.321926237642941</v>
      </c>
      <c r="DI16" s="468">
        <f>DI15/(DI7/1000)</f>
        <v>98.152568193209206</v>
      </c>
      <c r="DJ16" s="142"/>
      <c r="FM16" s="142"/>
      <c r="JH16" s="142"/>
      <c r="JI16" s="457"/>
      <c r="JJ16" s="142"/>
      <c r="JK16" s="142"/>
      <c r="OO16" s="469"/>
      <c r="OP16" s="469"/>
      <c r="OR16" s="469" t="e">
        <f>#REF!/1000</f>
        <v>#REF!</v>
      </c>
      <c r="OS16" s="145" t="e">
        <f>OR16/OR15*100</f>
        <v>#REF!</v>
      </c>
      <c r="PF16" s="145"/>
      <c r="PJ16" s="142"/>
      <c r="RM16" s="145"/>
      <c r="AGU16" s="470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T27</f>
        <v>29198350</v>
      </c>
      <c r="AIW16" s="4">
        <f>AIU16-AIV16</f>
        <v>-19604220</v>
      </c>
    </row>
    <row r="17" spans="2:933" x14ac:dyDescent="0.25">
      <c r="B17" s="2364"/>
      <c r="C17" s="461" t="s">
        <v>80</v>
      </c>
      <c r="D17" s="471" t="s">
        <v>79</v>
      </c>
      <c r="E17" s="463" t="s">
        <v>25</v>
      </c>
      <c r="F17" s="456">
        <v>0</v>
      </c>
      <c r="G17" s="456">
        <v>0</v>
      </c>
      <c r="H17" s="1507">
        <v>0</v>
      </c>
      <c r="I17" s="456"/>
      <c r="J17" s="1514"/>
      <c r="K17" s="456"/>
      <c r="L17" s="456"/>
      <c r="M17" s="456"/>
      <c r="N17" s="456"/>
      <c r="O17" s="456"/>
      <c r="P17" s="1740"/>
      <c r="Q17" s="456"/>
      <c r="R17" s="472" t="e">
        <f>'[3]Desember 24'!AL16</f>
        <v>#DIV/0!</v>
      </c>
      <c r="S17" s="718"/>
      <c r="T17" s="58">
        <f>AVERAGE(F17:Q17)</f>
        <v>0</v>
      </c>
      <c r="U17" s="668" t="e">
        <f t="shared" si="2"/>
        <v>#DIV/0!</v>
      </c>
      <c r="V17" s="768" t="e">
        <f t="shared" si="2"/>
        <v>#DIV/0!</v>
      </c>
      <c r="W17" s="62"/>
      <c r="X17" s="1"/>
      <c r="Y17" s="1938"/>
      <c r="Z17" s="1"/>
      <c r="AA17" s="1"/>
      <c r="AB17" s="1"/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51"/>
      <c r="AU17" s="45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74559.975000000006</v>
      </c>
      <c r="OP17" s="142">
        <f>SUM(OP15:OP16)</f>
        <v>36329.116000000002</v>
      </c>
      <c r="OR17" s="469" t="e">
        <f>#REF!/1000</f>
        <v>#REF!</v>
      </c>
      <c r="OS17" s="145" t="e">
        <f>OR17/OR15*100</f>
        <v>#REF!</v>
      </c>
      <c r="PF17" s="145"/>
      <c r="PJ17" s="142"/>
      <c r="RM17" s="145"/>
      <c r="AGU17" s="473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T28</f>
        <v>6990318</v>
      </c>
      <c r="AIW17" s="4">
        <f>AIU17-AIV17</f>
        <v>-4829167</v>
      </c>
    </row>
    <row r="18" spans="2:933" x14ac:dyDescent="0.25">
      <c r="B18" s="2364"/>
      <c r="C18" s="474" t="s">
        <v>78</v>
      </c>
      <c r="D18" s="475"/>
      <c r="E18" s="476"/>
      <c r="F18" s="438"/>
      <c r="G18" s="438">
        <v>0</v>
      </c>
      <c r="H18" s="530"/>
      <c r="I18" s="438"/>
      <c r="J18" s="531"/>
      <c r="K18" s="438"/>
      <c r="L18" s="438"/>
      <c r="M18" s="438"/>
      <c r="N18" s="438"/>
      <c r="O18" s="438"/>
      <c r="P18" s="438"/>
      <c r="Q18" s="438"/>
      <c r="R18" s="438"/>
      <c r="S18" s="719"/>
      <c r="T18" s="710" t="s">
        <v>78</v>
      </c>
      <c r="U18" s="669" t="s">
        <v>78</v>
      </c>
      <c r="V18" s="771" t="s">
        <v>78</v>
      </c>
      <c r="W18" s="62"/>
      <c r="X18" s="1"/>
      <c r="Y18" s="1"/>
      <c r="Z18" s="1"/>
      <c r="AA18" s="1"/>
      <c r="AB18" s="1"/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51"/>
      <c r="AU18" s="45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276.70035166666707</v>
      </c>
      <c r="OP18" s="145">
        <f>OP17/OP11*100</f>
        <v>208.9894031002415</v>
      </c>
      <c r="OR18" s="142"/>
      <c r="PF18" s="145"/>
      <c r="PJ18" s="142"/>
      <c r="RM18" s="145"/>
      <c r="AEG18" s="411" t="s">
        <v>325</v>
      </c>
      <c r="AEH18" s="411"/>
      <c r="AEI18" s="411"/>
      <c r="AEJ18" s="411"/>
      <c r="AEK18" s="411"/>
      <c r="AEL18" s="411"/>
      <c r="AEM18" s="411"/>
      <c r="AEN18" s="411"/>
      <c r="AEO18" s="411"/>
      <c r="AEP18" s="411"/>
      <c r="AEQ18" s="5" t="s">
        <v>326</v>
      </c>
      <c r="AER18" s="411" t="s">
        <v>327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364"/>
      <c r="C19" s="477" t="s">
        <v>77</v>
      </c>
      <c r="D19" s="441">
        <v>668731</v>
      </c>
      <c r="E19" s="478" t="s">
        <v>14</v>
      </c>
      <c r="F19" s="443">
        <v>0</v>
      </c>
      <c r="G19" s="443">
        <v>15725291</v>
      </c>
      <c r="H19" s="1506">
        <v>5221351</v>
      </c>
      <c r="I19" s="1520"/>
      <c r="J19" s="1513"/>
      <c r="K19" s="443">
        <v>16884686</v>
      </c>
      <c r="L19" s="443">
        <f>'JULI 2025'!AM20</f>
        <v>32809301</v>
      </c>
      <c r="M19" s="443"/>
      <c r="N19" s="443"/>
      <c r="O19" s="443"/>
      <c r="P19" s="57"/>
      <c r="Q19" s="443"/>
      <c r="R19" s="443">
        <f>'[3]Desember 24'!AL18</f>
        <v>0</v>
      </c>
      <c r="S19" s="718"/>
      <c r="T19" s="103">
        <f>SUM(F19:Q19)</f>
        <v>70640629</v>
      </c>
      <c r="U19" s="666">
        <v>399336000</v>
      </c>
      <c r="V19" s="770">
        <f>T19/U19*100</f>
        <v>17.689521856281427</v>
      </c>
      <c r="W19" s="62"/>
      <c r="X19" s="1"/>
      <c r="Y19" s="1"/>
      <c r="Z19" s="1"/>
      <c r="AA19" s="1"/>
      <c r="AB19" s="1"/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32"/>
      <c r="AU19" s="432"/>
      <c r="AV19" s="3"/>
      <c r="AW19" s="1"/>
      <c r="AX19" s="362">
        <f>AX20/D19</f>
        <v>103.73232286225702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79" t="s">
        <v>328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80"/>
      <c r="PJ19" s="141"/>
      <c r="RM19" s="480"/>
      <c r="AEE19" s="141">
        <v>136359.999999986</v>
      </c>
      <c r="AEF19" s="141">
        <v>109339.999999997</v>
      </c>
      <c r="AEG19" s="481">
        <f>SUM(AEE19:AEF19)</f>
        <v>245699.999999983</v>
      </c>
      <c r="AEQ19" s="141">
        <v>34157.880000005498</v>
      </c>
      <c r="AER19" s="481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364"/>
      <c r="C20" s="477" t="s">
        <v>64</v>
      </c>
      <c r="D20" s="441">
        <v>33967</v>
      </c>
      <c r="E20" s="478" t="s">
        <v>14</v>
      </c>
      <c r="F20" s="443">
        <v>0</v>
      </c>
      <c r="G20" s="443">
        <v>769266</v>
      </c>
      <c r="H20" s="1506">
        <v>250161</v>
      </c>
      <c r="I20" s="1520"/>
      <c r="J20" s="1513"/>
      <c r="K20" s="443">
        <v>866309</v>
      </c>
      <c r="L20" s="443">
        <f>'JULI 2025'!AM21</f>
        <v>1487076</v>
      </c>
      <c r="M20" s="443"/>
      <c r="N20" s="443"/>
      <c r="O20" s="443"/>
      <c r="P20" s="57"/>
      <c r="Q20" s="443"/>
      <c r="R20" s="443">
        <f>'[3]Desember 24'!AL19</f>
        <v>0</v>
      </c>
      <c r="S20" s="718"/>
      <c r="T20" s="57">
        <f>SUM(F20:Q20)</f>
        <v>3372812</v>
      </c>
      <c r="U20" s="670">
        <v>19024000</v>
      </c>
      <c r="V20" s="770">
        <f>T20/U20*100</f>
        <v>17.729247266610599</v>
      </c>
      <c r="W20" s="62"/>
      <c r="X20" s="1"/>
      <c r="Y20" s="3"/>
      <c r="Z20" s="1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32"/>
      <c r="AU20" s="432"/>
      <c r="AV20" s="3"/>
      <c r="AW20" s="1"/>
      <c r="AX20" s="3">
        <f>T26+T30+T35+T49+T39</f>
        <v>69369020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82" t="s">
        <v>284</v>
      </c>
      <c r="DF20" s="483"/>
      <c r="DG20" s="484" t="s">
        <v>215</v>
      </c>
      <c r="DH20" s="485" t="s">
        <v>329</v>
      </c>
      <c r="DI20" s="486"/>
      <c r="DJ20" s="141"/>
      <c r="FM20" s="141"/>
      <c r="JH20" s="141"/>
      <c r="JI20" s="141"/>
      <c r="JJ20" s="141"/>
      <c r="JK20" s="141"/>
      <c r="OO20" s="141">
        <f>OO11-OO17</f>
        <v>-47613.867215568906</v>
      </c>
      <c r="OP20" s="141">
        <f>OP11-OP17</f>
        <v>-18945.882467065901</v>
      </c>
      <c r="OR20" s="487" t="s">
        <v>330</v>
      </c>
      <c r="OS20" s="488">
        <v>0</v>
      </c>
      <c r="PE20" s="141">
        <v>564.70506750000004</v>
      </c>
      <c r="PF20" s="480">
        <f>OS20/PE20*100</f>
        <v>0</v>
      </c>
      <c r="PI20" s="473"/>
      <c r="PJ20" s="141"/>
      <c r="RM20" s="480"/>
      <c r="AEE20" s="141">
        <v>13799.9999999993</v>
      </c>
      <c r="AEF20" s="141">
        <v>2799.9999999992701</v>
      </c>
      <c r="AEG20" s="481">
        <f>SUM(AEE20:AEF20)</f>
        <v>16599.99999999857</v>
      </c>
      <c r="AEQ20" s="141">
        <v>1469.85000000024</v>
      </c>
      <c r="AER20" s="481">
        <f>AEG20-AEQ20</f>
        <v>15130.14999999833</v>
      </c>
      <c r="AGU20" s="473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364"/>
      <c r="C21" s="716" t="s">
        <v>351</v>
      </c>
      <c r="D21" s="441"/>
      <c r="E21" s="495"/>
      <c r="F21" s="438"/>
      <c r="G21" s="438"/>
      <c r="H21" s="530"/>
      <c r="I21" s="438"/>
      <c r="J21" s="531"/>
      <c r="K21" s="438"/>
      <c r="L21" s="438"/>
      <c r="M21" s="438"/>
      <c r="N21" s="438"/>
      <c r="O21" s="438"/>
      <c r="P21" s="438"/>
      <c r="Q21" s="514"/>
      <c r="R21" s="514"/>
      <c r="S21" s="718"/>
      <c r="T21" s="57"/>
      <c r="U21" s="670"/>
      <c r="V21" s="770"/>
      <c r="W21" s="62"/>
      <c r="X21" s="1"/>
      <c r="Y21" s="3"/>
      <c r="Z21" s="3"/>
      <c r="AA21" s="1"/>
      <c r="AB21" s="1"/>
      <c r="AC21" s="1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32"/>
      <c r="AU21" s="432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57"/>
      <c r="DF21" s="758"/>
      <c r="DG21" s="759"/>
      <c r="DH21" s="760"/>
      <c r="DI21" s="761"/>
      <c r="DJ21" s="141"/>
      <c r="FM21" s="141"/>
      <c r="JH21" s="141"/>
      <c r="JI21" s="141"/>
      <c r="JJ21" s="141"/>
      <c r="JK21" s="141"/>
      <c r="OO21" s="141"/>
      <c r="OP21" s="141"/>
      <c r="OR21" s="487"/>
      <c r="OS21" s="488"/>
      <c r="PE21" s="141"/>
      <c r="PF21" s="480"/>
      <c r="PI21" s="473"/>
      <c r="PJ21" s="141"/>
      <c r="RM21" s="480"/>
      <c r="AEE21" s="141"/>
      <c r="AEF21" s="141"/>
      <c r="AEG21" s="481"/>
      <c r="AEQ21" s="141"/>
      <c r="AER21" s="481"/>
      <c r="AGU21" s="473"/>
      <c r="AGV21" s="141"/>
      <c r="AIK21" s="141"/>
      <c r="AIL21" s="141"/>
      <c r="AIM21" s="141"/>
      <c r="AIU21" s="141"/>
      <c r="AIV21" s="141"/>
    </row>
    <row r="22" spans="2:933" x14ac:dyDescent="0.25">
      <c r="B22" s="2364"/>
      <c r="C22" s="1989" t="s">
        <v>84</v>
      </c>
      <c r="D22" s="1990"/>
      <c r="E22" s="495"/>
      <c r="F22" s="438"/>
      <c r="G22" s="438"/>
      <c r="H22" s="530">
        <v>6</v>
      </c>
      <c r="I22" s="438"/>
      <c r="J22" s="531"/>
      <c r="K22" s="438"/>
      <c r="L22" s="438"/>
      <c r="M22" s="438"/>
      <c r="N22" s="6"/>
      <c r="O22" s="438"/>
      <c r="P22" s="6"/>
      <c r="Q22" s="514"/>
      <c r="R22" s="514"/>
      <c r="S22" s="718"/>
      <c r="T22" s="57"/>
      <c r="U22" s="670"/>
      <c r="V22" s="770"/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32"/>
      <c r="AU22" s="432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57"/>
      <c r="DF22" s="758"/>
      <c r="DG22" s="759"/>
      <c r="DH22" s="760"/>
      <c r="DI22" s="761"/>
      <c r="DJ22" s="141"/>
      <c r="FM22" s="141"/>
      <c r="JH22" s="141"/>
      <c r="JI22" s="141"/>
      <c r="JJ22" s="141"/>
      <c r="JK22" s="141"/>
      <c r="OO22" s="141"/>
      <c r="OP22" s="141"/>
      <c r="OR22" s="487"/>
      <c r="OS22" s="488"/>
      <c r="PE22" s="141"/>
      <c r="PF22" s="480"/>
      <c r="PI22" s="473"/>
      <c r="PJ22" s="141"/>
      <c r="RM22" s="480"/>
      <c r="AEE22" s="141"/>
      <c r="AEF22" s="141"/>
      <c r="AEG22" s="481"/>
      <c r="AEQ22" s="141"/>
      <c r="AER22" s="481"/>
      <c r="AGU22" s="473"/>
      <c r="AGV22" s="141"/>
      <c r="AIK22" s="141"/>
      <c r="AIL22" s="141"/>
      <c r="AIM22" s="141"/>
      <c r="AIU22" s="141"/>
      <c r="AIV22" s="141"/>
    </row>
    <row r="23" spans="2:933" x14ac:dyDescent="0.25">
      <c r="B23" s="2364"/>
      <c r="C23" s="64" t="s">
        <v>354</v>
      </c>
      <c r="D23" s="1945">
        <v>426016000</v>
      </c>
      <c r="E23" s="478" t="s">
        <v>14</v>
      </c>
      <c r="F23" s="443">
        <f>F231</f>
        <v>0</v>
      </c>
      <c r="G23" s="443">
        <v>13740404</v>
      </c>
      <c r="H23" s="1506">
        <v>5642619</v>
      </c>
      <c r="I23" s="443"/>
      <c r="J23" s="1513"/>
      <c r="K23" s="443">
        <v>17223447</v>
      </c>
      <c r="L23" s="443">
        <f>'JULI 2025'!AM25</f>
        <v>32775474</v>
      </c>
      <c r="M23" s="443"/>
      <c r="N23" s="57"/>
      <c r="O23" s="443"/>
      <c r="P23" s="57"/>
      <c r="Q23" s="443"/>
      <c r="R23" s="443"/>
      <c r="S23" s="718"/>
      <c r="T23" s="763">
        <f>SUM(F23:Q23)</f>
        <v>69381944</v>
      </c>
      <c r="U23" s="670"/>
      <c r="V23" s="770"/>
      <c r="W23" s="1066"/>
      <c r="X23" s="1"/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32"/>
      <c r="AU23" s="432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57"/>
      <c r="DF23" s="758"/>
      <c r="DG23" s="759"/>
      <c r="DH23" s="760"/>
      <c r="DI23" s="761"/>
      <c r="DJ23" s="141"/>
      <c r="FM23" s="141"/>
      <c r="JH23" s="141"/>
      <c r="JI23" s="141"/>
      <c r="JJ23" s="141"/>
      <c r="JK23" s="141"/>
      <c r="OO23" s="141"/>
      <c r="OP23" s="141"/>
      <c r="OR23" s="487"/>
      <c r="OS23" s="488"/>
      <c r="PE23" s="141"/>
      <c r="PF23" s="480"/>
      <c r="PI23" s="473"/>
      <c r="PJ23" s="141"/>
      <c r="RM23" s="480"/>
      <c r="AEE23" s="141"/>
      <c r="AEF23" s="141"/>
      <c r="AEG23" s="481"/>
      <c r="AEQ23" s="141"/>
      <c r="AER23" s="481"/>
      <c r="AGU23" s="473"/>
      <c r="AGV23" s="141"/>
      <c r="AIK23" s="141"/>
      <c r="AIL23" s="141"/>
      <c r="AIM23" s="141"/>
      <c r="AIU23" s="141"/>
      <c r="AIV23" s="141"/>
    </row>
    <row r="24" spans="2:933" x14ac:dyDescent="0.25">
      <c r="B24" s="2364"/>
      <c r="C24" s="14" t="s">
        <v>353</v>
      </c>
      <c r="D24" s="762"/>
      <c r="E24" s="495" t="s">
        <v>14</v>
      </c>
      <c r="F24" s="438">
        <v>0</v>
      </c>
      <c r="G24" s="438">
        <v>13936434</v>
      </c>
      <c r="H24" s="530">
        <v>5876623</v>
      </c>
      <c r="I24" s="1734">
        <v>0</v>
      </c>
      <c r="J24" s="531"/>
      <c r="K24" s="438">
        <v>17792607</v>
      </c>
      <c r="L24" s="438">
        <f>'JULI 2025'!AM29</f>
        <v>31763356</v>
      </c>
      <c r="M24" s="438"/>
      <c r="N24" s="438"/>
      <c r="O24" s="438"/>
      <c r="P24" s="54"/>
      <c r="Q24" s="438"/>
      <c r="R24" s="438"/>
      <c r="S24" s="718"/>
      <c r="T24" s="764">
        <f>SUM(F24:Q24)</f>
        <v>69369020</v>
      </c>
      <c r="U24" s="670"/>
      <c r="V24" s="770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32"/>
      <c r="AU24" s="432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1"/>
      <c r="BY24" s="1"/>
      <c r="DA24" s="1"/>
      <c r="DE24" s="757"/>
      <c r="DF24" s="758"/>
      <c r="DG24" s="759"/>
      <c r="DH24" s="760"/>
      <c r="DI24" s="761"/>
      <c r="DJ24" s="141"/>
      <c r="FM24" s="141"/>
      <c r="JH24" s="141"/>
      <c r="JI24" s="141"/>
      <c r="JJ24" s="141"/>
      <c r="JK24" s="141"/>
      <c r="OO24" s="141"/>
      <c r="OP24" s="141"/>
      <c r="OR24" s="487"/>
      <c r="OS24" s="488"/>
      <c r="PE24" s="141"/>
      <c r="PF24" s="480"/>
      <c r="PI24" s="473"/>
      <c r="PJ24" s="141"/>
      <c r="RM24" s="480"/>
      <c r="AEE24" s="141"/>
      <c r="AEF24" s="141"/>
      <c r="AEG24" s="481"/>
      <c r="AEQ24" s="141"/>
      <c r="AER24" s="481"/>
      <c r="AGU24" s="473"/>
      <c r="AGV24" s="141"/>
      <c r="AIK24" s="141"/>
      <c r="AIL24" s="141"/>
      <c r="AIM24" s="141"/>
      <c r="AIU24" s="141"/>
      <c r="AIV24" s="141"/>
    </row>
    <row r="25" spans="2:933" ht="15.75" thickBot="1" x14ac:dyDescent="0.3">
      <c r="B25" s="2364"/>
      <c r="C25" s="489" t="s">
        <v>76</v>
      </c>
      <c r="D25" s="490"/>
      <c r="E25" s="491"/>
      <c r="F25" s="428"/>
      <c r="G25" s="428"/>
      <c r="H25" s="1505"/>
      <c r="I25" s="428"/>
      <c r="J25" s="1515"/>
      <c r="K25" s="428"/>
      <c r="L25" s="428"/>
      <c r="M25" s="428"/>
      <c r="N25" s="428"/>
      <c r="O25" s="428"/>
      <c r="P25" s="428"/>
      <c r="Q25" s="428"/>
      <c r="R25" s="428"/>
      <c r="S25" s="718"/>
      <c r="T25" s="711" t="s">
        <v>63</v>
      </c>
      <c r="U25" s="671" t="s">
        <v>63</v>
      </c>
      <c r="V25" s="772" t="s">
        <v>63</v>
      </c>
      <c r="W25" s="62"/>
      <c r="X25" s="1"/>
      <c r="Y25" s="1"/>
      <c r="Z25" s="1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"/>
      <c r="BY25" s="1"/>
      <c r="DA25" s="1"/>
      <c r="DE25" s="420"/>
      <c r="DF25" s="492"/>
      <c r="DG25" s="422">
        <v>24</v>
      </c>
      <c r="DH25" s="423">
        <v>2</v>
      </c>
      <c r="DI25" s="424">
        <v>3</v>
      </c>
      <c r="OR25" s="487" t="s">
        <v>61</v>
      </c>
      <c r="OS25" s="493">
        <f>80.53776+PF35</f>
        <v>120.78492</v>
      </c>
      <c r="PE25" s="141">
        <v>4695.7554</v>
      </c>
      <c r="PF25" s="480">
        <f>OS25/PE25*100</f>
        <v>2.5722148985869238</v>
      </c>
      <c r="AGU25" s="473">
        <v>0.25</v>
      </c>
      <c r="AGV25" s="141">
        <f>AGU25*AGV19</f>
        <v>471</v>
      </c>
    </row>
    <row r="26" spans="2:933" x14ac:dyDescent="0.25">
      <c r="B26" s="2364"/>
      <c r="C26" s="477" t="s">
        <v>75</v>
      </c>
      <c r="D26" s="494"/>
      <c r="E26" s="495" t="s">
        <v>14</v>
      </c>
      <c r="F26" s="438">
        <v>0</v>
      </c>
      <c r="G26" s="443">
        <v>210210</v>
      </c>
      <c r="H26" s="443">
        <v>5876623</v>
      </c>
      <c r="I26" s="443">
        <f t="shared" ref="I26:J26" si="3">I27+I28</f>
        <v>0</v>
      </c>
      <c r="J26" s="443">
        <f t="shared" si="3"/>
        <v>0</v>
      </c>
      <c r="K26" s="443">
        <v>17792607</v>
      </c>
      <c r="L26" s="438">
        <f>'JULI 2025'!AM32</f>
        <v>12309228</v>
      </c>
      <c r="M26" s="438"/>
      <c r="N26" s="438"/>
      <c r="O26" s="438"/>
      <c r="P26" s="54"/>
      <c r="Q26" s="438"/>
      <c r="R26" s="438">
        <f>R27+R28</f>
        <v>0</v>
      </c>
      <c r="S26" s="718"/>
      <c r="T26" s="57">
        <f>T27+T28</f>
        <v>36188668</v>
      </c>
      <c r="U26" s="666">
        <f>U27+U28</f>
        <v>87311000</v>
      </c>
      <c r="V26" s="770">
        <f>T26/U26*100</f>
        <v>41.448005405962597</v>
      </c>
      <c r="W26" s="62"/>
      <c r="X26" s="1"/>
      <c r="Y26" s="3"/>
      <c r="Z26" s="1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51"/>
      <c r="AU26" s="451"/>
      <c r="AV26" s="1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2"/>
      <c r="BY26" s="1"/>
      <c r="DA26" s="1"/>
      <c r="DE26" s="430" t="s">
        <v>313</v>
      </c>
      <c r="DF26" s="5" t="s">
        <v>14</v>
      </c>
      <c r="DG26" s="431">
        <v>2000530</v>
      </c>
      <c r="DH26" s="451">
        <v>2005167</v>
      </c>
      <c r="DI26" s="433">
        <v>2025879</v>
      </c>
      <c r="DJ26" s="142"/>
      <c r="FM26" s="142"/>
      <c r="JH26" s="142"/>
      <c r="JI26" s="142"/>
      <c r="JJ26" s="142"/>
      <c r="JK26" s="142"/>
      <c r="OO26" s="142"/>
      <c r="OP26" s="142"/>
      <c r="OR26" s="142"/>
      <c r="PF26" s="145"/>
      <c r="PJ26" s="142"/>
      <c r="RM26" s="145"/>
      <c r="AEE26" s="4">
        <f>95.28%*AEE11</f>
        <v>34157.880000005527</v>
      </c>
      <c r="AEG26" s="4">
        <f>AEE19-AEQ19</f>
        <v>102202.1199999805</v>
      </c>
      <c r="AGV26" s="141"/>
      <c r="AIK26" s="141"/>
      <c r="AIL26" s="141"/>
      <c r="AIM26" s="141"/>
      <c r="AIQ26" s="1" t="s">
        <v>331</v>
      </c>
    </row>
    <row r="27" spans="2:933" x14ac:dyDescent="0.25">
      <c r="B27" s="2364"/>
      <c r="C27" s="477" t="s">
        <v>74</v>
      </c>
      <c r="D27" s="494">
        <v>349333</v>
      </c>
      <c r="E27" s="478" t="s">
        <v>14</v>
      </c>
      <c r="F27" s="443">
        <v>0</v>
      </c>
      <c r="G27" s="443">
        <v>169210</v>
      </c>
      <c r="H27" s="1506">
        <v>4808488</v>
      </c>
      <c r="I27" s="443"/>
      <c r="J27" s="1513"/>
      <c r="K27" s="443">
        <v>14325558</v>
      </c>
      <c r="L27" s="443">
        <f>'JULI 2025'!AM33</f>
        <v>9895094</v>
      </c>
      <c r="M27" s="443"/>
      <c r="N27" s="443"/>
      <c r="O27" s="443"/>
      <c r="P27" s="57"/>
      <c r="Q27" s="443"/>
      <c r="R27" s="443">
        <f>'[3]Desember 24'!AL22</f>
        <v>0</v>
      </c>
      <c r="S27" s="718"/>
      <c r="T27" s="57">
        <f>SUM(F27:Q27)</f>
        <v>29198350</v>
      </c>
      <c r="U27" s="670">
        <v>71627000</v>
      </c>
      <c r="V27" s="770">
        <f>T27/U27*100</f>
        <v>40.764446367989727</v>
      </c>
      <c r="W27" s="62"/>
      <c r="X27" s="1"/>
      <c r="Y27" s="3"/>
      <c r="Z27" s="1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44" t="s">
        <v>320</v>
      </c>
      <c r="DF27" s="445" t="s">
        <v>19</v>
      </c>
      <c r="DG27" s="446">
        <v>255.536188590634</v>
      </c>
      <c r="DH27" s="496">
        <v>255.09239449100701</v>
      </c>
      <c r="DI27" s="448">
        <v>260.824545250543</v>
      </c>
      <c r="OO27" s="469" t="e">
        <f>#REF!/1000</f>
        <v>#REF!</v>
      </c>
      <c r="OR27" s="497" t="s">
        <v>332</v>
      </c>
      <c r="OS27" s="141">
        <v>0</v>
      </c>
      <c r="PE27" s="141">
        <v>9.7534799999999997</v>
      </c>
      <c r="PF27" s="480">
        <f>(OS27*PE27)/1000</f>
        <v>0</v>
      </c>
      <c r="AEE27" s="4">
        <f>4.1%*AEE11</f>
        <v>1469.8500000002375</v>
      </c>
      <c r="AEG27" s="4">
        <f>AEE20-AEQ20</f>
        <v>12330.149999999059</v>
      </c>
    </row>
    <row r="28" spans="2:933" x14ac:dyDescent="0.25">
      <c r="B28" s="2364"/>
      <c r="C28" s="477" t="s">
        <v>73</v>
      </c>
      <c r="D28" s="494">
        <v>76683</v>
      </c>
      <c r="E28" s="478" t="s">
        <v>14</v>
      </c>
      <c r="F28" s="443">
        <v>0</v>
      </c>
      <c r="G28" s="443">
        <v>41000</v>
      </c>
      <c r="H28" s="1506">
        <v>1068135</v>
      </c>
      <c r="I28" s="443"/>
      <c r="J28" s="1513"/>
      <c r="K28" s="443">
        <v>3467049</v>
      </c>
      <c r="L28" s="443">
        <f>'JULI 2025'!AM34</f>
        <v>2414134</v>
      </c>
      <c r="M28" s="443"/>
      <c r="N28" s="443"/>
      <c r="O28" s="443"/>
      <c r="P28" s="57"/>
      <c r="Q28" s="443"/>
      <c r="R28" s="443">
        <f>'[3]Desember 24'!AL23</f>
        <v>0</v>
      </c>
      <c r="S28" s="718"/>
      <c r="T28" s="57">
        <f>SUM(F28:Q28)</f>
        <v>6990318</v>
      </c>
      <c r="U28" s="670">
        <v>15684000</v>
      </c>
      <c r="V28" s="770">
        <f>T28/U28*100</f>
        <v>44.569739862280031</v>
      </c>
      <c r="W28" s="62"/>
      <c r="X28" s="1"/>
      <c r="Y28" s="1"/>
      <c r="Z28" s="1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0" t="s">
        <v>323</v>
      </c>
      <c r="DF28" s="5" t="s">
        <v>14</v>
      </c>
      <c r="DG28" s="431">
        <v>146000</v>
      </c>
      <c r="DH28" s="432">
        <v>151100</v>
      </c>
      <c r="DI28" s="433">
        <v>152900</v>
      </c>
      <c r="OO28" s="141">
        <v>1796</v>
      </c>
      <c r="OQ28" s="480"/>
      <c r="OR28" s="497" t="s">
        <v>333</v>
      </c>
      <c r="OS28" s="469">
        <v>1262</v>
      </c>
      <c r="PE28" s="1">
        <v>10.86</v>
      </c>
      <c r="PF28" s="480">
        <f>(OS28*PE28)/1000</f>
        <v>13.70532</v>
      </c>
      <c r="AIQ28" s="2" t="s">
        <v>334</v>
      </c>
    </row>
    <row r="29" spans="2:933" hidden="1" x14ac:dyDescent="0.25">
      <c r="B29" s="2364"/>
      <c r="C29" s="489" t="s">
        <v>104</v>
      </c>
      <c r="D29" s="494"/>
      <c r="E29" s="498"/>
      <c r="F29" s="499"/>
      <c r="G29" s="499">
        <v>0</v>
      </c>
      <c r="H29" s="1508"/>
      <c r="I29" s="499"/>
      <c r="J29" s="1516"/>
      <c r="K29" s="499"/>
      <c r="L29" s="499"/>
      <c r="M29" s="499"/>
      <c r="N29" s="499"/>
      <c r="O29" s="499"/>
      <c r="P29" s="499"/>
      <c r="Q29" s="499"/>
      <c r="R29" s="499"/>
      <c r="S29" s="718"/>
      <c r="T29" s="711" t="s">
        <v>106</v>
      </c>
      <c r="U29" s="671" t="s">
        <v>106</v>
      </c>
      <c r="V29" s="772" t="s">
        <v>106</v>
      </c>
      <c r="W29" s="62"/>
      <c r="X29" s="3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0"/>
      <c r="DF29" s="5"/>
      <c r="DG29" s="431"/>
      <c r="DH29" s="432"/>
      <c r="DI29" s="433"/>
      <c r="OO29" s="141"/>
      <c r="OQ29" s="480"/>
      <c r="OR29" s="497"/>
      <c r="OS29" s="469"/>
      <c r="PE29" s="1"/>
      <c r="PF29" s="480"/>
      <c r="AIQ29" s="2"/>
    </row>
    <row r="30" spans="2:933" hidden="1" x14ac:dyDescent="0.25">
      <c r="B30" s="2364"/>
      <c r="C30" s="477" t="s">
        <v>75</v>
      </c>
      <c r="D30" s="494"/>
      <c r="E30" s="478" t="s">
        <v>14</v>
      </c>
      <c r="F30" s="443">
        <v>0</v>
      </c>
      <c r="G30" s="443">
        <v>0</v>
      </c>
      <c r="H30" s="1506">
        <v>0</v>
      </c>
      <c r="I30" s="1520"/>
      <c r="J30" s="1513"/>
      <c r="K30" s="443"/>
      <c r="L30" s="443"/>
      <c r="M30" s="443"/>
      <c r="N30" s="443"/>
      <c r="O30" s="443"/>
      <c r="P30" s="443"/>
      <c r="Q30" s="443"/>
      <c r="R30" s="443">
        <f>R31+R32</f>
        <v>0</v>
      </c>
      <c r="S30" s="718"/>
      <c r="T30" s="57">
        <f>T31+T32</f>
        <v>0</v>
      </c>
      <c r="U30" s="666">
        <f>U31+U32</f>
        <v>5121000</v>
      </c>
      <c r="V30" s="770">
        <f>T30/U30*100</f>
        <v>0</v>
      </c>
      <c r="W30" s="365"/>
      <c r="X30" s="1"/>
      <c r="Y30" s="62"/>
      <c r="Z30" s="62"/>
      <c r="AA30" s="62"/>
      <c r="AB30" s="62"/>
      <c r="AC30" s="62"/>
      <c r="AD30" s="62"/>
      <c r="AE30" s="62"/>
      <c r="AF30" s="806"/>
      <c r="AG30" s="806"/>
      <c r="AH30" s="806"/>
      <c r="AI30" s="806"/>
      <c r="AJ30" s="806"/>
      <c r="AK30" s="806"/>
      <c r="AL30" s="806"/>
      <c r="AM30" s="806"/>
      <c r="AN30" s="62"/>
      <c r="AO30" s="62"/>
      <c r="AP30" s="62"/>
      <c r="AR30" s="62"/>
      <c r="AT30" s="1"/>
      <c r="AU30" s="1"/>
      <c r="AV30" s="3"/>
      <c r="AW30" s="1"/>
      <c r="AX30" s="365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0"/>
      <c r="DF30" s="5"/>
      <c r="DG30" s="431"/>
      <c r="DH30" s="432"/>
      <c r="DI30" s="433"/>
      <c r="OO30" s="141"/>
      <c r="OQ30" s="480"/>
      <c r="OR30" s="497"/>
      <c r="OS30" s="469"/>
      <c r="PE30" s="1"/>
      <c r="PF30" s="480"/>
      <c r="AIQ30" s="2"/>
    </row>
    <row r="31" spans="2:933" hidden="1" x14ac:dyDescent="0.25">
      <c r="B31" s="2364"/>
      <c r="C31" s="477" t="s">
        <v>105</v>
      </c>
      <c r="D31" s="494"/>
      <c r="E31" s="478" t="s">
        <v>14</v>
      </c>
      <c r="F31" s="443">
        <v>0</v>
      </c>
      <c r="G31" s="443">
        <v>0</v>
      </c>
      <c r="H31" s="1506">
        <v>0</v>
      </c>
      <c r="I31" s="1520"/>
      <c r="J31" s="1513"/>
      <c r="K31" s="443"/>
      <c r="L31" s="443"/>
      <c r="M31" s="443"/>
      <c r="N31" s="443"/>
      <c r="O31" s="443"/>
      <c r="P31" s="443"/>
      <c r="Q31" s="443"/>
      <c r="R31" s="443">
        <f>'[3]Desember 24'!AL26</f>
        <v>0</v>
      </c>
      <c r="S31" s="718"/>
      <c r="T31" s="57">
        <f>SUM(F31:Q31)</f>
        <v>0</v>
      </c>
      <c r="U31" s="670">
        <v>3934000</v>
      </c>
      <c r="V31" s="770">
        <f>T31/U31*100</f>
        <v>0</v>
      </c>
      <c r="W31" s="365"/>
      <c r="X31" s="1"/>
      <c r="Y31" s="62"/>
      <c r="Z31" s="62"/>
      <c r="AA31" s="62"/>
      <c r="AB31" s="62"/>
      <c r="AC31" s="62"/>
      <c r="AD31" s="62"/>
      <c r="AE31" s="62"/>
      <c r="AF31" s="806"/>
      <c r="AG31" s="806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365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0"/>
      <c r="DF31" s="5"/>
      <c r="DG31" s="431"/>
      <c r="DH31" s="432"/>
      <c r="DI31" s="433"/>
      <c r="OO31" s="141"/>
      <c r="OQ31" s="480"/>
      <c r="OR31" s="497"/>
      <c r="OS31" s="469"/>
      <c r="PE31" s="1"/>
      <c r="PF31" s="480"/>
      <c r="AIQ31" s="2"/>
    </row>
    <row r="32" spans="2:933" hidden="1" x14ac:dyDescent="0.25">
      <c r="B32" s="2364"/>
      <c r="C32" s="477" t="s">
        <v>73</v>
      </c>
      <c r="D32" s="494"/>
      <c r="E32" s="478" t="s">
        <v>14</v>
      </c>
      <c r="F32" s="443">
        <v>0</v>
      </c>
      <c r="G32" s="443"/>
      <c r="H32" s="1506">
        <v>0</v>
      </c>
      <c r="I32" s="1520"/>
      <c r="J32" s="1513"/>
      <c r="K32" s="443"/>
      <c r="L32" s="443"/>
      <c r="M32" s="443"/>
      <c r="N32" s="443"/>
      <c r="O32" s="443"/>
      <c r="P32" s="443"/>
      <c r="Q32" s="443"/>
      <c r="R32" s="443">
        <f>'[3]Desember 24'!AL27</f>
        <v>0</v>
      </c>
      <c r="S32" s="718"/>
      <c r="T32" s="57">
        <f>SUM(F32:Q32)</f>
        <v>0</v>
      </c>
      <c r="U32" s="670">
        <v>1187000</v>
      </c>
      <c r="V32" s="770">
        <f>T32/U32*100</f>
        <v>0</v>
      </c>
      <c r="W32" s="365"/>
      <c r="X32" s="1"/>
      <c r="Y32" s="62"/>
      <c r="Z32" s="62"/>
      <c r="AA32" s="62"/>
      <c r="AB32" s="62"/>
      <c r="AC32" s="62"/>
      <c r="AD32" s="62"/>
      <c r="AE32" s="62"/>
      <c r="AF32" s="806"/>
      <c r="AG32" s="806"/>
      <c r="AH32" s="62"/>
      <c r="AI32" s="62"/>
      <c r="AJ32" s="62"/>
      <c r="AK32" s="62"/>
      <c r="AL32" s="62"/>
      <c r="AM32" s="62"/>
      <c r="AN32" s="62"/>
      <c r="AO32" s="62"/>
      <c r="AP32" s="62"/>
      <c r="AR32" s="62"/>
      <c r="AT32" s="1"/>
      <c r="AU32" s="1"/>
      <c r="AV32" s="3"/>
      <c r="AW32" s="1"/>
      <c r="AX32" s="365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30"/>
      <c r="DF32" s="5"/>
      <c r="DG32" s="431"/>
      <c r="DH32" s="432"/>
      <c r="DI32" s="433"/>
      <c r="OO32" s="141"/>
      <c r="OQ32" s="480"/>
      <c r="OR32" s="497"/>
      <c r="OS32" s="469"/>
      <c r="PE32" s="1"/>
      <c r="PF32" s="480"/>
      <c r="AIQ32" s="2"/>
    </row>
    <row r="33" spans="1:14939" ht="15.75" hidden="1" thickBot="1" x14ac:dyDescent="0.3">
      <c r="B33" s="2364"/>
      <c r="C33" s="489" t="s">
        <v>107</v>
      </c>
      <c r="D33" s="500"/>
      <c r="E33" s="491"/>
      <c r="F33" s="428"/>
      <c r="G33" s="428">
        <v>0</v>
      </c>
      <c r="H33" s="1505"/>
      <c r="I33" s="501"/>
      <c r="J33" s="1515"/>
      <c r="K33" s="428"/>
      <c r="L33" s="428"/>
      <c r="M33" s="428"/>
      <c r="N33" s="428"/>
      <c r="O33" s="428"/>
      <c r="P33" s="428"/>
      <c r="Q33" s="428"/>
      <c r="R33" s="428"/>
      <c r="S33" s="718"/>
      <c r="T33" s="711" t="s">
        <v>108</v>
      </c>
      <c r="U33" s="671" t="s">
        <v>108</v>
      </c>
      <c r="V33" s="772" t="s">
        <v>108</v>
      </c>
      <c r="W33" s="62"/>
      <c r="X33" s="1"/>
      <c r="Y33" s="62"/>
      <c r="Z33" s="62"/>
      <c r="AA33" s="62"/>
      <c r="AB33" s="62"/>
      <c r="AC33" s="62"/>
      <c r="AD33" s="62"/>
      <c r="AE33" s="62"/>
      <c r="AF33" s="2362"/>
      <c r="AG33" s="2362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64"/>
      <c r="DF33" s="465" t="s">
        <v>324</v>
      </c>
      <c r="DG33" s="502">
        <f>DG28/(DG26/1000)</f>
        <v>72.980660125066862</v>
      </c>
      <c r="DH33" s="503">
        <f>DH28/(DH26/1000)</f>
        <v>75.35531953198911</v>
      </c>
      <c r="DI33" s="504">
        <f>DI28/(DI26/1000)</f>
        <v>75.473411788167013</v>
      </c>
      <c r="OO33" s="480" t="e">
        <f>OO27/OO28*100</f>
        <v>#REF!</v>
      </c>
      <c r="OQ33" s="480"/>
      <c r="OR33" s="497" t="s">
        <v>335</v>
      </c>
      <c r="OS33" s="469">
        <v>2444</v>
      </c>
      <c r="PE33" s="1">
        <v>10.86</v>
      </c>
      <c r="PF33" s="480">
        <f>(OS33*PE33)/1000</f>
        <v>26.541840000000001</v>
      </c>
      <c r="AIQ33" s="2" t="s">
        <v>315</v>
      </c>
    </row>
    <row r="34" spans="1:14939" hidden="1" x14ac:dyDescent="0.25">
      <c r="A34" s="16"/>
      <c r="B34" s="2364"/>
      <c r="C34" s="505" t="s">
        <v>71</v>
      </c>
      <c r="D34" s="506"/>
      <c r="E34" s="507" t="s">
        <v>14</v>
      </c>
      <c r="F34" s="443">
        <v>0</v>
      </c>
      <c r="G34" s="443">
        <v>0</v>
      </c>
      <c r="H34" s="1506">
        <v>0</v>
      </c>
      <c r="I34" s="443"/>
      <c r="J34" s="1513"/>
      <c r="K34" s="443"/>
      <c r="L34" s="443"/>
      <c r="M34" s="443"/>
      <c r="N34" s="443"/>
      <c r="O34" s="443"/>
      <c r="P34" s="443"/>
      <c r="Q34" s="443"/>
      <c r="R34" s="443">
        <f>'[3]Desember 24'!AL29</f>
        <v>0</v>
      </c>
      <c r="S34" s="720"/>
      <c r="T34" s="508">
        <f>SUM(F34:Q34)</f>
        <v>0</v>
      </c>
      <c r="U34" s="672">
        <f>U35/U57%</f>
        <v>32338304.029689282</v>
      </c>
      <c r="V34" s="770">
        <f>(T34/U34)*100</f>
        <v>0</v>
      </c>
      <c r="W34" s="807"/>
      <c r="X34" s="16"/>
      <c r="Y34" s="807"/>
      <c r="Z34" s="807"/>
      <c r="AA34" s="807"/>
      <c r="AB34" s="807"/>
      <c r="AC34" s="807"/>
      <c r="AD34" s="807"/>
      <c r="AE34" s="807"/>
      <c r="AF34" s="808"/>
      <c r="AG34" s="808"/>
      <c r="AH34" s="807"/>
      <c r="AI34" s="807"/>
      <c r="AJ34" s="807"/>
      <c r="AK34" s="807"/>
      <c r="AL34" s="807"/>
      <c r="AM34" s="807"/>
      <c r="AN34" s="807"/>
      <c r="AO34" s="807"/>
      <c r="AP34" s="807"/>
      <c r="AQ34" s="807"/>
      <c r="AR34" s="807"/>
      <c r="AS34" s="807"/>
      <c r="AT34" s="809"/>
      <c r="AU34" s="809"/>
      <c r="AV34" s="16"/>
      <c r="AW34" s="16"/>
      <c r="AX34" s="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V34" s="16"/>
      <c r="BW34" s="16"/>
      <c r="BX34" s="144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F34" s="5" t="s">
        <v>324</v>
      </c>
      <c r="DG34" s="145" t="e">
        <f>DG28/(DG20/1000)</f>
        <v>#VALUE!</v>
      </c>
      <c r="DH34" s="145" t="e">
        <f>DI28/(DH20/1000)</f>
        <v>#VALUE!</v>
      </c>
      <c r="DI34" s="145" t="e">
        <f>#REF!/(DI20/1000)</f>
        <v>#REF!</v>
      </c>
      <c r="DJ34" s="144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44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44"/>
      <c r="JI34" s="144"/>
      <c r="JJ34" s="144"/>
      <c r="JK34" s="144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44"/>
      <c r="OP34" s="144"/>
      <c r="OQ34" s="509"/>
      <c r="OR34" s="144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509"/>
      <c r="PG34" s="16"/>
      <c r="PH34" s="16"/>
      <c r="PI34" s="16"/>
      <c r="PJ34" s="144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509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44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44"/>
      <c r="AIL34" s="144"/>
      <c r="AIM34" s="144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</row>
    <row r="35" spans="1:14939" hidden="1" x14ac:dyDescent="0.25">
      <c r="B35" s="2364"/>
      <c r="C35" s="477" t="s">
        <v>70</v>
      </c>
      <c r="D35" s="494">
        <f>SUM(D36:D37)</f>
        <v>15000</v>
      </c>
      <c r="E35" s="478" t="s">
        <v>14</v>
      </c>
      <c r="F35" s="443">
        <v>0</v>
      </c>
      <c r="G35" s="443">
        <v>0</v>
      </c>
      <c r="H35" s="1506">
        <v>0</v>
      </c>
      <c r="I35" s="443"/>
      <c r="J35" s="1513"/>
      <c r="K35" s="443"/>
      <c r="L35" s="443"/>
      <c r="M35" s="443"/>
      <c r="N35" s="443"/>
      <c r="O35" s="443"/>
      <c r="P35" s="443"/>
      <c r="Q35" s="443"/>
      <c r="R35" s="443">
        <f>R36+R37</f>
        <v>0</v>
      </c>
      <c r="S35" s="718"/>
      <c r="T35" s="508">
        <f>T36+T37</f>
        <v>0</v>
      </c>
      <c r="U35" s="673">
        <f>U36+U37</f>
        <v>30647000</v>
      </c>
      <c r="V35" s="770">
        <f>(T35/U35)*100</f>
        <v>0</v>
      </c>
      <c r="W35" s="62"/>
      <c r="X35" s="1"/>
      <c r="Y35" s="62"/>
      <c r="Z35" s="62"/>
      <c r="AA35" s="62"/>
      <c r="AB35" s="62"/>
      <c r="AC35" s="62"/>
      <c r="AD35" s="62"/>
      <c r="AE35" s="62"/>
      <c r="AF35" s="2362"/>
      <c r="AG35" s="2362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451"/>
      <c r="AU35" s="451"/>
      <c r="AV35" s="1"/>
      <c r="AW35" s="1"/>
      <c r="AX35" s="16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2"/>
      <c r="BY35" s="1"/>
      <c r="DA35" s="1"/>
      <c r="DE35" s="2"/>
      <c r="DF35" s="5"/>
      <c r="DG35" s="141"/>
      <c r="DH35" s="141"/>
      <c r="DI35" s="141"/>
      <c r="DJ35" s="142"/>
      <c r="FM35" s="142"/>
      <c r="JH35" s="142"/>
      <c r="JI35" s="142"/>
      <c r="JJ35" s="142"/>
      <c r="JK35" s="142"/>
      <c r="OO35" s="142"/>
      <c r="OP35" s="142"/>
      <c r="OQ35" s="145"/>
      <c r="OR35" s="142"/>
      <c r="PF35" s="145">
        <f>SUM(PF28:PF33)</f>
        <v>40.247160000000001</v>
      </c>
      <c r="PJ35" s="142"/>
      <c r="RM35" s="145"/>
      <c r="AGV35" s="141"/>
      <c r="AIK35" s="141"/>
      <c r="AIL35" s="141"/>
      <c r="AIM35" s="141"/>
    </row>
    <row r="36" spans="1:14939" hidden="1" x14ac:dyDescent="0.25">
      <c r="B36" s="2364"/>
      <c r="C36" s="477" t="s">
        <v>336</v>
      </c>
      <c r="D36" s="494">
        <v>12000</v>
      </c>
      <c r="E36" s="478" t="s">
        <v>14</v>
      </c>
      <c r="F36" s="443">
        <v>0</v>
      </c>
      <c r="G36" s="443">
        <v>0</v>
      </c>
      <c r="H36" s="1506">
        <v>0</v>
      </c>
      <c r="I36" s="443"/>
      <c r="J36" s="1513"/>
      <c r="K36" s="443"/>
      <c r="L36" s="443"/>
      <c r="M36" s="443"/>
      <c r="N36" s="443"/>
      <c r="O36" s="443"/>
      <c r="P36" s="443"/>
      <c r="Q36" s="443"/>
      <c r="R36" s="443">
        <f>'[3]Desember 24'!AL31</f>
        <v>0</v>
      </c>
      <c r="S36" s="718"/>
      <c r="T36" s="510">
        <f>SUM(F36:Q36)</f>
        <v>0</v>
      </c>
      <c r="U36" s="674">
        <v>23002000</v>
      </c>
      <c r="V36" s="770">
        <f>T36/U36*100</f>
        <v>0</v>
      </c>
      <c r="W36" s="62"/>
      <c r="X36" s="5"/>
      <c r="Y36" s="62"/>
      <c r="Z36" s="62"/>
      <c r="AA36" s="62"/>
      <c r="AB36" s="62"/>
      <c r="AC36" s="62"/>
      <c r="AD36" s="62"/>
      <c r="AE36" s="62"/>
      <c r="AF36" s="2362"/>
      <c r="AG36" s="2362"/>
      <c r="AH36" s="2362"/>
      <c r="AI36" s="2362"/>
      <c r="AJ36" s="2362"/>
      <c r="AK36" s="2362"/>
      <c r="AL36" s="2362"/>
      <c r="AM36" s="62"/>
      <c r="AN36" s="62"/>
      <c r="AO36" s="62"/>
      <c r="AP36" s="62"/>
      <c r="AR36" s="62"/>
      <c r="AT36" s="451"/>
      <c r="AU36" s="45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2"/>
      <c r="BY36" s="1"/>
      <c r="DA36" s="1"/>
      <c r="DF36" s="5"/>
      <c r="DG36" s="145"/>
      <c r="DH36" s="145"/>
      <c r="DI36" s="145"/>
      <c r="DJ36" s="142"/>
      <c r="FM36" s="142"/>
      <c r="JH36" s="142"/>
      <c r="JI36" s="142"/>
      <c r="JJ36" s="142"/>
      <c r="JK36" s="142"/>
      <c r="OO36" s="142"/>
      <c r="OP36" s="142"/>
      <c r="OQ36" s="145"/>
      <c r="OR36" s="142"/>
      <c r="PF36" s="145"/>
      <c r="PJ36" s="142"/>
      <c r="RM36" s="145"/>
      <c r="AGV36" s="141"/>
      <c r="AIK36" s="141"/>
      <c r="AIL36" s="141"/>
      <c r="AIM36" s="141"/>
    </row>
    <row r="37" spans="1:14939" hidden="1" x14ac:dyDescent="0.25">
      <c r="B37" s="2364"/>
      <c r="C37" s="440" t="s">
        <v>73</v>
      </c>
      <c r="D37" s="494">
        <v>3000</v>
      </c>
      <c r="E37" s="478" t="s">
        <v>14</v>
      </c>
      <c r="F37" s="443">
        <v>0</v>
      </c>
      <c r="G37" s="443"/>
      <c r="H37" s="1506">
        <v>0</v>
      </c>
      <c r="I37" s="443"/>
      <c r="J37" s="1513"/>
      <c r="K37" s="443"/>
      <c r="L37" s="443"/>
      <c r="M37" s="443"/>
      <c r="N37" s="443"/>
      <c r="O37" s="443"/>
      <c r="P37" s="443"/>
      <c r="Q37" s="443"/>
      <c r="R37" s="443">
        <f>'[3]Desember 24'!AL32</f>
        <v>0</v>
      </c>
      <c r="S37" s="718"/>
      <c r="T37" s="508">
        <f>SUM(F37:Q37)</f>
        <v>0</v>
      </c>
      <c r="U37" s="672">
        <v>7645000</v>
      </c>
      <c r="V37" s="770">
        <f>T37/U37*100</f>
        <v>0</v>
      </c>
      <c r="W37" s="62"/>
      <c r="X37" s="820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451"/>
      <c r="AU37" s="45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2"/>
      <c r="BY37" s="1"/>
      <c r="DA37" s="1"/>
      <c r="DF37" s="5"/>
      <c r="DG37" s="142"/>
      <c r="DH37" s="142"/>
      <c r="DI37" s="142"/>
      <c r="DJ37" s="142"/>
      <c r="FM37" s="142"/>
      <c r="JH37" s="142"/>
      <c r="JI37" s="142"/>
      <c r="JJ37" s="142"/>
      <c r="JK37" s="142"/>
      <c r="OO37" s="142"/>
      <c r="OP37" s="142"/>
      <c r="OR37" s="142"/>
      <c r="PF37" s="145"/>
      <c r="PJ37" s="142"/>
      <c r="RM37" s="145"/>
      <c r="AGV37" s="141"/>
      <c r="AIK37" s="141"/>
      <c r="AIL37" s="141"/>
      <c r="AIM37" s="141"/>
    </row>
    <row r="38" spans="1:14939" s="511" customFormat="1" x14ac:dyDescent="0.25">
      <c r="B38" s="2364"/>
      <c r="C38" s="489" t="s">
        <v>337</v>
      </c>
      <c r="D38" s="512"/>
      <c r="E38" s="513"/>
      <c r="F38" s="514"/>
      <c r="G38" s="514"/>
      <c r="H38" s="1509"/>
      <c r="I38" s="514"/>
      <c r="J38" s="1517"/>
      <c r="K38" s="514"/>
      <c r="L38" s="514"/>
      <c r="M38" s="514"/>
      <c r="N38" s="514"/>
      <c r="O38" s="514"/>
      <c r="P38" s="514"/>
      <c r="Q38" s="514"/>
      <c r="R38" s="514"/>
      <c r="S38" s="719"/>
      <c r="T38" s="711" t="s">
        <v>330</v>
      </c>
      <c r="U38" s="671" t="s">
        <v>330</v>
      </c>
      <c r="V38" s="772" t="s">
        <v>330</v>
      </c>
      <c r="W38" s="62"/>
      <c r="X38" s="820"/>
      <c r="Y38" s="803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R38" s="62"/>
      <c r="AT38" s="802"/>
      <c r="AU38" s="802"/>
      <c r="AV38" s="62"/>
      <c r="AW38" s="62"/>
      <c r="AX38" s="1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V38" s="62"/>
      <c r="BW38" s="62"/>
      <c r="BX38" s="143"/>
      <c r="BY38" s="62"/>
      <c r="DA38" s="62"/>
      <c r="DF38" s="51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52"/>
      <c r="PJ38" s="143"/>
      <c r="RM38" s="152"/>
      <c r="AGV38" s="143"/>
      <c r="AIK38" s="143"/>
      <c r="AIL38" s="143"/>
      <c r="AIM38" s="143"/>
    </row>
    <row r="39" spans="1:14939" x14ac:dyDescent="0.25">
      <c r="B39" s="2364"/>
      <c r="C39" s="477" t="s">
        <v>75</v>
      </c>
      <c r="D39" s="494"/>
      <c r="E39" s="478" t="s">
        <v>14</v>
      </c>
      <c r="F39" s="443">
        <v>0</v>
      </c>
      <c r="G39" s="443">
        <v>13585776</v>
      </c>
      <c r="H39" s="1506">
        <v>0</v>
      </c>
      <c r="I39" s="1520"/>
      <c r="J39" s="1513"/>
      <c r="K39" s="443"/>
      <c r="L39" s="443">
        <f>'JULI 2025'!AM45</f>
        <v>19454128</v>
      </c>
      <c r="M39" s="443"/>
      <c r="N39" s="443"/>
      <c r="O39" s="443"/>
      <c r="P39" s="57"/>
      <c r="Q39" s="443"/>
      <c r="R39" s="443">
        <f>R40+R41</f>
        <v>0</v>
      </c>
      <c r="S39" s="718"/>
      <c r="T39" s="57">
        <f>T40+T41</f>
        <v>33039904</v>
      </c>
      <c r="U39" s="673">
        <f>U40+U41</f>
        <v>249961000</v>
      </c>
      <c r="V39" s="770">
        <f>T39/U39*100</f>
        <v>13.218023611683421</v>
      </c>
      <c r="W39" s="62"/>
      <c r="X39" s="820"/>
      <c r="Y39" s="803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51"/>
      <c r="AU39" s="451"/>
      <c r="AV39" s="1"/>
      <c r="AW39" s="1"/>
      <c r="AX39" s="62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x14ac:dyDescent="0.25">
      <c r="B40" s="2364"/>
      <c r="C40" s="477" t="s">
        <v>338</v>
      </c>
      <c r="D40" s="494">
        <v>205714</v>
      </c>
      <c r="E40" s="478" t="s">
        <v>14</v>
      </c>
      <c r="F40" s="443">
        <v>0</v>
      </c>
      <c r="G40" s="1526">
        <v>10107561</v>
      </c>
      <c r="H40" s="1506">
        <v>0</v>
      </c>
      <c r="I40" s="1520"/>
      <c r="J40" s="1513"/>
      <c r="K40" s="443"/>
      <c r="L40" s="443">
        <f>'JULI 2025'!AM46</f>
        <v>13698839</v>
      </c>
      <c r="M40" s="443"/>
      <c r="N40" s="443"/>
      <c r="O40" s="443"/>
      <c r="P40" s="57"/>
      <c r="Q40" s="443"/>
      <c r="R40" s="443">
        <f>'[3]Desember 24'!AL35</f>
        <v>0</v>
      </c>
      <c r="S40" s="718"/>
      <c r="T40" s="57">
        <f>SUM(F40:Q40)</f>
        <v>23806400</v>
      </c>
      <c r="U40" s="672">
        <v>175000000</v>
      </c>
      <c r="V40" s="770">
        <f>T40/U40*100</f>
        <v>13.603657142857143</v>
      </c>
      <c r="W40" s="62"/>
      <c r="X40" s="5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R40" s="62"/>
      <c r="AT40" s="451"/>
      <c r="AU40" s="45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2"/>
      <c r="BY40" s="1"/>
      <c r="DA40" s="1"/>
      <c r="DF40" s="5"/>
      <c r="DG40" s="142"/>
      <c r="DH40" s="142"/>
      <c r="DI40" s="142"/>
      <c r="DJ40" s="142"/>
      <c r="FM40" s="142"/>
      <c r="JH40" s="142"/>
      <c r="JI40" s="142"/>
      <c r="JJ40" s="142"/>
      <c r="JK40" s="142"/>
      <c r="OO40" s="142"/>
      <c r="OP40" s="142"/>
      <c r="OR40" s="142"/>
      <c r="PF40" s="145"/>
      <c r="PJ40" s="142"/>
      <c r="RM40" s="145"/>
      <c r="AGV40" s="141"/>
      <c r="AIK40" s="141"/>
      <c r="AIL40" s="141"/>
      <c r="AIM40" s="141"/>
    </row>
    <row r="41" spans="1:14939" x14ac:dyDescent="0.25">
      <c r="B41" s="2364"/>
      <c r="C41" s="477" t="s">
        <v>73</v>
      </c>
      <c r="D41" s="494">
        <v>61714</v>
      </c>
      <c r="E41" s="478" t="s">
        <v>14</v>
      </c>
      <c r="F41" s="443">
        <v>0</v>
      </c>
      <c r="G41" s="1526">
        <v>3478215</v>
      </c>
      <c r="H41" s="1506">
        <v>0</v>
      </c>
      <c r="I41" s="1520"/>
      <c r="J41" s="1513"/>
      <c r="K41" s="443"/>
      <c r="L41" s="443">
        <f>'JULI 2025'!AM47</f>
        <v>5755289</v>
      </c>
      <c r="M41" s="443"/>
      <c r="N41" s="443"/>
      <c r="O41" s="443"/>
      <c r="P41" s="57"/>
      <c r="Q41" s="443"/>
      <c r="R41" s="443">
        <f>'[3]Desember 24'!AL36</f>
        <v>0</v>
      </c>
      <c r="S41" s="718"/>
      <c r="T41" s="57">
        <f>SUM(F41:Q41)</f>
        <v>9233504</v>
      </c>
      <c r="U41" s="672">
        <v>74961000</v>
      </c>
      <c r="V41" s="770">
        <f>T41/U41*100</f>
        <v>12.317743893491283</v>
      </c>
      <c r="W41" s="62"/>
      <c r="X41" s="5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51"/>
      <c r="AU41" s="45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hidden="1" x14ac:dyDescent="0.25">
      <c r="B42" s="2364"/>
      <c r="C42" s="716" t="s">
        <v>817</v>
      </c>
      <c r="D42" s="494"/>
      <c r="E42" s="478"/>
      <c r="F42" s="443"/>
      <c r="G42" s="1526"/>
      <c r="H42" s="1506">
        <v>0</v>
      </c>
      <c r="I42" s="1520"/>
      <c r="J42" s="1513"/>
      <c r="K42" s="443"/>
      <c r="L42" s="443"/>
      <c r="M42" s="443"/>
      <c r="N42" s="443"/>
      <c r="O42" s="443"/>
      <c r="P42" s="443"/>
      <c r="Q42" s="443"/>
      <c r="R42" s="443"/>
      <c r="S42" s="718"/>
      <c r="T42" s="57"/>
      <c r="U42" s="672"/>
      <c r="V42" s="770"/>
      <c r="W42" s="62"/>
      <c r="X42" s="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451"/>
      <c r="AU42" s="4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hidden="1" x14ac:dyDescent="0.25">
      <c r="B43" s="2364"/>
      <c r="C43" s="71" t="s">
        <v>71</v>
      </c>
      <c r="D43" s="494"/>
      <c r="E43" s="478" t="s">
        <v>14</v>
      </c>
      <c r="F43" s="443"/>
      <c r="G43" s="1526"/>
      <c r="H43" s="1506"/>
      <c r="I43" s="1520"/>
      <c r="J43" s="1513"/>
      <c r="K43" s="443"/>
      <c r="L43" s="443"/>
      <c r="M43" s="443"/>
      <c r="N43" s="443"/>
      <c r="O43" s="443"/>
      <c r="P43" s="443"/>
      <c r="Q43" s="443"/>
      <c r="R43" s="443"/>
      <c r="S43" s="718"/>
      <c r="T43" s="57"/>
      <c r="U43" s="672"/>
      <c r="V43" s="770"/>
      <c r="W43" s="62"/>
      <c r="X43" s="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51"/>
      <c r="AU43" s="45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hidden="1" x14ac:dyDescent="0.25">
      <c r="B44" s="2364"/>
      <c r="C44" s="64" t="s">
        <v>75</v>
      </c>
      <c r="D44" s="494"/>
      <c r="E44" s="478" t="s">
        <v>14</v>
      </c>
      <c r="F44" s="443"/>
      <c r="G44" s="1526"/>
      <c r="H44" s="1506"/>
      <c r="I44" s="1520"/>
      <c r="J44" s="1513"/>
      <c r="K44" s="443"/>
      <c r="L44" s="443"/>
      <c r="M44" s="443"/>
      <c r="N44" s="443"/>
      <c r="O44" s="443"/>
      <c r="P44" s="443"/>
      <c r="Q44" s="443"/>
      <c r="R44" s="443"/>
      <c r="S44" s="718"/>
      <c r="T44" s="57"/>
      <c r="U44" s="672"/>
      <c r="V44" s="770"/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51"/>
      <c r="AU44" s="45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hidden="1" x14ac:dyDescent="0.25">
      <c r="B45" s="2364"/>
      <c r="C45" s="64" t="s">
        <v>112</v>
      </c>
      <c r="D45" s="494"/>
      <c r="E45" s="478" t="s">
        <v>14</v>
      </c>
      <c r="F45" s="443"/>
      <c r="G45" s="1526"/>
      <c r="H45" s="1506"/>
      <c r="I45" s="1520"/>
      <c r="J45" s="1513"/>
      <c r="K45" s="443"/>
      <c r="L45" s="443"/>
      <c r="M45" s="443"/>
      <c r="N45" s="443"/>
      <c r="O45" s="443"/>
      <c r="P45" s="443"/>
      <c r="Q45" s="443"/>
      <c r="R45" s="443"/>
      <c r="S45" s="718"/>
      <c r="T45" s="57"/>
      <c r="U45" s="672"/>
      <c r="V45" s="770"/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51"/>
      <c r="AU45" s="45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hidden="1" x14ac:dyDescent="0.25">
      <c r="B46" s="2364"/>
      <c r="C46" s="64" t="s">
        <v>73</v>
      </c>
      <c r="D46" s="494"/>
      <c r="E46" s="478" t="s">
        <v>14</v>
      </c>
      <c r="F46" s="443"/>
      <c r="G46" s="1526"/>
      <c r="H46" s="1506"/>
      <c r="I46" s="1520"/>
      <c r="J46" s="1513"/>
      <c r="K46" s="443"/>
      <c r="L46" s="443"/>
      <c r="M46" s="443"/>
      <c r="N46" s="443"/>
      <c r="O46" s="443"/>
      <c r="P46" s="443"/>
      <c r="Q46" s="443"/>
      <c r="R46" s="443"/>
      <c r="S46" s="718"/>
      <c r="T46" s="57"/>
      <c r="U46" s="672"/>
      <c r="V46" s="770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51"/>
      <c r="AU46" s="45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2"/>
      <c r="BY46" s="1"/>
      <c r="DA46" s="1"/>
      <c r="DF46" s="5"/>
      <c r="DG46" s="142"/>
      <c r="DH46" s="142"/>
      <c r="DI46" s="142"/>
      <c r="DJ46" s="142"/>
      <c r="FM46" s="142"/>
      <c r="JH46" s="142"/>
      <c r="JI46" s="142"/>
      <c r="JJ46" s="142"/>
      <c r="JK46" s="142"/>
      <c r="OO46" s="142"/>
      <c r="OP46" s="142"/>
      <c r="OR46" s="142"/>
      <c r="PF46" s="145"/>
      <c r="PJ46" s="142"/>
      <c r="RM46" s="145"/>
      <c r="AGV46" s="141"/>
      <c r="AIK46" s="141"/>
      <c r="AIL46" s="141"/>
      <c r="AIM46" s="141"/>
    </row>
    <row r="47" spans="1:14939" hidden="1" x14ac:dyDescent="0.25">
      <c r="B47" s="2364"/>
      <c r="C47" s="489" t="s">
        <v>72</v>
      </c>
      <c r="D47" s="500"/>
      <c r="E47" s="491"/>
      <c r="F47" s="428"/>
      <c r="G47" s="428">
        <v>0</v>
      </c>
      <c r="H47" s="1505"/>
      <c r="I47" s="501"/>
      <c r="J47" s="1515"/>
      <c r="K47" s="428"/>
      <c r="L47" s="428"/>
      <c r="M47" s="428"/>
      <c r="N47" s="428"/>
      <c r="O47" s="428"/>
      <c r="P47" s="428"/>
      <c r="Q47" s="428"/>
      <c r="R47" s="428"/>
      <c r="S47" s="718"/>
      <c r="T47" s="711" t="s">
        <v>61</v>
      </c>
      <c r="U47" s="671" t="s">
        <v>61</v>
      </c>
      <c r="V47" s="772" t="s">
        <v>61</v>
      </c>
      <c r="W47" s="62"/>
      <c r="X47" s="1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"/>
      <c r="BY47" s="1"/>
      <c r="DA47" s="1"/>
    </row>
    <row r="48" spans="1:14939" x14ac:dyDescent="0.25">
      <c r="A48" s="16"/>
      <c r="B48" s="2364"/>
      <c r="C48" s="505" t="s">
        <v>71</v>
      </c>
      <c r="D48" s="506"/>
      <c r="E48" s="507" t="s">
        <v>14</v>
      </c>
      <c r="F48" s="443">
        <v>0</v>
      </c>
      <c r="G48" s="443">
        <v>0</v>
      </c>
      <c r="H48" s="1506">
        <v>0</v>
      </c>
      <c r="I48" s="1522"/>
      <c r="J48" s="1513"/>
      <c r="K48" s="443"/>
      <c r="L48" s="443"/>
      <c r="M48" s="443"/>
      <c r="N48" s="443"/>
      <c r="O48" s="443"/>
      <c r="P48" s="443"/>
      <c r="Q48" s="443"/>
      <c r="R48" s="443"/>
      <c r="S48" s="720"/>
      <c r="T48" s="57">
        <f>SUM(F48:Q48)</f>
        <v>0</v>
      </c>
      <c r="U48" s="670">
        <f>U49/U57%</f>
        <v>25913272.762786224</v>
      </c>
      <c r="V48" s="770">
        <f>T48/U48*100</f>
        <v>0</v>
      </c>
      <c r="W48" s="807"/>
      <c r="X48" s="16"/>
      <c r="Y48" s="807"/>
      <c r="Z48" s="807"/>
      <c r="AA48" s="807"/>
      <c r="AB48" s="807"/>
      <c r="AC48" s="807"/>
      <c r="AD48" s="807"/>
      <c r="AE48" s="807"/>
      <c r="AF48" s="807"/>
      <c r="AG48" s="807"/>
      <c r="AH48" s="807"/>
      <c r="AI48" s="807"/>
      <c r="AJ48" s="807"/>
      <c r="AK48" s="807"/>
      <c r="AL48" s="807"/>
      <c r="AM48" s="807"/>
      <c r="AN48" s="807"/>
      <c r="AO48" s="807"/>
      <c r="AP48" s="807"/>
      <c r="AQ48" s="807"/>
      <c r="AR48" s="807"/>
      <c r="AS48" s="807"/>
      <c r="AT48" s="809"/>
      <c r="AU48" s="809"/>
      <c r="AV48" s="16"/>
      <c r="AW48" s="16"/>
      <c r="AX48" s="1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V48" s="16"/>
      <c r="BW48" s="16"/>
      <c r="BX48" s="144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516"/>
      <c r="DG48" s="144"/>
      <c r="DH48" s="144"/>
      <c r="DI48" s="144"/>
      <c r="DJ48" s="144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44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44"/>
      <c r="JI48" s="144"/>
      <c r="JJ48" s="144"/>
      <c r="JK48" s="144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44"/>
      <c r="OP48" s="144"/>
      <c r="OQ48" s="16"/>
      <c r="OR48" s="144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509"/>
      <c r="PG48" s="16"/>
      <c r="PH48" s="16"/>
      <c r="PI48" s="16"/>
      <c r="PJ48" s="144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509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44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44"/>
      <c r="AIL48" s="144"/>
      <c r="AIM48" s="144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</row>
    <row r="49" spans="2:923" x14ac:dyDescent="0.25">
      <c r="B49" s="2364"/>
      <c r="C49" s="477" t="s">
        <v>70</v>
      </c>
      <c r="D49" s="494"/>
      <c r="E49" s="478" t="s">
        <v>14</v>
      </c>
      <c r="F49" s="443">
        <v>0</v>
      </c>
      <c r="G49" s="443">
        <v>140448</v>
      </c>
      <c r="H49" s="1506">
        <v>0</v>
      </c>
      <c r="I49" s="1520"/>
      <c r="J49" s="1513"/>
      <c r="K49" s="443"/>
      <c r="L49" s="443"/>
      <c r="M49" s="443"/>
      <c r="N49" s="443"/>
      <c r="O49" s="443"/>
      <c r="P49" s="443"/>
      <c r="Q49" s="443"/>
      <c r="R49" s="443"/>
      <c r="S49" s="718"/>
      <c r="T49" s="57">
        <f>T51+T52</f>
        <v>140448</v>
      </c>
      <c r="U49" s="666">
        <f>U51+U52</f>
        <v>24558000</v>
      </c>
      <c r="V49" s="770">
        <f>T49/U49*100</f>
        <v>0.57190324945028104</v>
      </c>
      <c r="W49" s="62"/>
      <c r="X49" s="1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451"/>
      <c r="AU49" s="451"/>
      <c r="AV49" s="1"/>
      <c r="AW49" s="1"/>
      <c r="AX49" s="144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2"/>
      <c r="BY49" s="1"/>
      <c r="DA49" s="1"/>
      <c r="DF49" s="5"/>
      <c r="DG49" s="142">
        <v>2136</v>
      </c>
      <c r="DH49" s="142"/>
      <c r="DI49" s="142"/>
      <c r="DJ49" s="142"/>
      <c r="FM49" s="142"/>
      <c r="JH49" s="142"/>
      <c r="JI49" s="142"/>
      <c r="JJ49" s="142"/>
      <c r="JK49" s="142"/>
      <c r="OO49" s="142"/>
      <c r="OP49" s="142"/>
      <c r="OR49" s="142"/>
      <c r="PF49" s="145"/>
      <c r="PJ49" s="142"/>
      <c r="RM49" s="145"/>
      <c r="AGV49" s="141"/>
      <c r="AIK49" s="141"/>
      <c r="AIL49" s="141"/>
      <c r="AIM49" s="141"/>
    </row>
    <row r="50" spans="2:923" x14ac:dyDescent="0.25">
      <c r="B50" s="2364"/>
      <c r="C50" s="477" t="s">
        <v>69</v>
      </c>
      <c r="D50" s="494"/>
      <c r="E50" s="478" t="s">
        <v>14</v>
      </c>
      <c r="F50" s="443">
        <v>0</v>
      </c>
      <c r="G50" s="443">
        <v>0</v>
      </c>
      <c r="H50" s="1506">
        <v>0</v>
      </c>
      <c r="I50" s="1520"/>
      <c r="J50" s="1513"/>
      <c r="K50" s="443"/>
      <c r="L50" s="443"/>
      <c r="M50" s="443"/>
      <c r="N50" s="443"/>
      <c r="O50" s="443"/>
      <c r="P50" s="443"/>
      <c r="Q50" s="443"/>
      <c r="R50" s="443"/>
      <c r="S50" s="718"/>
      <c r="T50" s="57">
        <f>SUM(F50:Q50)</f>
        <v>0</v>
      </c>
      <c r="U50" s="670">
        <f>SUM(F50:R50)</f>
        <v>0</v>
      </c>
      <c r="V50" s="773">
        <f>SUM(H50:T50)</f>
        <v>0</v>
      </c>
      <c r="W50" s="62"/>
      <c r="X50" s="1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R50" s="62"/>
      <c r="AT50" s="451"/>
      <c r="AU50" s="451"/>
      <c r="AV50" s="1"/>
      <c r="AW50" s="1"/>
      <c r="AX50" s="144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2"/>
      <c r="BY50" s="1"/>
      <c r="DA50" s="1"/>
      <c r="DF50" s="5"/>
      <c r="DG50" s="142"/>
      <c r="DH50" s="142"/>
      <c r="DI50" s="142"/>
      <c r="DJ50" s="142"/>
      <c r="FM50" s="142"/>
      <c r="JH50" s="142"/>
      <c r="JI50" s="142"/>
      <c r="JJ50" s="142"/>
      <c r="JK50" s="142"/>
      <c r="OO50" s="142"/>
      <c r="OP50" s="142"/>
      <c r="OR50" s="142"/>
      <c r="PF50" s="145"/>
      <c r="PJ50" s="142"/>
      <c r="RM50" s="145"/>
      <c r="AGV50" s="141"/>
      <c r="AIK50" s="141"/>
      <c r="AIL50" s="141"/>
      <c r="AIM50" s="141"/>
    </row>
    <row r="51" spans="2:923" x14ac:dyDescent="0.25">
      <c r="B51" s="2364"/>
      <c r="C51" s="477" t="s">
        <v>68</v>
      </c>
      <c r="D51" s="494">
        <v>25000</v>
      </c>
      <c r="E51" s="478" t="s">
        <v>14</v>
      </c>
      <c r="F51" s="443">
        <v>0</v>
      </c>
      <c r="G51" s="443">
        <v>87368</v>
      </c>
      <c r="H51" s="1506">
        <v>0</v>
      </c>
      <c r="I51" s="1520"/>
      <c r="J51" s="1513"/>
      <c r="K51" s="443"/>
      <c r="L51" s="443"/>
      <c r="M51" s="443"/>
      <c r="N51" s="443"/>
      <c r="O51" s="443"/>
      <c r="P51" s="443"/>
      <c r="Q51" s="443"/>
      <c r="R51" s="443"/>
      <c r="S51" s="718"/>
      <c r="T51" s="57">
        <f>SUM(F51:Q51)</f>
        <v>87368</v>
      </c>
      <c r="U51" s="670">
        <v>14736000</v>
      </c>
      <c r="V51" s="770">
        <f>T51/U51*100</f>
        <v>0.59288816503800224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451"/>
      <c r="AU51" s="451"/>
      <c r="AV51" s="3"/>
      <c r="AW51" s="1"/>
      <c r="AX51" s="142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v>1796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2:923" x14ac:dyDescent="0.25">
      <c r="B52" s="2364"/>
      <c r="C52" s="477" t="s">
        <v>67</v>
      </c>
      <c r="D52" s="494">
        <v>10000</v>
      </c>
      <c r="E52" s="478" t="s">
        <v>14</v>
      </c>
      <c r="F52" s="443">
        <v>0</v>
      </c>
      <c r="G52" s="443">
        <v>53080</v>
      </c>
      <c r="H52" s="1506">
        <v>0</v>
      </c>
      <c r="I52" s="1520"/>
      <c r="J52" s="1513"/>
      <c r="K52" s="443"/>
      <c r="L52" s="443"/>
      <c r="M52" s="443"/>
      <c r="N52" s="443"/>
      <c r="O52" s="443"/>
      <c r="P52" s="443"/>
      <c r="Q52" s="443"/>
      <c r="R52" s="443"/>
      <c r="S52" s="718"/>
      <c r="T52" s="57">
        <f>SUM(F52:Q52)</f>
        <v>53080</v>
      </c>
      <c r="U52" s="670">
        <v>9822000</v>
      </c>
      <c r="V52" s="770">
        <f>T52/U52*100</f>
        <v>0.54041946650376704</v>
      </c>
      <c r="W52" s="62"/>
      <c r="X52" s="1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R52" s="62"/>
      <c r="AT52" s="451"/>
      <c r="AU52" s="451"/>
      <c r="AV52" s="3"/>
      <c r="AW52" s="1"/>
      <c r="AX52" s="146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2"/>
      <c r="BY52" s="1"/>
      <c r="DA52" s="1"/>
      <c r="DF52" s="5"/>
      <c r="DG52" s="142">
        <f>DG49/DG51*100</f>
        <v>118.93095768374164</v>
      </c>
      <c r="DH52" s="142"/>
      <c r="DI52" s="142"/>
      <c r="DJ52" s="142"/>
      <c r="FM52" s="142"/>
      <c r="JH52" s="142"/>
      <c r="JI52" s="142"/>
      <c r="JJ52" s="142"/>
      <c r="JK52" s="142"/>
      <c r="OO52" s="142"/>
      <c r="OP52" s="142"/>
      <c r="OR52" s="142"/>
      <c r="PF52" s="145"/>
      <c r="PJ52" s="142"/>
      <c r="RM52" s="145"/>
      <c r="AGV52" s="141"/>
      <c r="AIK52" s="141"/>
      <c r="AIL52" s="141"/>
      <c r="AIM52" s="141"/>
    </row>
    <row r="53" spans="2:923" s="511" customFormat="1" hidden="1" x14ac:dyDescent="0.25">
      <c r="B53" s="2364"/>
      <c r="C53" s="11" t="s">
        <v>113</v>
      </c>
      <c r="D53" s="512"/>
      <c r="E53" s="513"/>
      <c r="F53" s="1525">
        <v>0</v>
      </c>
      <c r="G53" s="517">
        <v>0</v>
      </c>
      <c r="H53" s="1510">
        <v>0</v>
      </c>
      <c r="I53" s="1524"/>
      <c r="J53" s="1518"/>
      <c r="K53" s="517"/>
      <c r="L53" s="518"/>
      <c r="M53" s="518"/>
      <c r="N53" s="518"/>
      <c r="O53" s="518"/>
      <c r="P53" s="518"/>
      <c r="Q53" s="518"/>
      <c r="R53" s="518"/>
      <c r="S53" s="719"/>
      <c r="T53" s="84">
        <f>+AVERAGE(F53:Q53)</f>
        <v>0</v>
      </c>
      <c r="U53" s="675"/>
      <c r="V53" s="774"/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802"/>
      <c r="AU53" s="802"/>
      <c r="AV53" s="365"/>
      <c r="AW53" s="62"/>
      <c r="AX53" s="1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V53" s="62"/>
      <c r="BW53" s="62"/>
      <c r="BX53" s="143"/>
      <c r="BY53" s="62"/>
      <c r="DA53" s="62"/>
      <c r="DF53" s="515"/>
      <c r="DG53" s="143"/>
      <c r="DH53" s="143"/>
      <c r="DI53" s="143"/>
      <c r="DJ53" s="143"/>
      <c r="FM53" s="143"/>
      <c r="JH53" s="143"/>
      <c r="JI53" s="143"/>
      <c r="JJ53" s="143"/>
      <c r="JK53" s="143"/>
      <c r="OO53" s="143"/>
      <c r="OP53" s="143"/>
      <c r="OR53" s="143"/>
      <c r="PF53" s="152"/>
      <c r="PJ53" s="143"/>
      <c r="RM53" s="152"/>
      <c r="AGV53" s="143"/>
      <c r="AIK53" s="143"/>
      <c r="AIL53" s="143"/>
      <c r="AIM53" s="143"/>
    </row>
    <row r="54" spans="2:923" s="511" customFormat="1" hidden="1" x14ac:dyDescent="0.25">
      <c r="B54" s="2364"/>
      <c r="C54" s="11" t="s">
        <v>339</v>
      </c>
      <c r="D54" s="512"/>
      <c r="E54" s="513"/>
      <c r="F54" s="517" t="e">
        <f>(F49+F39+F35+F31+F27)/F55*100</f>
        <v>#DIV/0!</v>
      </c>
      <c r="G54" s="517">
        <v>0</v>
      </c>
      <c r="H54" s="1510">
        <v>0</v>
      </c>
      <c r="I54" s="517"/>
      <c r="J54" s="1518"/>
      <c r="K54" s="517"/>
      <c r="L54" s="517"/>
      <c r="M54" s="517"/>
      <c r="N54" s="517"/>
      <c r="O54" s="517"/>
      <c r="P54" s="517"/>
      <c r="Q54" s="517"/>
      <c r="R54" s="517"/>
      <c r="S54" s="719"/>
      <c r="T54" s="84" t="e">
        <f>+AVERAGE(F54:Q54)</f>
        <v>#DIV/0!</v>
      </c>
      <c r="U54" s="675"/>
      <c r="V54" s="774"/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802"/>
      <c r="AU54" s="802"/>
      <c r="AV54" s="365"/>
      <c r="AW54" s="62"/>
      <c r="AX54" s="1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V54" s="62"/>
      <c r="BW54" s="62"/>
      <c r="BX54" s="143"/>
      <c r="BY54" s="62"/>
      <c r="DA54" s="62"/>
      <c r="DF54" s="515"/>
      <c r="DG54" s="143"/>
      <c r="DH54" s="143"/>
      <c r="DI54" s="143"/>
      <c r="DJ54" s="143"/>
      <c r="FM54" s="143"/>
      <c r="JH54" s="143"/>
      <c r="JI54" s="143"/>
      <c r="JJ54" s="143"/>
      <c r="JK54" s="143"/>
      <c r="OO54" s="143"/>
      <c r="OP54" s="143"/>
      <c r="OR54" s="143"/>
      <c r="PF54" s="152"/>
      <c r="PJ54" s="143"/>
      <c r="RM54" s="152"/>
      <c r="AGV54" s="143"/>
      <c r="AIK54" s="143"/>
      <c r="AIL54" s="143"/>
      <c r="AIM54" s="143"/>
    </row>
    <row r="55" spans="2:923" s="511" customFormat="1" hidden="1" x14ac:dyDescent="0.25">
      <c r="B55" s="2364"/>
      <c r="C55" s="11" t="s">
        <v>340</v>
      </c>
      <c r="D55" s="512"/>
      <c r="E55" s="513"/>
      <c r="F55" s="739">
        <v>0</v>
      </c>
      <c r="G55" s="739">
        <v>0</v>
      </c>
      <c r="H55" s="1511">
        <v>0</v>
      </c>
      <c r="I55" s="1523"/>
      <c r="J55" s="1519"/>
      <c r="K55" s="739"/>
      <c r="L55" s="739"/>
      <c r="M55" s="739"/>
      <c r="N55" s="517"/>
      <c r="O55" s="517"/>
      <c r="P55" s="517"/>
      <c r="Q55" s="739"/>
      <c r="R55" s="517"/>
      <c r="S55" s="719"/>
      <c r="T55" s="519">
        <f>SUM(F55:Q55)</f>
        <v>0</v>
      </c>
      <c r="U55" s="675"/>
      <c r="V55" s="774"/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802"/>
      <c r="AU55" s="802"/>
      <c r="AV55" s="365"/>
      <c r="AW55" s="62"/>
      <c r="AX55" s="1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V55" s="62"/>
      <c r="BW55" s="62"/>
      <c r="BX55" s="143"/>
      <c r="BY55" s="62"/>
      <c r="DA55" s="62"/>
      <c r="DF55" s="515"/>
      <c r="DG55" s="143"/>
      <c r="DH55" s="143"/>
      <c r="DI55" s="143"/>
      <c r="DJ55" s="143"/>
      <c r="FM55" s="143"/>
      <c r="JH55" s="143"/>
      <c r="JI55" s="143"/>
      <c r="JJ55" s="143"/>
      <c r="JK55" s="143"/>
      <c r="OO55" s="143"/>
      <c r="OP55" s="143"/>
      <c r="OR55" s="143"/>
      <c r="PF55" s="152"/>
      <c r="PJ55" s="143"/>
      <c r="RM55" s="152"/>
      <c r="AGV55" s="143"/>
      <c r="AIK55" s="143"/>
      <c r="AIL55" s="143"/>
      <c r="AIM55" s="143"/>
    </row>
    <row r="56" spans="2:923" x14ac:dyDescent="0.25">
      <c r="B56" s="2364"/>
      <c r="C56" s="520" t="s">
        <v>66</v>
      </c>
      <c r="D56" s="76"/>
      <c r="E56" s="76"/>
      <c r="F56" s="50"/>
      <c r="G56" s="50"/>
      <c r="H56" s="50">
        <v>0</v>
      </c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718"/>
      <c r="T56" s="713" t="s">
        <v>128</v>
      </c>
      <c r="U56" s="676" t="s">
        <v>128</v>
      </c>
      <c r="V56" s="775" t="s">
        <v>128</v>
      </c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CF56" s="1" t="s">
        <v>216</v>
      </c>
      <c r="DA56" s="1"/>
      <c r="OP56" s="141">
        <v>678</v>
      </c>
    </row>
    <row r="57" spans="2:923" x14ac:dyDescent="0.25">
      <c r="B57" s="2364"/>
      <c r="C57" s="522" t="s">
        <v>65</v>
      </c>
      <c r="D57" s="462">
        <v>94.2</v>
      </c>
      <c r="E57" s="513" t="s">
        <v>25</v>
      </c>
      <c r="F57" s="523">
        <v>0</v>
      </c>
      <c r="G57" s="439">
        <v>94.619052392533092</v>
      </c>
      <c r="H57" s="439">
        <v>93.893738710266206</v>
      </c>
      <c r="I57" s="439"/>
      <c r="J57" s="439"/>
      <c r="K57" s="274">
        <v>94.78756384244997</v>
      </c>
      <c r="L57" s="439">
        <f>'JULI 2025'!AM60</f>
        <v>94.917042155318313</v>
      </c>
      <c r="M57" s="439"/>
      <c r="N57" s="439"/>
      <c r="O57" s="439"/>
      <c r="P57" s="1737"/>
      <c r="Q57" s="439"/>
      <c r="R57" s="439"/>
      <c r="S57" s="719"/>
      <c r="T57" s="524">
        <f>(T19/(T11))*100</f>
        <v>94.743364653756927</v>
      </c>
      <c r="U57" s="525">
        <f>(U19/(U11))*100</f>
        <v>94.769966822822482</v>
      </c>
      <c r="V57" s="776"/>
      <c r="W57" s="810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1">
        <v>420</v>
      </c>
      <c r="OR57" s="480">
        <f>OP57/OP56*100</f>
        <v>61.946902654867252</v>
      </c>
    </row>
    <row r="58" spans="2:923" x14ac:dyDescent="0.25">
      <c r="B58" s="2364"/>
      <c r="C58" s="522" t="s">
        <v>64</v>
      </c>
      <c r="D58" s="462">
        <v>5</v>
      </c>
      <c r="E58" s="513" t="s">
        <v>25</v>
      </c>
      <c r="F58" s="523">
        <v>0</v>
      </c>
      <c r="G58" s="439">
        <v>4.6286723697383003</v>
      </c>
      <c r="H58" s="439">
        <v>4.4985582408650373</v>
      </c>
      <c r="I58" s="439"/>
      <c r="J58" s="439"/>
      <c r="K58" s="274">
        <v>4.8633015529450176</v>
      </c>
      <c r="L58" s="439">
        <f>'JULI 2025'!AM61</f>
        <v>4.302098828017157</v>
      </c>
      <c r="M58" s="439"/>
      <c r="N58" s="439"/>
      <c r="O58" s="439"/>
      <c r="P58" s="1737"/>
      <c r="Q58" s="439"/>
      <c r="R58" s="439"/>
      <c r="S58" s="719"/>
      <c r="T58" s="524">
        <f>(T20/(T11))*100</f>
        <v>4.5236227614078466</v>
      </c>
      <c r="U58" s="525">
        <f>(U20/(U11))*100</f>
        <v>4.5147541139225487</v>
      </c>
      <c r="V58" s="776"/>
      <c r="W58" s="810"/>
      <c r="X58" s="1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  <c r="OP58" s="141">
        <f>OP56-OP57</f>
        <v>258</v>
      </c>
      <c r="OR58" s="480">
        <f>OP58/OP56*100</f>
        <v>38.053097345132741</v>
      </c>
    </row>
    <row r="59" spans="2:923" x14ac:dyDescent="0.25">
      <c r="B59" s="2364"/>
      <c r="C59" s="522" t="s">
        <v>63</v>
      </c>
      <c r="D59" s="462">
        <v>82</v>
      </c>
      <c r="E59" s="513" t="s">
        <v>25</v>
      </c>
      <c r="F59" s="523">
        <v>0</v>
      </c>
      <c r="G59" s="439">
        <v>80.495694781409071</v>
      </c>
      <c r="H59" s="439">
        <v>81.823999940101658</v>
      </c>
      <c r="I59" s="439"/>
      <c r="J59" s="439"/>
      <c r="K59" s="274">
        <v>80.514103413850478</v>
      </c>
      <c r="L59" s="439">
        <f>'JULI 2025'!AM62</f>
        <v>80.387608386163606</v>
      </c>
      <c r="M59" s="439"/>
      <c r="N59" s="439"/>
      <c r="O59" s="439"/>
      <c r="P59" s="1737"/>
      <c r="Q59" s="439"/>
      <c r="R59" s="439"/>
      <c r="S59" s="719"/>
      <c r="T59" s="524">
        <f>(T27/T26)*100</f>
        <v>80.68368252735911</v>
      </c>
      <c r="U59" s="525">
        <f>(U27/U26)*100</f>
        <v>82.036627687232993</v>
      </c>
      <c r="V59" s="776"/>
      <c r="W59" s="810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x14ac:dyDescent="0.25">
      <c r="B60" s="2364"/>
      <c r="C60" s="522" t="s">
        <v>62</v>
      </c>
      <c r="D60" s="462">
        <v>18</v>
      </c>
      <c r="E60" s="513" t="s">
        <v>25</v>
      </c>
      <c r="F60" s="523">
        <v>0</v>
      </c>
      <c r="G60" s="439">
        <v>19.504305218590932</v>
      </c>
      <c r="H60" s="439">
        <v>18.176000059898346</v>
      </c>
      <c r="I60" s="439"/>
      <c r="J60" s="439"/>
      <c r="K60" s="274">
        <v>19.485896586149519</v>
      </c>
      <c r="L60" s="439">
        <f>'JULI 2025'!AM63</f>
        <v>19.612391613836383</v>
      </c>
      <c r="M60" s="439"/>
      <c r="N60" s="439"/>
      <c r="O60" s="439"/>
      <c r="P60" s="1741"/>
      <c r="Q60" s="439"/>
      <c r="R60" s="439"/>
      <c r="S60" s="719"/>
      <c r="T60" s="524">
        <f>(T28/T26)*100</f>
        <v>19.316317472640883</v>
      </c>
      <c r="U60" s="525">
        <f>(U28/U26)*100</f>
        <v>17.963372312767007</v>
      </c>
      <c r="V60" s="776"/>
      <c r="W60" s="810"/>
      <c r="X60" s="1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 x14ac:dyDescent="0.25">
      <c r="B61" s="2364"/>
      <c r="C61" s="522" t="s">
        <v>106</v>
      </c>
      <c r="D61" s="526">
        <v>75</v>
      </c>
      <c r="E61" s="513" t="s">
        <v>25</v>
      </c>
      <c r="F61" s="439">
        <v>0</v>
      </c>
      <c r="G61" s="439">
        <v>0</v>
      </c>
      <c r="H61" s="439">
        <v>0</v>
      </c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719"/>
      <c r="T61" s="524" t="e">
        <f>(T31/T30)*100</f>
        <v>#DIV/0!</v>
      </c>
      <c r="U61" s="525">
        <v>75</v>
      </c>
      <c r="V61" s="776"/>
      <c r="W61" s="810"/>
      <c r="X61" s="306"/>
      <c r="Y61" s="805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 x14ac:dyDescent="0.25">
      <c r="B62" s="2364"/>
      <c r="C62" s="522" t="s">
        <v>62</v>
      </c>
      <c r="D62" s="526">
        <v>25</v>
      </c>
      <c r="E62" s="513" t="s">
        <v>25</v>
      </c>
      <c r="F62" s="439">
        <v>0</v>
      </c>
      <c r="G62" s="439">
        <v>0</v>
      </c>
      <c r="H62" s="439">
        <v>0</v>
      </c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719"/>
      <c r="T62" s="524" t="e">
        <f>(T32/T30)*100</f>
        <v>#DIV/0!</v>
      </c>
      <c r="U62" s="525">
        <v>25</v>
      </c>
      <c r="V62" s="776"/>
      <c r="W62" s="810"/>
      <c r="X62" s="306"/>
      <c r="Y62" s="805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 x14ac:dyDescent="0.25">
      <c r="B63" s="2364"/>
      <c r="C63" s="522" t="s">
        <v>108</v>
      </c>
      <c r="D63" s="462">
        <v>75</v>
      </c>
      <c r="E63" s="513" t="s">
        <v>25</v>
      </c>
      <c r="F63" s="439" t="e">
        <v>#DIV/0!</v>
      </c>
      <c r="G63" s="439">
        <v>0</v>
      </c>
      <c r="H63" s="439">
        <v>0</v>
      </c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719"/>
      <c r="T63" s="524" t="e">
        <f>(T36/T35)*100</f>
        <v>#DIV/0!</v>
      </c>
      <c r="U63" s="525">
        <v>75</v>
      </c>
      <c r="V63" s="776"/>
      <c r="W63" s="810"/>
      <c r="X63" s="140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2:923" hidden="1" x14ac:dyDescent="0.25">
      <c r="B64" s="2364"/>
      <c r="C64" s="522" t="s">
        <v>62</v>
      </c>
      <c r="D64" s="462">
        <v>25</v>
      </c>
      <c r="E64" s="513" t="s">
        <v>25</v>
      </c>
      <c r="F64" s="439" t="e">
        <v>#DIV/0!</v>
      </c>
      <c r="G64" s="439">
        <v>0</v>
      </c>
      <c r="H64" s="439">
        <v>0</v>
      </c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525"/>
      <c r="T64" s="524" t="e">
        <f>(T37/T35)*100</f>
        <v>#DIV/0!</v>
      </c>
      <c r="U64" s="525">
        <v>25</v>
      </c>
      <c r="V64" s="776"/>
      <c r="W64" s="810"/>
      <c r="X64" s="1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>
        <v>95.03</v>
      </c>
    </row>
    <row r="65" spans="2:936" x14ac:dyDescent="0.25">
      <c r="B65" s="2364"/>
      <c r="C65" s="522" t="s">
        <v>111</v>
      </c>
      <c r="D65" s="462">
        <v>70</v>
      </c>
      <c r="E65" s="513" t="s">
        <v>25</v>
      </c>
      <c r="F65" s="439">
        <v>0</v>
      </c>
      <c r="G65" s="439">
        <v>74.398113144217888</v>
      </c>
      <c r="H65" s="439">
        <v>0</v>
      </c>
      <c r="I65" s="439"/>
      <c r="J65" s="439"/>
      <c r="K65" s="439"/>
      <c r="L65" s="439">
        <f>'JULI 2025'!AM68</f>
        <v>70.41610397546475</v>
      </c>
      <c r="M65" s="439"/>
      <c r="N65" s="439"/>
      <c r="O65" s="439"/>
      <c r="P65" s="1738"/>
      <c r="Q65" s="439"/>
      <c r="R65" s="439"/>
      <c r="S65" s="525"/>
      <c r="T65" s="524">
        <f>(T40/T39)*100</f>
        <v>72.053478121486066</v>
      </c>
      <c r="U65" s="525">
        <v>70</v>
      </c>
      <c r="V65" s="776"/>
      <c r="W65" s="810"/>
      <c r="X65" s="1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 x14ac:dyDescent="0.25">
      <c r="B66" s="2364"/>
      <c r="C66" s="522" t="s">
        <v>62</v>
      </c>
      <c r="D66" s="462">
        <v>30</v>
      </c>
      <c r="E66" s="513" t="s">
        <v>25</v>
      </c>
      <c r="F66" s="439">
        <v>0</v>
      </c>
      <c r="G66" s="439">
        <v>25.601886855782109</v>
      </c>
      <c r="H66" s="439">
        <v>0</v>
      </c>
      <c r="I66" s="439"/>
      <c r="J66" s="439"/>
      <c r="K66" s="439"/>
      <c r="L66" s="439">
        <f>'JULI 2025'!AM69</f>
        <v>29.583896024535257</v>
      </c>
      <c r="M66" s="439"/>
      <c r="N66" s="439"/>
      <c r="O66" s="439"/>
      <c r="P66" s="1736"/>
      <c r="Q66" s="439"/>
      <c r="R66" s="439"/>
      <c r="S66" s="525"/>
      <c r="T66" s="524">
        <f>(T41/T39)*100</f>
        <v>27.946521878513931</v>
      </c>
      <c r="U66" s="525">
        <v>30</v>
      </c>
      <c r="V66" s="776"/>
      <c r="W66" s="810"/>
      <c r="X66" s="1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/>
    </row>
    <row r="67" spans="2:936" x14ac:dyDescent="0.25">
      <c r="B67" s="2364"/>
      <c r="C67" s="522" t="s">
        <v>61</v>
      </c>
      <c r="D67" s="462">
        <v>60</v>
      </c>
      <c r="E67" s="513" t="s">
        <v>25</v>
      </c>
      <c r="F67" s="523">
        <v>0</v>
      </c>
      <c r="G67" s="439">
        <v>62.206652996126678</v>
      </c>
      <c r="H67" s="439">
        <v>0</v>
      </c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719"/>
      <c r="T67" s="524">
        <f>(T51/T49)*100</f>
        <v>62.206652996126678</v>
      </c>
      <c r="U67" s="525">
        <f>U51/U49*100</f>
        <v>60.00488639139995</v>
      </c>
      <c r="V67" s="776"/>
      <c r="W67" s="810"/>
      <c r="X67" s="1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v>4.2300000000000004</v>
      </c>
      <c r="OR67" s="141">
        <f>OR68/94.2%</f>
        <v>1307.8556263269638</v>
      </c>
      <c r="OS67" s="1" t="s">
        <v>341</v>
      </c>
    </row>
    <row r="68" spans="2:936" x14ac:dyDescent="0.25">
      <c r="B68" s="2365"/>
      <c r="C68" s="522" t="s">
        <v>60</v>
      </c>
      <c r="D68" s="462">
        <v>40</v>
      </c>
      <c r="E68" s="513" t="s">
        <v>25</v>
      </c>
      <c r="F68" s="523">
        <v>0</v>
      </c>
      <c r="G68" s="439">
        <v>37.793347003873315</v>
      </c>
      <c r="H68" s="439">
        <v>0</v>
      </c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525"/>
      <c r="T68" s="527">
        <f>(T52/T49)*100</f>
        <v>37.793347003873315</v>
      </c>
      <c r="U68" s="525">
        <f>U52/U49*100</f>
        <v>39.99511360860005</v>
      </c>
      <c r="V68" s="777"/>
      <c r="W68" s="810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>
        <f>100-FN64-FN67</f>
        <v>0.73999999999999844</v>
      </c>
      <c r="OR68" s="141">
        <f>22*56</f>
        <v>1232</v>
      </c>
      <c r="OS68" s="1" t="s">
        <v>342</v>
      </c>
    </row>
    <row r="69" spans="2:936" x14ac:dyDescent="0.25">
      <c r="B69" s="2363">
        <v>3</v>
      </c>
      <c r="C69" s="528" t="s">
        <v>59</v>
      </c>
      <c r="D69" s="76"/>
      <c r="E69" s="76"/>
      <c r="F69" s="51"/>
      <c r="G69" s="50"/>
      <c r="H69" s="529">
        <v>0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718"/>
      <c r="T69" s="600" t="s">
        <v>129</v>
      </c>
      <c r="U69" s="677" t="s">
        <v>129</v>
      </c>
      <c r="V69" s="778" t="s">
        <v>129</v>
      </c>
      <c r="W69" s="62"/>
      <c r="X69" s="1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3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1"/>
      <c r="BT69" s="1"/>
      <c r="BV69" s="1"/>
      <c r="BW69" s="1"/>
      <c r="BX69" s="1"/>
      <c r="BY69" s="1"/>
      <c r="DA69" s="1"/>
      <c r="OR69" s="141">
        <f>16.5*OR67</f>
        <v>21579.617834394903</v>
      </c>
    </row>
    <row r="70" spans="2:936" x14ac:dyDescent="0.25">
      <c r="B70" s="2364"/>
      <c r="C70" s="461" t="s">
        <v>58</v>
      </c>
      <c r="D70" s="462">
        <v>9</v>
      </c>
      <c r="E70" s="495" t="s">
        <v>56</v>
      </c>
      <c r="F70" s="530">
        <v>0</v>
      </c>
      <c r="G70" s="438">
        <v>134694</v>
      </c>
      <c r="H70" s="531">
        <v>52420</v>
      </c>
      <c r="I70" s="438"/>
      <c r="J70" s="438"/>
      <c r="K70" s="438">
        <v>153073</v>
      </c>
      <c r="L70" s="438">
        <f>'JULI 2025'!AM75</f>
        <v>271394.19999999995</v>
      </c>
      <c r="M70" s="438"/>
      <c r="N70" s="438"/>
      <c r="O70" s="438"/>
      <c r="P70" s="1742"/>
      <c r="Q70" s="438"/>
      <c r="R70" s="438"/>
      <c r="S70" s="718"/>
      <c r="T70" s="449">
        <f>SUM(F70:Q70)</f>
        <v>611581.19999999995</v>
      </c>
      <c r="U70" s="667">
        <v>2767753</v>
      </c>
      <c r="V70" s="770">
        <f>T70/U70*100</f>
        <v>22.096668308190797</v>
      </c>
      <c r="W70" s="62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41"/>
      <c r="BT70" s="1"/>
      <c r="BV70" s="1"/>
      <c r="BW70" s="1"/>
      <c r="BX70" s="1"/>
      <c r="BY70" s="1"/>
      <c r="DA70" s="1"/>
    </row>
    <row r="71" spans="2:936" x14ac:dyDescent="0.25">
      <c r="B71" s="2364"/>
      <c r="C71" s="532"/>
      <c r="D71" s="475"/>
      <c r="E71" s="495" t="s">
        <v>25</v>
      </c>
      <c r="F71" s="523">
        <v>0</v>
      </c>
      <c r="G71" s="439">
        <v>0.8104535962456817</v>
      </c>
      <c r="H71" s="439">
        <v>0.94265062494211826</v>
      </c>
      <c r="I71" s="439"/>
      <c r="J71" s="439"/>
      <c r="K71" s="439">
        <v>0.85932405021066693</v>
      </c>
      <c r="L71" s="439">
        <f>'JULI 2025'!AM76</f>
        <v>7.8514122328021827</v>
      </c>
      <c r="M71" s="439"/>
      <c r="N71" s="439"/>
      <c r="O71" s="439"/>
      <c r="P71" s="1743"/>
      <c r="Q71" s="439"/>
      <c r="R71" s="439"/>
      <c r="S71" s="718"/>
      <c r="T71" s="524">
        <f>T70/(T11)*100</f>
        <v>0.82025403039633527</v>
      </c>
      <c r="U71" s="678">
        <v>0.8</v>
      </c>
      <c r="V71" s="779">
        <v>0</v>
      </c>
      <c r="W71" s="805"/>
      <c r="X71" s="140"/>
      <c r="Y71" s="62"/>
      <c r="Z71" s="805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140">
        <f>T71*10</f>
        <v>8.2025403039633531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4"/>
      <c r="BT71" s="1"/>
      <c r="BV71" s="1"/>
      <c r="BW71" s="1"/>
      <c r="BX71" s="1"/>
      <c r="BY71" s="1"/>
      <c r="DA71" s="1"/>
      <c r="FN71" s="480" t="e">
        <f>#REF!*10</f>
        <v>#REF!</v>
      </c>
      <c r="OO71" s="480"/>
      <c r="OR71" s="141">
        <f>OR67+(T48/1000)</f>
        <v>1307.8556263269638</v>
      </c>
      <c r="OS71" s="141" t="s">
        <v>343</v>
      </c>
    </row>
    <row r="72" spans="2:936" x14ac:dyDescent="0.25">
      <c r="B72" s="2364"/>
      <c r="C72" s="533" t="s">
        <v>57</v>
      </c>
      <c r="D72" s="534">
        <v>16</v>
      </c>
      <c r="E72" s="535" t="s">
        <v>56</v>
      </c>
      <c r="F72" s="536">
        <v>0</v>
      </c>
      <c r="G72" s="537">
        <v>0</v>
      </c>
      <c r="H72" s="538">
        <v>0</v>
      </c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718"/>
      <c r="T72" s="539">
        <f>SUM(F72:Q72)</f>
        <v>0</v>
      </c>
      <c r="U72" s="679">
        <v>1357284</v>
      </c>
      <c r="V72" s="770">
        <f>T72/U72*100</f>
        <v>0</v>
      </c>
      <c r="W72" s="62"/>
      <c r="X72" s="1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432"/>
      <c r="AU72" s="432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V72" s="1"/>
      <c r="BW72" s="1"/>
      <c r="BX72" s="141"/>
      <c r="BY72" s="1"/>
      <c r="DA72" s="1"/>
      <c r="DF72" s="5"/>
      <c r="DG72" s="141"/>
      <c r="DH72" s="141"/>
      <c r="DI72" s="141"/>
      <c r="DJ72" s="141"/>
      <c r="FM72" s="141"/>
      <c r="FN72" s="480"/>
      <c r="JH72" s="141"/>
      <c r="JI72" s="141"/>
      <c r="JJ72" s="141"/>
      <c r="JK72" s="141"/>
      <c r="OO72" s="141"/>
      <c r="OP72" s="141"/>
      <c r="OR72" s="141">
        <f>OR69+T72</f>
        <v>21579.617834394903</v>
      </c>
      <c r="OS72" s="141" t="s">
        <v>344</v>
      </c>
      <c r="PF72" s="480"/>
      <c r="PJ72" s="141"/>
      <c r="RM72" s="480"/>
      <c r="AGV72" s="141"/>
      <c r="AIK72" s="141"/>
      <c r="AIL72" s="141"/>
      <c r="AIM72" s="141"/>
    </row>
    <row r="73" spans="2:936" x14ac:dyDescent="0.25">
      <c r="B73" s="2364"/>
      <c r="C73" s="540"/>
      <c r="D73" s="541"/>
      <c r="E73" s="542" t="s">
        <v>25</v>
      </c>
      <c r="F73" s="543">
        <v>0</v>
      </c>
      <c r="G73" s="544">
        <v>0</v>
      </c>
      <c r="H73" s="544">
        <v>0</v>
      </c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718"/>
      <c r="T73" s="708" t="e">
        <f>T72/(T13)*100</f>
        <v>#DIV/0!</v>
      </c>
      <c r="U73" s="680">
        <v>1.8</v>
      </c>
      <c r="V73" s="780">
        <v>0</v>
      </c>
      <c r="W73" s="805"/>
      <c r="X73" s="140"/>
      <c r="Y73" s="62"/>
      <c r="Z73" s="805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432"/>
      <c r="AU73" s="432"/>
      <c r="AV73" s="1"/>
      <c r="AW73" s="1"/>
      <c r="AX73" s="140" t="e">
        <f>T73*10</f>
        <v>#DIV/0!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4"/>
      <c r="BT73" s="1"/>
      <c r="BV73" s="1"/>
      <c r="BW73" s="1"/>
      <c r="BX73" s="141"/>
      <c r="BY73" s="1"/>
      <c r="DA73" s="1"/>
      <c r="DF73" s="5"/>
      <c r="DG73" s="141"/>
      <c r="DH73" s="141"/>
      <c r="DI73" s="141"/>
      <c r="DJ73" s="141"/>
      <c r="FM73" s="141"/>
      <c r="FN73" s="480"/>
      <c r="JH73" s="141"/>
      <c r="JI73" s="141"/>
      <c r="JJ73" s="141"/>
      <c r="JK73" s="141"/>
      <c r="OO73" s="480"/>
      <c r="OP73" s="141"/>
      <c r="OR73" s="545">
        <f>OR72/OR71</f>
        <v>16.5</v>
      </c>
      <c r="OS73" s="546" t="s">
        <v>245</v>
      </c>
      <c r="PF73" s="480"/>
      <c r="PJ73" s="141"/>
      <c r="RM73" s="480"/>
      <c r="AGV73" s="141"/>
      <c r="AIK73" s="141"/>
      <c r="AIL73" s="141"/>
      <c r="AIM73" s="141"/>
    </row>
    <row r="74" spans="2:936" x14ac:dyDescent="0.25">
      <c r="B74" s="2364"/>
      <c r="C74" s="461" t="s">
        <v>55</v>
      </c>
      <c r="D74" s="462">
        <v>0.6</v>
      </c>
      <c r="E74" s="495" t="s">
        <v>14</v>
      </c>
      <c r="F74" s="530">
        <v>0</v>
      </c>
      <c r="G74" s="438">
        <v>8196.91</v>
      </c>
      <c r="H74" s="531">
        <v>2623.92</v>
      </c>
      <c r="I74" s="438"/>
      <c r="J74" s="438"/>
      <c r="K74" s="438">
        <v>8793.24</v>
      </c>
      <c r="L74" s="438">
        <f>'JULI 2025'!AM83</f>
        <v>16506.73</v>
      </c>
      <c r="M74" s="530"/>
      <c r="N74" s="1574"/>
      <c r="O74" s="531"/>
      <c r="P74" s="1745"/>
      <c r="Q74" s="438"/>
      <c r="R74" s="438"/>
      <c r="S74" s="718"/>
      <c r="T74" s="539">
        <f>SUM(F74:Q74)</f>
        <v>36120.800000000003</v>
      </c>
      <c r="U74" s="679">
        <v>252824</v>
      </c>
      <c r="V74" s="781">
        <f>SUM(H74:T74)</f>
        <v>64044.69</v>
      </c>
      <c r="W74" s="515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0"/>
      <c r="OR74" s="480">
        <v>16</v>
      </c>
      <c r="OS74" s="1" t="s">
        <v>345</v>
      </c>
    </row>
    <row r="75" spans="2:936" x14ac:dyDescent="0.25">
      <c r="B75" s="2365"/>
      <c r="C75" s="547"/>
      <c r="D75" s="475"/>
      <c r="E75" s="548" t="s">
        <v>25</v>
      </c>
      <c r="F75" s="549">
        <v>0</v>
      </c>
      <c r="G75" s="550">
        <v>4.932079519208124E-2</v>
      </c>
      <c r="H75" s="550">
        <v>0.47185040591341537</v>
      </c>
      <c r="I75" s="550"/>
      <c r="J75" s="550"/>
      <c r="K75" s="550">
        <v>0.49363654016544034</v>
      </c>
      <c r="L75" s="550">
        <f>'JULI 2025'!AM84</f>
        <v>0.47753836244681269</v>
      </c>
      <c r="M75" s="550"/>
      <c r="N75" s="550"/>
      <c r="O75" s="550"/>
      <c r="P75" s="1744"/>
      <c r="Q75" s="550"/>
      <c r="R75" s="550"/>
      <c r="S75" s="721"/>
      <c r="T75" s="303">
        <f>T74/(T11+71450)*100</f>
        <v>4.8398915068283907E-2</v>
      </c>
      <c r="U75" s="681">
        <v>0.06</v>
      </c>
      <c r="V75" s="782">
        <f>V74/(V11+71450)*100</f>
        <v>89.635453316512283</v>
      </c>
      <c r="W75" s="62"/>
      <c r="X75" s="140"/>
      <c r="Y75" s="62"/>
      <c r="Z75" s="805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1"/>
      <c r="AU75" s="1"/>
      <c r="AV75" s="1"/>
      <c r="AW75" s="1"/>
      <c r="AX75" s="140">
        <f>T75*10</f>
        <v>0.4839891506828391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"/>
      <c r="BY75" s="1"/>
      <c r="DA75" s="1"/>
      <c r="FN75" s="480">
        <f>Q75*10</f>
        <v>0</v>
      </c>
      <c r="OO75" s="480"/>
      <c r="OR75" s="480">
        <f>OR73-OR74</f>
        <v>0.5</v>
      </c>
      <c r="OS75" s="1" t="s">
        <v>346</v>
      </c>
    </row>
    <row r="76" spans="2:936" x14ac:dyDescent="0.25">
      <c r="B76" s="722">
        <v>4</v>
      </c>
      <c r="C76" s="551" t="s">
        <v>347</v>
      </c>
      <c r="D76" s="552">
        <v>0.8</v>
      </c>
      <c r="E76" s="498" t="s">
        <v>25</v>
      </c>
      <c r="F76" s="553">
        <v>0</v>
      </c>
      <c r="G76" s="554">
        <v>-0.75227523772860239</v>
      </c>
      <c r="H76" s="554">
        <v>-1.6077030488687563</v>
      </c>
      <c r="I76" s="554"/>
      <c r="J76" s="554"/>
      <c r="K76" s="554">
        <v>-0.34913460460500417</v>
      </c>
      <c r="L76" s="554">
        <f>'JULI 2025'!AM85</f>
        <v>-0.78085901666453017</v>
      </c>
      <c r="M76" s="554"/>
      <c r="N76" s="554"/>
      <c r="O76" s="554"/>
      <c r="P76" s="1746"/>
      <c r="Q76" s="554"/>
      <c r="R76" s="554"/>
      <c r="S76" s="723"/>
      <c r="T76" s="304">
        <f>((SUM(T19:T20))-(SUM(T11)))/(SUM(T11))*100</f>
        <v>-0.73301258483522835</v>
      </c>
      <c r="U76" s="682">
        <f>((SUM(U19:U20))-(SUM(U11)))/(SUM(U11))*100</f>
        <v>-0.71527906325497059</v>
      </c>
      <c r="V76" s="768">
        <f>T76/U76*100</f>
        <v>102.47924516335752</v>
      </c>
      <c r="W76" s="810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802"/>
      <c r="AU76" s="802"/>
      <c r="AV76" s="1"/>
      <c r="AW76" s="1"/>
      <c r="AX76" s="137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3"/>
      <c r="BY76" s="1"/>
      <c r="DA76" s="1"/>
      <c r="DF76" s="515"/>
      <c r="DG76" s="143"/>
      <c r="DH76" s="143"/>
      <c r="DI76" s="143"/>
      <c r="DJ76" s="143"/>
      <c r="FM76" s="143"/>
      <c r="JH76" s="143"/>
      <c r="JI76" s="143"/>
      <c r="JJ76" s="143"/>
      <c r="JK76" s="143"/>
      <c r="OO76" s="143"/>
      <c r="OP76" s="143"/>
      <c r="OR76" s="480"/>
      <c r="PF76" s="152"/>
      <c r="PJ76" s="143"/>
      <c r="RM76" s="152"/>
      <c r="AGV76" s="143"/>
      <c r="AIK76" s="143"/>
      <c r="AIL76" s="143"/>
      <c r="AIM76" s="143"/>
    </row>
    <row r="77" spans="2:936" x14ac:dyDescent="0.25">
      <c r="B77" s="724"/>
      <c r="C77" s="522" t="s">
        <v>54</v>
      </c>
      <c r="D77" s="555">
        <v>22</v>
      </c>
      <c r="E77" s="513" t="s">
        <v>25</v>
      </c>
      <c r="F77" s="439">
        <v>0</v>
      </c>
      <c r="G77" s="439">
        <v>19.381666666666668</v>
      </c>
      <c r="H77" s="439">
        <v>26.447499999999998</v>
      </c>
      <c r="I77" s="439"/>
      <c r="J77" s="439"/>
      <c r="K77" s="439">
        <v>21.014000000000003</v>
      </c>
      <c r="L77" s="439">
        <f>'JULI 2025'!AM87</f>
        <v>21.640833333333333</v>
      </c>
      <c r="M77" s="439"/>
      <c r="N77" s="439"/>
      <c r="O77" s="439"/>
      <c r="P77" s="1747"/>
      <c r="Q77" s="439"/>
      <c r="R77" s="439"/>
      <c r="S77" s="719"/>
      <c r="T77" s="84">
        <f>AVERAGE(G77:K77)</f>
        <v>22.281055555555554</v>
      </c>
      <c r="U77" s="683">
        <v>22</v>
      </c>
      <c r="V77" s="774">
        <f>AVERAGE(H77:T77)</f>
        <v>22.845847222222222</v>
      </c>
      <c r="W77" s="62"/>
      <c r="X77" s="1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802"/>
      <c r="AU77" s="802"/>
      <c r="AV77" s="1"/>
      <c r="AW77" s="1"/>
      <c r="AX77" s="62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V77" s="1"/>
      <c r="BW77" s="1"/>
      <c r="BX77" s="143"/>
      <c r="BY77" s="1"/>
      <c r="DA77" s="1"/>
      <c r="DF77" s="515"/>
      <c r="DG77" s="143"/>
      <c r="DH77" s="143"/>
      <c r="DI77" s="143"/>
      <c r="DJ77" s="143"/>
      <c r="FM77" s="143"/>
      <c r="JH77" s="143"/>
      <c r="JI77" s="143"/>
      <c r="JJ77" s="143"/>
      <c r="JK77" s="143"/>
      <c r="OO77" s="143"/>
      <c r="OP77" s="143"/>
      <c r="OR77" s="143"/>
      <c r="PF77" s="152"/>
      <c r="PJ77" s="143"/>
      <c r="RM77" s="152"/>
      <c r="AGV77" s="143"/>
      <c r="AIK77" s="143"/>
      <c r="AIL77" s="143"/>
      <c r="AIM77" s="143"/>
    </row>
    <row r="78" spans="2:936" x14ac:dyDescent="0.25">
      <c r="B78" s="725"/>
      <c r="C78" s="556" t="s">
        <v>53</v>
      </c>
      <c r="D78" s="475"/>
      <c r="E78" s="557" t="s">
        <v>14</v>
      </c>
      <c r="F78" s="439">
        <v>0</v>
      </c>
      <c r="G78" s="439">
        <v>136702.14939230768</v>
      </c>
      <c r="H78" s="439">
        <v>66283.779500000004</v>
      </c>
      <c r="I78" s="439"/>
      <c r="J78" s="439"/>
      <c r="K78" s="439">
        <v>156289.676022</v>
      </c>
      <c r="L78" s="439">
        <f>'JULI 2025'!AM88</f>
        <v>273743.47865993326</v>
      </c>
      <c r="M78" s="439"/>
      <c r="N78" s="439"/>
      <c r="O78" s="439"/>
      <c r="P78" s="961"/>
      <c r="Q78" s="439"/>
      <c r="R78" s="439"/>
      <c r="S78" s="719"/>
      <c r="T78" s="558">
        <f>SUM(T70,T72)+(T77%*SUM(T70,T72))</f>
        <v>747847.94693933323</v>
      </c>
      <c r="U78" s="684">
        <v>7811279</v>
      </c>
      <c r="V78" s="783">
        <f>SUM(V70,V72)+(V77%*SUM(V70,V72))</f>
        <v>27.144839391081263</v>
      </c>
      <c r="W78" s="811"/>
      <c r="X78" s="6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X78" s="62"/>
      <c r="BG78" s="143"/>
      <c r="BH78" s="143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CK78" s="143"/>
      <c r="DA78" s="1"/>
      <c r="DS78" s="515"/>
      <c r="DT78" s="143"/>
      <c r="DU78" s="143"/>
      <c r="DV78" s="143"/>
      <c r="DW78" s="143"/>
      <c r="FZ78" s="143"/>
      <c r="GA78" s="365">
        <f>X78+400</f>
        <v>400</v>
      </c>
      <c r="JU78" s="143"/>
      <c r="JV78" s="143"/>
      <c r="JW78" s="143"/>
      <c r="JX78" s="143"/>
      <c r="PB78" s="143"/>
      <c r="PC78" s="143"/>
      <c r="PE78" s="143"/>
      <c r="PS78" s="152"/>
      <c r="PW78" s="143"/>
      <c r="RZ78" s="152"/>
      <c r="AHI78" s="143"/>
      <c r="AIX78" s="143"/>
      <c r="AIY78" s="143"/>
      <c r="AIZ78" s="143"/>
    </row>
    <row r="79" spans="2:936" hidden="1" x14ac:dyDescent="0.25">
      <c r="B79" s="726">
        <v>5</v>
      </c>
      <c r="C79" s="418" t="s">
        <v>52</v>
      </c>
      <c r="D79" s="48"/>
      <c r="E79" s="48"/>
      <c r="F79" s="50"/>
      <c r="G79" s="50" t="e">
        <v>#REF!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3"/>
      <c r="T79" s="521" t="s">
        <v>130</v>
      </c>
      <c r="U79" s="676" t="s">
        <v>130</v>
      </c>
      <c r="V79" s="775" t="s">
        <v>130</v>
      </c>
      <c r="X79" s="1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X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DA79" s="1"/>
      <c r="FX79" s="3">
        <v>17292</v>
      </c>
      <c r="OY79" s="141" t="e">
        <f>#REF!-FX79</f>
        <v>#REF!</v>
      </c>
    </row>
    <row r="80" spans="2:936" hidden="1" x14ac:dyDescent="0.25">
      <c r="B80" s="727"/>
      <c r="C80" s="559" t="s">
        <v>51</v>
      </c>
      <c r="D80" s="560"/>
      <c r="E80" s="12" t="s">
        <v>14</v>
      </c>
      <c r="F80" s="561">
        <f>'[3]Januari 24'!AL68</f>
        <v>845858</v>
      </c>
      <c r="G80" s="561" t="e">
        <v>#REF!</v>
      </c>
      <c r="H80" s="561">
        <v>0</v>
      </c>
      <c r="I80" s="561"/>
      <c r="J80" s="561"/>
      <c r="K80" s="561"/>
      <c r="L80" s="561"/>
      <c r="M80" s="561"/>
      <c r="N80" s="561"/>
      <c r="O80" s="561"/>
      <c r="P80" s="561"/>
      <c r="Q80" s="561"/>
      <c r="R80" s="561"/>
      <c r="S80" s="27"/>
      <c r="T80" s="89" t="e">
        <f>SUM(F80:R80)</f>
        <v>#REF!</v>
      </c>
      <c r="U80" s="685" t="e">
        <f>SUM(G80:S80)</f>
        <v>#REF!</v>
      </c>
      <c r="V80" s="768" t="e">
        <f>(T80/U80)*100</f>
        <v>#REF!</v>
      </c>
      <c r="X80" s="1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X80" s="2"/>
      <c r="BD80" s="146"/>
      <c r="BE80" s="146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H80" s="146"/>
      <c r="DA80" s="1"/>
      <c r="DP80" s="434"/>
      <c r="DQ80" s="146"/>
      <c r="DR80" s="146"/>
      <c r="DS80" s="146"/>
      <c r="DT80" s="146"/>
      <c r="FW80" s="146"/>
      <c r="JR80" s="146"/>
      <c r="JS80" s="146"/>
      <c r="JT80" s="146"/>
      <c r="JU80" s="146"/>
      <c r="OY80" s="146"/>
      <c r="OZ80" s="146"/>
      <c r="PB80" s="146"/>
      <c r="PP80" s="562"/>
      <c r="PT80" s="146"/>
      <c r="RW80" s="562"/>
      <c r="AHF80" s="151"/>
      <c r="AIU80" s="151"/>
      <c r="AIV80" s="151"/>
      <c r="AIW80" s="151"/>
    </row>
    <row r="81" spans="2:936" hidden="1" x14ac:dyDescent="0.25">
      <c r="B81" s="728"/>
      <c r="C81" s="563" t="s">
        <v>46</v>
      </c>
      <c r="D81" s="564"/>
      <c r="E81" s="565" t="s">
        <v>14</v>
      </c>
      <c r="F81" s="566">
        <f>'[3]Januari 24'!AL69</f>
        <v>399021.27999999997</v>
      </c>
      <c r="G81" s="566" t="e">
        <v>#REF!</v>
      </c>
      <c r="H81" s="566">
        <v>0</v>
      </c>
      <c r="I81" s="566"/>
      <c r="J81" s="566"/>
      <c r="K81" s="566"/>
      <c r="L81" s="566"/>
      <c r="M81" s="566"/>
      <c r="N81" s="566"/>
      <c r="O81" s="566"/>
      <c r="P81" s="566"/>
      <c r="Q81" s="566"/>
      <c r="R81" s="566"/>
      <c r="S81" s="729"/>
      <c r="T81" s="89" t="e">
        <f>SUM(T82:T84)</f>
        <v>#REF!</v>
      </c>
      <c r="U81" s="685">
        <f>SUM(U82:U84)</f>
        <v>32269045.619999997</v>
      </c>
      <c r="V81" s="768" t="e">
        <f>(T81/U81)*100</f>
        <v>#REF!</v>
      </c>
      <c r="X81" s="821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3"/>
      <c r="BV81" s="173"/>
      <c r="BW81" s="173"/>
      <c r="BX81" s="173"/>
      <c r="BY81" s="173"/>
      <c r="BZ81" s="173"/>
      <c r="CA81" s="173"/>
      <c r="CB81" s="173"/>
      <c r="CC81" s="173"/>
      <c r="CD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73"/>
      <c r="CX81" s="173"/>
      <c r="CY81" s="173"/>
      <c r="CZ81" s="173"/>
      <c r="DA81" s="173"/>
      <c r="DB81" s="173"/>
      <c r="DC81" s="173"/>
      <c r="DD81" s="173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567"/>
      <c r="DQ81" s="173"/>
      <c r="DR81" s="173"/>
      <c r="DS81" s="173"/>
      <c r="DT81" s="173"/>
      <c r="DU81" s="173"/>
      <c r="DV81" s="173"/>
      <c r="DW81" s="173"/>
      <c r="DX81" s="173"/>
      <c r="DY81" s="173"/>
      <c r="DZ81" s="173"/>
      <c r="EA81" s="173"/>
      <c r="EB81" s="173"/>
      <c r="EC81" s="173"/>
      <c r="ED81" s="173"/>
      <c r="EE81" s="173"/>
      <c r="EF81" s="173"/>
      <c r="EG81" s="173"/>
      <c r="EH81" s="173"/>
      <c r="EI81" s="173"/>
      <c r="EJ81" s="173"/>
      <c r="EK81" s="173"/>
      <c r="EL81" s="173"/>
      <c r="EM81" s="173"/>
      <c r="EN81" s="173"/>
      <c r="EO81" s="173"/>
      <c r="EP81" s="173"/>
      <c r="EQ81" s="173"/>
      <c r="ER81" s="173"/>
      <c r="ES81" s="173"/>
      <c r="ET81" s="173"/>
      <c r="EU81" s="173"/>
      <c r="EV81" s="173"/>
      <c r="EW81" s="173"/>
      <c r="EX81" s="173"/>
      <c r="EY81" s="173"/>
      <c r="EZ81" s="173"/>
      <c r="FA81" s="173"/>
      <c r="FB81" s="173"/>
      <c r="FC81" s="173"/>
      <c r="FD81" s="173"/>
      <c r="FE81" s="173"/>
      <c r="FF81" s="173"/>
      <c r="FG81" s="173"/>
      <c r="FH81" s="173"/>
      <c r="FI81" s="173"/>
      <c r="FJ81" s="173"/>
      <c r="FK81" s="173"/>
      <c r="FL81" s="173"/>
      <c r="FM81" s="173"/>
      <c r="FN81" s="173"/>
      <c r="FO81" s="173"/>
      <c r="FP81" s="173"/>
      <c r="FQ81" s="173"/>
      <c r="FR81" s="173"/>
      <c r="FS81" s="173"/>
      <c r="FT81" s="173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K81" s="173"/>
      <c r="HL81" s="173"/>
      <c r="HM81" s="173"/>
      <c r="HN81" s="173"/>
      <c r="HO81" s="173"/>
      <c r="HP81" s="173"/>
      <c r="HQ81" s="173"/>
      <c r="HR81" s="173"/>
      <c r="HS81" s="173"/>
      <c r="HT81" s="173"/>
      <c r="HU81" s="173"/>
      <c r="HV81" s="173"/>
      <c r="HW81" s="173"/>
      <c r="HX81" s="173"/>
      <c r="HY81" s="173"/>
      <c r="HZ81" s="173"/>
      <c r="IA81" s="173"/>
      <c r="IB81" s="173"/>
      <c r="IC81" s="173"/>
      <c r="ID81" s="173"/>
      <c r="IE81" s="173"/>
      <c r="IF81" s="173"/>
      <c r="IG81" s="173"/>
      <c r="IH81" s="173"/>
      <c r="II81" s="173"/>
      <c r="IJ81" s="173"/>
      <c r="IK81" s="173"/>
      <c r="IL81" s="173"/>
      <c r="IM81" s="173"/>
      <c r="IN81" s="173"/>
      <c r="IO81" s="173"/>
      <c r="IP81" s="173"/>
      <c r="IQ81" s="173"/>
      <c r="IR81" s="173"/>
      <c r="IS81" s="173"/>
      <c r="IT81" s="173"/>
      <c r="IU81" s="173"/>
      <c r="IV81" s="173"/>
      <c r="IW81" s="173"/>
      <c r="IX81" s="173"/>
      <c r="IY81" s="173"/>
      <c r="IZ81" s="173"/>
      <c r="JA81" s="173"/>
      <c r="JB81" s="173"/>
      <c r="JC81" s="173"/>
      <c r="JD81" s="173"/>
      <c r="JE81" s="173"/>
      <c r="JF81" s="173"/>
      <c r="JG81" s="173"/>
      <c r="JH81" s="173"/>
      <c r="JI81" s="173"/>
      <c r="JJ81" s="173"/>
      <c r="JK81" s="173"/>
      <c r="JL81" s="173"/>
      <c r="JM81" s="173"/>
      <c r="JN81" s="173"/>
      <c r="JO81" s="173"/>
      <c r="JP81" s="173"/>
      <c r="JQ81" s="173"/>
      <c r="JR81" s="173"/>
      <c r="JS81" s="173"/>
      <c r="JT81" s="173"/>
      <c r="JU81" s="173"/>
      <c r="JV81" s="173"/>
      <c r="JW81" s="173"/>
      <c r="JX81" s="173"/>
      <c r="JY81" s="173"/>
      <c r="JZ81" s="173"/>
      <c r="KA81" s="173"/>
      <c r="KB81" s="173"/>
      <c r="KC81" s="173"/>
      <c r="KD81" s="173"/>
      <c r="KE81" s="173"/>
      <c r="KF81" s="173"/>
      <c r="KG81" s="173"/>
      <c r="KH81" s="173"/>
      <c r="KI81" s="173"/>
      <c r="KJ81" s="173"/>
      <c r="KK81" s="173"/>
      <c r="KL81" s="173"/>
      <c r="KM81" s="173"/>
      <c r="KN81" s="173"/>
      <c r="KO81" s="173"/>
      <c r="KP81" s="173"/>
      <c r="KQ81" s="173"/>
      <c r="KR81" s="173"/>
      <c r="KS81" s="173"/>
      <c r="KT81" s="173"/>
      <c r="KU81" s="173"/>
      <c r="KV81" s="173"/>
      <c r="KW81" s="173"/>
      <c r="KX81" s="173"/>
      <c r="KY81" s="173"/>
      <c r="KZ81" s="173"/>
      <c r="LA81" s="173"/>
      <c r="LB81" s="173"/>
      <c r="LC81" s="173"/>
      <c r="LD81" s="173"/>
      <c r="LE81" s="173"/>
      <c r="LF81" s="173"/>
      <c r="LG81" s="173"/>
      <c r="LH81" s="173"/>
      <c r="LI81" s="173"/>
      <c r="LJ81" s="173"/>
      <c r="LK81" s="173"/>
      <c r="LL81" s="173"/>
      <c r="LM81" s="173"/>
      <c r="LN81" s="173"/>
      <c r="LO81" s="173"/>
      <c r="LP81" s="173"/>
      <c r="LQ81" s="173"/>
      <c r="LR81" s="173"/>
      <c r="LS81" s="173"/>
      <c r="LT81" s="173"/>
      <c r="LU81" s="173"/>
      <c r="LV81" s="173"/>
      <c r="LW81" s="173"/>
      <c r="LX81" s="173"/>
      <c r="LY81" s="173"/>
      <c r="LZ81" s="173"/>
      <c r="MA81" s="173"/>
      <c r="MB81" s="173"/>
      <c r="MC81" s="173"/>
      <c r="MD81" s="173"/>
      <c r="ME81" s="173"/>
      <c r="MF81" s="173"/>
      <c r="MG81" s="173"/>
      <c r="MH81" s="173"/>
      <c r="MI81" s="173"/>
      <c r="MJ81" s="173"/>
      <c r="MK81" s="173"/>
      <c r="ML81" s="173"/>
      <c r="MM81" s="173"/>
      <c r="MN81" s="173"/>
      <c r="MO81" s="173"/>
      <c r="MP81" s="173"/>
      <c r="MQ81" s="173"/>
      <c r="MR81" s="173"/>
      <c r="MS81" s="173"/>
      <c r="MT81" s="173"/>
      <c r="MU81" s="173"/>
      <c r="MV81" s="173"/>
      <c r="MW81" s="173"/>
      <c r="MX81" s="173"/>
      <c r="MY81" s="173"/>
      <c r="MZ81" s="173"/>
      <c r="NA81" s="173"/>
      <c r="NB81" s="173"/>
      <c r="NC81" s="173"/>
      <c r="ND81" s="173"/>
      <c r="NE81" s="173"/>
      <c r="NF81" s="173"/>
      <c r="NG81" s="173"/>
      <c r="NH81" s="173"/>
      <c r="NI81" s="173"/>
      <c r="NJ81" s="173"/>
      <c r="NK81" s="173"/>
      <c r="NL81" s="173"/>
      <c r="NM81" s="173"/>
      <c r="NN81" s="173"/>
      <c r="NO81" s="173"/>
      <c r="NP81" s="173"/>
      <c r="NQ81" s="173"/>
      <c r="NR81" s="173"/>
      <c r="NS81" s="173"/>
      <c r="NT81" s="173"/>
      <c r="NU81" s="173"/>
      <c r="NV81" s="173"/>
      <c r="NW81" s="173"/>
      <c r="NX81" s="173"/>
      <c r="NY81" s="173"/>
      <c r="NZ81" s="173"/>
      <c r="OA81" s="173"/>
      <c r="OB81" s="173"/>
      <c r="OC81" s="173"/>
      <c r="OD81" s="173"/>
      <c r="OE81" s="173"/>
      <c r="OF81" s="173"/>
      <c r="OG81" s="173"/>
      <c r="OH81" s="173"/>
      <c r="OI81" s="173"/>
      <c r="OJ81" s="173"/>
      <c r="OK81" s="173"/>
      <c r="OL81" s="173"/>
      <c r="OM81" s="173"/>
      <c r="ON81" s="173"/>
      <c r="OO81" s="173"/>
      <c r="OP81" s="173"/>
      <c r="OQ81" s="173"/>
      <c r="OR81" s="173"/>
      <c r="OS81" s="173"/>
      <c r="OT81" s="173"/>
      <c r="OU81" s="173"/>
      <c r="OV81" s="173"/>
      <c r="OW81" s="173"/>
      <c r="OX81" s="173"/>
      <c r="OY81" s="173"/>
      <c r="OZ81" s="173"/>
      <c r="PA81" s="173"/>
      <c r="PB81" s="173"/>
      <c r="PC81" s="173"/>
      <c r="PD81" s="173"/>
      <c r="PE81" s="173"/>
      <c r="PF81" s="173"/>
      <c r="PG81" s="173"/>
      <c r="PH81" s="173"/>
      <c r="PI81" s="173"/>
      <c r="PJ81" s="173"/>
      <c r="PK81" s="173"/>
      <c r="PL81" s="173"/>
      <c r="PM81" s="173"/>
      <c r="PN81" s="173"/>
      <c r="PO81" s="173"/>
      <c r="PP81" s="173"/>
      <c r="PQ81" s="173"/>
      <c r="PR81" s="173"/>
      <c r="PS81" s="173"/>
      <c r="PT81" s="173"/>
      <c r="PU81" s="173"/>
      <c r="PV81" s="173"/>
      <c r="PW81" s="173"/>
      <c r="PX81" s="173"/>
      <c r="PY81" s="173"/>
      <c r="PZ81" s="173"/>
      <c r="QA81" s="173"/>
      <c r="QB81" s="173"/>
      <c r="QC81" s="173"/>
      <c r="QD81" s="173"/>
      <c r="QE81" s="173"/>
      <c r="QF81" s="173"/>
      <c r="QG81" s="173"/>
      <c r="QH81" s="173"/>
      <c r="QI81" s="173"/>
      <c r="QJ81" s="173"/>
      <c r="QK81" s="173"/>
      <c r="QL81" s="173"/>
      <c r="QM81" s="173"/>
      <c r="QN81" s="173"/>
      <c r="QO81" s="173"/>
      <c r="QP81" s="173"/>
      <c r="QQ81" s="173"/>
      <c r="QR81" s="173"/>
      <c r="QS81" s="173"/>
      <c r="QT81" s="173"/>
      <c r="QU81" s="173"/>
      <c r="QV81" s="173"/>
      <c r="QW81" s="173"/>
      <c r="QX81" s="173"/>
      <c r="QY81" s="173"/>
      <c r="QZ81" s="173"/>
      <c r="RA81" s="173"/>
      <c r="RB81" s="173"/>
      <c r="RC81" s="173"/>
      <c r="RD81" s="173"/>
      <c r="RE81" s="173"/>
      <c r="RF81" s="173"/>
      <c r="RG81" s="173"/>
      <c r="RH81" s="173"/>
      <c r="RI81" s="173"/>
      <c r="RJ81" s="173"/>
      <c r="RK81" s="173"/>
      <c r="RL81" s="173"/>
      <c r="RM81" s="173"/>
      <c r="RN81" s="173"/>
      <c r="RO81" s="173"/>
      <c r="RP81" s="173"/>
      <c r="RQ81" s="173"/>
      <c r="RR81" s="173"/>
      <c r="RS81" s="173"/>
      <c r="RT81" s="173"/>
      <c r="RU81" s="173"/>
      <c r="RV81" s="173"/>
      <c r="RW81" s="173"/>
      <c r="RX81" s="173"/>
      <c r="RY81" s="173"/>
      <c r="RZ81" s="173"/>
      <c r="SA81" s="173"/>
      <c r="SB81" s="173"/>
      <c r="SC81" s="173"/>
      <c r="SD81" s="173"/>
      <c r="SE81" s="173"/>
      <c r="SF81" s="173"/>
      <c r="SG81" s="173"/>
      <c r="SH81" s="173"/>
      <c r="SI81" s="173"/>
      <c r="SJ81" s="173"/>
      <c r="SK81" s="173"/>
      <c r="SL81" s="173"/>
      <c r="SM81" s="173"/>
      <c r="SN81" s="173"/>
      <c r="SO81" s="173"/>
      <c r="SP81" s="173"/>
      <c r="SQ81" s="173"/>
      <c r="SR81" s="173"/>
      <c r="SS81" s="173"/>
      <c r="ST81" s="173"/>
      <c r="SU81" s="173"/>
      <c r="SV81" s="173"/>
      <c r="SW81" s="173"/>
      <c r="SX81" s="173"/>
      <c r="SY81" s="173"/>
      <c r="SZ81" s="173"/>
      <c r="TA81" s="173"/>
      <c r="TB81" s="173"/>
      <c r="TC81" s="173"/>
      <c r="TD81" s="173"/>
      <c r="TE81" s="173"/>
      <c r="TF81" s="173"/>
      <c r="TG81" s="173"/>
      <c r="TH81" s="173"/>
      <c r="TI81" s="173"/>
      <c r="TJ81" s="173"/>
      <c r="TK81" s="173"/>
      <c r="TL81" s="173"/>
      <c r="TM81" s="173"/>
      <c r="TN81" s="173"/>
      <c r="TO81" s="173"/>
      <c r="TP81" s="173"/>
      <c r="TQ81" s="173"/>
      <c r="TR81" s="173"/>
      <c r="TS81" s="173"/>
      <c r="TT81" s="173"/>
      <c r="TU81" s="173"/>
      <c r="TV81" s="173"/>
      <c r="TW81" s="173"/>
      <c r="TX81" s="173"/>
      <c r="TY81" s="173"/>
      <c r="TZ81" s="173"/>
      <c r="UA81" s="173"/>
      <c r="UB81" s="173"/>
      <c r="UC81" s="173"/>
      <c r="UD81" s="173"/>
      <c r="UE81" s="173"/>
      <c r="UF81" s="173"/>
      <c r="UG81" s="173"/>
      <c r="UH81" s="173"/>
      <c r="UI81" s="173"/>
      <c r="UJ81" s="173"/>
      <c r="UK81" s="173"/>
      <c r="UL81" s="173"/>
      <c r="UM81" s="173"/>
      <c r="UN81" s="173"/>
      <c r="UO81" s="173"/>
      <c r="UP81" s="173"/>
      <c r="UQ81" s="173"/>
      <c r="UR81" s="173"/>
      <c r="US81" s="173"/>
      <c r="UT81" s="173"/>
      <c r="UU81" s="173"/>
      <c r="UV81" s="173"/>
      <c r="UW81" s="173"/>
      <c r="UX81" s="173"/>
      <c r="UY81" s="173"/>
      <c r="UZ81" s="173"/>
      <c r="VA81" s="173"/>
      <c r="VB81" s="173"/>
      <c r="VC81" s="173"/>
      <c r="VD81" s="173"/>
      <c r="VE81" s="173"/>
      <c r="VF81" s="173"/>
      <c r="VG81" s="173"/>
      <c r="VH81" s="173"/>
      <c r="VI81" s="173"/>
      <c r="VJ81" s="173"/>
      <c r="VK81" s="173"/>
      <c r="VL81" s="173"/>
      <c r="VM81" s="173"/>
      <c r="VN81" s="173"/>
      <c r="VO81" s="173"/>
      <c r="VP81" s="173"/>
      <c r="VQ81" s="173"/>
      <c r="VR81" s="173"/>
      <c r="VS81" s="173"/>
      <c r="VT81" s="173"/>
      <c r="VU81" s="173"/>
      <c r="VV81" s="173"/>
      <c r="VW81" s="173"/>
      <c r="VX81" s="173"/>
      <c r="VY81" s="173"/>
      <c r="VZ81" s="173"/>
      <c r="WA81" s="173"/>
      <c r="WB81" s="173"/>
      <c r="WC81" s="173"/>
      <c r="WD81" s="173"/>
      <c r="WE81" s="173"/>
      <c r="WF81" s="173"/>
      <c r="WG81" s="173"/>
      <c r="WH81" s="173"/>
      <c r="WI81" s="173"/>
      <c r="WJ81" s="173"/>
      <c r="WK81" s="173"/>
      <c r="WL81" s="173"/>
      <c r="WM81" s="173"/>
      <c r="WN81" s="173"/>
      <c r="WO81" s="173"/>
      <c r="WP81" s="173"/>
      <c r="WQ81" s="173"/>
      <c r="WR81" s="173"/>
      <c r="WS81" s="173"/>
      <c r="WT81" s="173"/>
      <c r="WU81" s="173"/>
      <c r="WV81" s="173"/>
      <c r="WW81" s="173"/>
      <c r="WX81" s="173"/>
      <c r="WY81" s="173"/>
      <c r="WZ81" s="173"/>
      <c r="XA81" s="173"/>
      <c r="XB81" s="173"/>
      <c r="XC81" s="173"/>
      <c r="XD81" s="173"/>
      <c r="XE81" s="173"/>
      <c r="XF81" s="173"/>
      <c r="XG81" s="173"/>
      <c r="XH81" s="173"/>
      <c r="XI81" s="173"/>
      <c r="XJ81" s="173"/>
      <c r="XK81" s="173"/>
      <c r="XL81" s="173"/>
      <c r="XM81" s="173"/>
      <c r="XN81" s="173"/>
      <c r="XO81" s="173"/>
      <c r="XP81" s="173"/>
      <c r="XQ81" s="173"/>
      <c r="XR81" s="173"/>
      <c r="XS81" s="173"/>
      <c r="XT81" s="173"/>
      <c r="XU81" s="173"/>
      <c r="XV81" s="173"/>
      <c r="XW81" s="173"/>
      <c r="XX81" s="173"/>
      <c r="XY81" s="173"/>
      <c r="XZ81" s="173"/>
      <c r="YA81" s="173"/>
      <c r="YB81" s="173"/>
      <c r="YC81" s="173"/>
      <c r="YD81" s="173"/>
      <c r="YE81" s="173"/>
      <c r="YF81" s="173"/>
      <c r="YG81" s="173"/>
      <c r="YH81" s="173"/>
      <c r="YI81" s="173"/>
      <c r="YJ81" s="173"/>
      <c r="YK81" s="173"/>
      <c r="YL81" s="173"/>
      <c r="YM81" s="173"/>
      <c r="YN81" s="173"/>
      <c r="YO81" s="173"/>
      <c r="YP81" s="173"/>
      <c r="YQ81" s="173"/>
      <c r="YR81" s="173"/>
      <c r="YS81" s="173"/>
      <c r="YT81" s="173"/>
      <c r="YU81" s="173"/>
      <c r="YV81" s="173"/>
      <c r="YW81" s="173"/>
      <c r="YX81" s="173"/>
      <c r="YY81" s="173"/>
      <c r="YZ81" s="173"/>
      <c r="ZA81" s="173"/>
      <c r="ZB81" s="173"/>
      <c r="ZC81" s="173"/>
      <c r="ZD81" s="173"/>
      <c r="ZE81" s="173"/>
      <c r="ZF81" s="173"/>
      <c r="ZG81" s="173"/>
      <c r="ZH81" s="173"/>
      <c r="ZI81" s="173"/>
      <c r="ZJ81" s="173"/>
      <c r="ZK81" s="173"/>
      <c r="ZL81" s="173"/>
      <c r="ZM81" s="173"/>
      <c r="ZN81" s="173"/>
      <c r="ZO81" s="173"/>
      <c r="ZP81" s="173"/>
      <c r="ZQ81" s="173"/>
      <c r="ZR81" s="173"/>
      <c r="ZS81" s="173"/>
      <c r="ZT81" s="173"/>
      <c r="ZU81" s="173"/>
      <c r="ZV81" s="173"/>
      <c r="ZW81" s="173"/>
      <c r="ZX81" s="173"/>
      <c r="ZY81" s="173"/>
      <c r="ZZ81" s="173"/>
      <c r="AAA81" s="173"/>
      <c r="AAB81" s="173"/>
      <c r="AAC81" s="173"/>
      <c r="AAD81" s="173"/>
      <c r="AAE81" s="173"/>
      <c r="AAF81" s="173"/>
      <c r="AAG81" s="173"/>
      <c r="AAH81" s="173"/>
      <c r="AAI81" s="173"/>
      <c r="AAJ81" s="173"/>
      <c r="AAK81" s="173"/>
      <c r="AAL81" s="173"/>
      <c r="AAM81" s="173"/>
      <c r="AAN81" s="173"/>
      <c r="AAO81" s="173"/>
      <c r="AAP81" s="173"/>
      <c r="AAQ81" s="173"/>
      <c r="AAR81" s="173"/>
      <c r="AAS81" s="173"/>
      <c r="AAT81" s="173"/>
      <c r="AAU81" s="173"/>
      <c r="AAV81" s="173"/>
      <c r="AAW81" s="173"/>
      <c r="AAX81" s="173"/>
      <c r="AAY81" s="173"/>
      <c r="AAZ81" s="173"/>
      <c r="ABA81" s="173"/>
      <c r="ABB81" s="173"/>
      <c r="ABC81" s="173"/>
      <c r="ABD81" s="173"/>
      <c r="ABE81" s="173"/>
      <c r="ABF81" s="173"/>
      <c r="ABG81" s="173"/>
      <c r="ABH81" s="173"/>
      <c r="ABI81" s="173"/>
      <c r="ABJ81" s="173"/>
      <c r="ABK81" s="173"/>
      <c r="ABL81" s="173"/>
      <c r="ABM81" s="173"/>
      <c r="ABN81" s="173"/>
      <c r="ABO81" s="173"/>
      <c r="ABP81" s="173"/>
      <c r="ABQ81" s="173"/>
      <c r="ABR81" s="173"/>
      <c r="ABS81" s="173"/>
      <c r="ABT81" s="173"/>
      <c r="ABU81" s="173"/>
      <c r="ABV81" s="173"/>
      <c r="ABW81" s="173"/>
      <c r="ABX81" s="173"/>
      <c r="ABY81" s="173"/>
      <c r="ABZ81" s="173"/>
      <c r="ACA81" s="173"/>
      <c r="ACB81" s="173"/>
      <c r="ACC81" s="173"/>
      <c r="ACD81" s="173"/>
      <c r="ACE81" s="173"/>
      <c r="ACF81" s="173"/>
      <c r="ACG81" s="173"/>
      <c r="ACH81" s="173"/>
      <c r="ACI81" s="173"/>
      <c r="ACJ81" s="173"/>
      <c r="ACK81" s="173"/>
      <c r="ACL81" s="173"/>
      <c r="ACM81" s="173"/>
      <c r="ACN81" s="173"/>
      <c r="ACO81" s="173"/>
      <c r="ACP81" s="173"/>
      <c r="ACQ81" s="173"/>
      <c r="ACR81" s="173"/>
      <c r="ACS81" s="173"/>
      <c r="ACT81" s="173"/>
      <c r="ACU81" s="173"/>
      <c r="ACV81" s="173"/>
      <c r="ACW81" s="173"/>
      <c r="ACX81" s="173"/>
      <c r="ACY81" s="173"/>
      <c r="ACZ81" s="173"/>
      <c r="ADA81" s="173"/>
      <c r="ADB81" s="173"/>
      <c r="ADC81" s="173"/>
      <c r="ADD81" s="173"/>
      <c r="ADE81" s="173"/>
      <c r="ADF81" s="173"/>
      <c r="ADG81" s="173"/>
      <c r="ADH81" s="173"/>
      <c r="ADI81" s="173"/>
      <c r="ADJ81" s="173"/>
      <c r="ADK81" s="173"/>
      <c r="ADL81" s="173"/>
      <c r="ADM81" s="173"/>
      <c r="ADN81" s="173"/>
      <c r="ADO81" s="173"/>
      <c r="ADP81" s="173"/>
      <c r="ADQ81" s="173"/>
      <c r="ADR81" s="173"/>
      <c r="ADS81" s="173"/>
      <c r="ADT81" s="173"/>
      <c r="ADU81" s="173"/>
      <c r="ADV81" s="173"/>
      <c r="ADW81" s="173"/>
      <c r="ADX81" s="173"/>
      <c r="ADY81" s="173"/>
      <c r="ADZ81" s="173"/>
      <c r="AEA81" s="173"/>
      <c r="AEB81" s="173"/>
      <c r="AEC81" s="173"/>
      <c r="AED81" s="173"/>
      <c r="AEE81" s="173"/>
      <c r="AEF81" s="173"/>
      <c r="AEG81" s="173"/>
      <c r="AEH81" s="173"/>
      <c r="AEI81" s="173"/>
      <c r="AEJ81" s="173"/>
      <c r="AEK81" s="173"/>
      <c r="AEL81" s="173"/>
      <c r="AEM81" s="173"/>
      <c r="AEN81" s="173"/>
      <c r="AEO81" s="173"/>
      <c r="AEP81" s="173"/>
      <c r="AEQ81" s="173"/>
      <c r="AER81" s="173"/>
      <c r="AES81" s="173"/>
      <c r="AET81" s="173"/>
      <c r="AEU81" s="173"/>
      <c r="AEV81" s="173"/>
      <c r="AEW81" s="173"/>
      <c r="AEX81" s="173"/>
      <c r="AEY81" s="173"/>
      <c r="AEZ81" s="173"/>
      <c r="AFA81" s="173"/>
      <c r="AFB81" s="173"/>
      <c r="AFC81" s="173"/>
      <c r="AFD81" s="173"/>
      <c r="AFE81" s="173"/>
      <c r="AFF81" s="173"/>
      <c r="AFG81" s="173"/>
      <c r="AFH81" s="173"/>
      <c r="AFI81" s="173"/>
      <c r="AFJ81" s="173"/>
      <c r="AFK81" s="173"/>
      <c r="AFL81" s="173"/>
      <c r="AFM81" s="173"/>
      <c r="AFN81" s="173"/>
      <c r="AFO81" s="173"/>
      <c r="AFP81" s="173"/>
      <c r="AFQ81" s="173"/>
      <c r="AFR81" s="152" t="s">
        <v>14</v>
      </c>
      <c r="AFS81" s="173" t="s">
        <v>348</v>
      </c>
    </row>
    <row r="82" spans="2:936" hidden="1" x14ac:dyDescent="0.25">
      <c r="B82" s="730"/>
      <c r="C82" s="568" t="s">
        <v>39</v>
      </c>
      <c r="D82" s="475"/>
      <c r="E82" s="495" t="s">
        <v>14</v>
      </c>
      <c r="F82" s="569">
        <f>SUM(F86:F87)*10.86</f>
        <v>400256.16</v>
      </c>
      <c r="G82" s="569" t="e">
        <v>#REF!</v>
      </c>
      <c r="H82" s="569">
        <v>0</v>
      </c>
      <c r="I82" s="570"/>
      <c r="J82" s="570"/>
      <c r="K82" s="570"/>
      <c r="L82" s="570"/>
      <c r="M82" s="570"/>
      <c r="N82" s="570"/>
      <c r="O82" s="570"/>
      <c r="P82" s="570"/>
      <c r="Q82" s="570"/>
      <c r="R82" s="570"/>
      <c r="S82" s="718"/>
      <c r="T82" s="709" t="e">
        <f>SUM(T86:T87)*10.86</f>
        <v>#REF!</v>
      </c>
      <c r="U82" s="686">
        <f>SUM(U86:U87)*10.86</f>
        <v>32269045.619999997</v>
      </c>
      <c r="V82" s="768" t="e">
        <f>(T82/U82)*100</f>
        <v>#REF!</v>
      </c>
      <c r="W82" s="306"/>
      <c r="X82" s="1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X82" s="1"/>
      <c r="BD82" s="142"/>
      <c r="BE82" s="142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2"/>
      <c r="DA82" s="1"/>
      <c r="DP82" s="5"/>
      <c r="DQ82" s="142"/>
      <c r="DR82" s="142"/>
      <c r="DS82" s="142"/>
      <c r="DT82" s="142"/>
      <c r="FW82" s="142"/>
      <c r="FX82" s="140" t="e">
        <f>#REF!/1000</f>
        <v>#REF!</v>
      </c>
      <c r="JR82" s="142"/>
      <c r="JS82" s="142"/>
      <c r="JT82" s="142"/>
      <c r="JU82" s="142"/>
      <c r="OY82" s="142">
        <v>4696</v>
      </c>
      <c r="OZ82" s="145" t="e">
        <f>FX82/OY82*100</f>
        <v>#REF!</v>
      </c>
      <c r="PB82" s="142"/>
      <c r="PP82" s="145"/>
      <c r="PT82" s="142"/>
      <c r="RW82" s="145"/>
      <c r="AHF82" s="141"/>
      <c r="AIU82" s="141"/>
      <c r="AIV82" s="141"/>
      <c r="AIW82" s="141"/>
    </row>
    <row r="83" spans="2:936" hidden="1" x14ac:dyDescent="0.25">
      <c r="B83" s="730"/>
      <c r="C83" s="568" t="s">
        <v>38</v>
      </c>
      <c r="D83" s="475"/>
      <c r="E83" s="495" t="s">
        <v>14</v>
      </c>
      <c r="F83" s="439">
        <f>F81-F82</f>
        <v>-1234.8800000000047</v>
      </c>
      <c r="G83" s="439">
        <v>0</v>
      </c>
      <c r="H83" s="439">
        <v>0</v>
      </c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718"/>
      <c r="T83" s="58">
        <f>SUM(F83:R83)</f>
        <v>-1234.8800000000047</v>
      </c>
      <c r="U83" s="668">
        <f>SUM(G83:S83)</f>
        <v>0</v>
      </c>
      <c r="V83" s="768" t="e">
        <f>(T83/U83)*100</f>
        <v>#DIV/0!</v>
      </c>
      <c r="W83" s="140"/>
      <c r="X83" s="1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R83" s="62"/>
      <c r="AX83" s="1"/>
      <c r="BD83" s="142"/>
      <c r="BE83" s="142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2"/>
      <c r="DA83" s="1"/>
      <c r="DP83" s="5"/>
      <c r="DQ83" s="142"/>
      <c r="DR83" s="142"/>
      <c r="DS83" s="142"/>
      <c r="DT83" s="142"/>
      <c r="FW83" s="142"/>
      <c r="FX83" s="480" t="e">
        <f>#REF!/1000</f>
        <v>#REF!</v>
      </c>
      <c r="JR83" s="142"/>
      <c r="JS83" s="142"/>
      <c r="JT83" s="142"/>
      <c r="JU83" s="142"/>
      <c r="OY83" s="142">
        <v>565</v>
      </c>
      <c r="OZ83" s="145" t="e">
        <f>FX83/OY83*100</f>
        <v>#REF!</v>
      </c>
      <c r="PB83" s="142"/>
      <c r="PP83" s="145"/>
      <c r="PT83" s="142"/>
      <c r="RW83" s="145"/>
      <c r="AHF83" s="141"/>
      <c r="AIU83" s="141"/>
      <c r="AIV83" s="141"/>
      <c r="AIW83" s="141"/>
    </row>
    <row r="84" spans="2:936" hidden="1" x14ac:dyDescent="0.25">
      <c r="B84" s="730"/>
      <c r="C84" s="568" t="s">
        <v>50</v>
      </c>
      <c r="D84" s="475"/>
      <c r="E84" s="463" t="s">
        <v>14</v>
      </c>
      <c r="F84" s="439">
        <f>'[3]Januari 24'!AL72</f>
        <v>0</v>
      </c>
      <c r="G84" s="439"/>
      <c r="H84" s="439">
        <v>0</v>
      </c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718"/>
      <c r="T84" s="58">
        <f>SUM(F84:R84)</f>
        <v>0</v>
      </c>
      <c r="U84" s="668">
        <f>SUM(G84:S84)</f>
        <v>0</v>
      </c>
      <c r="V84" s="768"/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X84" s="1"/>
      <c r="BD84" s="142"/>
      <c r="BE84" s="142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2"/>
      <c r="DA84" s="1"/>
      <c r="DP84" s="5"/>
      <c r="DQ84" s="142"/>
      <c r="DR84" s="142"/>
      <c r="DS84" s="142"/>
      <c r="DT84" s="142"/>
      <c r="FW84" s="142"/>
      <c r="JR84" s="142"/>
      <c r="JS84" s="142"/>
      <c r="JT84" s="142"/>
      <c r="JU84" s="142"/>
      <c r="OY84" s="142"/>
      <c r="OZ84" s="142"/>
      <c r="PB84" s="142"/>
      <c r="PP84" s="145"/>
      <c r="PT84" s="142"/>
      <c r="RW84" s="145"/>
      <c r="AHF84" s="141"/>
      <c r="AIU84" s="141"/>
      <c r="AIV84" s="141"/>
      <c r="AIW84" s="141"/>
    </row>
    <row r="85" spans="2:936" hidden="1" x14ac:dyDescent="0.25">
      <c r="B85" s="730"/>
      <c r="C85" s="568" t="s">
        <v>29</v>
      </c>
      <c r="D85" s="475"/>
      <c r="E85" s="463"/>
      <c r="F85" s="438"/>
      <c r="G85" s="438" t="e">
        <v>#REF!</v>
      </c>
      <c r="H85" s="438"/>
      <c r="I85" s="438"/>
      <c r="J85" s="438"/>
      <c r="K85" s="438"/>
      <c r="L85" s="438"/>
      <c r="M85" s="438"/>
      <c r="N85" s="438"/>
      <c r="O85" s="438"/>
      <c r="P85" s="438"/>
      <c r="Q85" s="438"/>
      <c r="R85" s="438"/>
      <c r="S85" s="718"/>
      <c r="T85" s="63" t="s">
        <v>29</v>
      </c>
      <c r="U85" s="687" t="s">
        <v>29</v>
      </c>
      <c r="V85" s="784" t="s">
        <v>29</v>
      </c>
      <c r="X85" s="1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R85" s="62"/>
      <c r="AX85" s="1"/>
      <c r="BD85" s="142"/>
      <c r="BE85" s="142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2"/>
      <c r="DA85" s="1"/>
      <c r="DP85" s="5"/>
      <c r="DQ85" s="142"/>
      <c r="DR85" s="142"/>
      <c r="DS85" s="142"/>
      <c r="DT85" s="142"/>
      <c r="FW85" s="142"/>
      <c r="JR85" s="142"/>
      <c r="JS85" s="142"/>
      <c r="JT85" s="142"/>
      <c r="JU85" s="142"/>
      <c r="OY85" s="142"/>
      <c r="OZ85" s="142"/>
      <c r="PB85" s="142"/>
      <c r="PP85" s="145"/>
      <c r="PT85" s="142"/>
      <c r="RW85" s="145"/>
      <c r="AHF85" s="141"/>
      <c r="AIU85" s="141"/>
      <c r="AIV85" s="141"/>
      <c r="AIW85" s="141"/>
    </row>
    <row r="86" spans="2:936" hidden="1" x14ac:dyDescent="0.25">
      <c r="B86" s="731"/>
      <c r="C86" s="571" t="s">
        <v>49</v>
      </c>
      <c r="D86" s="436"/>
      <c r="E86" s="572" t="s">
        <v>31</v>
      </c>
      <c r="F86" s="282">
        <f>'[3]Januari 24'!AL74</f>
        <v>17197</v>
      </c>
      <c r="G86" s="282" t="e">
        <v>#REF!</v>
      </c>
      <c r="H86" s="282">
        <v>0</v>
      </c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720"/>
      <c r="T86" s="54" t="e">
        <f>SUM(F86:R86)</f>
        <v>#REF!</v>
      </c>
      <c r="U86" s="665">
        <v>1254577</v>
      </c>
      <c r="V86" s="768" t="e">
        <f>(T86/U86)*100</f>
        <v>#REF!</v>
      </c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6"/>
      <c r="BD86" s="148"/>
      <c r="BE86" s="148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8"/>
      <c r="DA86" s="1"/>
      <c r="DP86" s="516"/>
      <c r="DQ86" s="148"/>
      <c r="DR86" s="148"/>
      <c r="DS86" s="148"/>
      <c r="DT86" s="148"/>
      <c r="FW86" s="148"/>
      <c r="JR86" s="148"/>
      <c r="JS86" s="148"/>
      <c r="JT86" s="148"/>
      <c r="JU86" s="148"/>
      <c r="OY86" s="148"/>
      <c r="OZ86" s="148"/>
      <c r="PB86" s="148"/>
      <c r="PP86" s="573"/>
      <c r="PT86" s="148"/>
      <c r="RW86" s="573"/>
      <c r="AHF86" s="144"/>
      <c r="AIU86" s="144"/>
      <c r="AIV86" s="144"/>
      <c r="AIW86" s="144"/>
    </row>
    <row r="87" spans="2:936" hidden="1" x14ac:dyDescent="0.25">
      <c r="B87" s="731"/>
      <c r="C87" s="571" t="s">
        <v>48</v>
      </c>
      <c r="D87" s="436"/>
      <c r="E87" s="572" t="s">
        <v>31</v>
      </c>
      <c r="F87" s="282">
        <f>'[3]Januari 24'!AL75</f>
        <v>19659</v>
      </c>
      <c r="G87" s="282"/>
      <c r="H87" s="282">
        <v>0</v>
      </c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720"/>
      <c r="T87" s="54">
        <f>SUM(F87:R87)</f>
        <v>19659</v>
      </c>
      <c r="U87" s="665">
        <v>1716790</v>
      </c>
      <c r="V87" s="768">
        <f>(T87/U87)*100</f>
        <v>1.1451021965412194</v>
      </c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16"/>
      <c r="BD87" s="148"/>
      <c r="BE87" s="148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8"/>
      <c r="DA87" s="1"/>
      <c r="DP87" s="516"/>
      <c r="DQ87" s="148"/>
      <c r="DR87" s="148"/>
      <c r="DS87" s="148"/>
      <c r="DT87" s="148"/>
      <c r="FW87" s="148"/>
      <c r="JR87" s="148"/>
      <c r="JS87" s="148"/>
      <c r="JT87" s="148"/>
      <c r="JU87" s="148"/>
      <c r="OY87" s="148"/>
      <c r="OZ87" s="148"/>
      <c r="PB87" s="148"/>
      <c r="PP87" s="573"/>
      <c r="PT87" s="148"/>
      <c r="RW87" s="573"/>
      <c r="AHF87" s="144"/>
      <c r="AIU87" s="144"/>
      <c r="AIV87" s="144"/>
      <c r="AIW87" s="144"/>
    </row>
    <row r="88" spans="2:936" hidden="1" x14ac:dyDescent="0.25">
      <c r="B88" s="730"/>
      <c r="C88" s="568" t="s">
        <v>28</v>
      </c>
      <c r="D88" s="475"/>
      <c r="E88" s="463"/>
      <c r="F88" s="438"/>
      <c r="G88" s="438" t="e">
        <v>#REF!</v>
      </c>
      <c r="H88" s="438"/>
      <c r="I88" s="438"/>
      <c r="J88" s="438"/>
      <c r="K88" s="438"/>
      <c r="L88" s="438"/>
      <c r="M88" s="438"/>
      <c r="N88" s="438"/>
      <c r="O88" s="438"/>
      <c r="P88" s="438"/>
      <c r="Q88" s="438"/>
      <c r="R88" s="438"/>
      <c r="S88" s="718"/>
      <c r="T88" s="63" t="s">
        <v>28</v>
      </c>
      <c r="U88" s="687" t="s">
        <v>28</v>
      </c>
      <c r="V88" s="784" t="s">
        <v>28</v>
      </c>
      <c r="X88" s="6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R88" s="62"/>
      <c r="AX88" s="1"/>
      <c r="BG88" s="142"/>
      <c r="BH88" s="142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2"/>
      <c r="DA88" s="1"/>
      <c r="DS88" s="5"/>
      <c r="DT88" s="142"/>
      <c r="DU88" s="142"/>
      <c r="DV88" s="142"/>
      <c r="DW88" s="142"/>
      <c r="FZ88" s="142"/>
      <c r="JU88" s="142"/>
      <c r="JV88" s="142"/>
      <c r="JW88" s="142"/>
      <c r="JX88" s="142"/>
      <c r="PB88" s="142"/>
      <c r="PC88" s="142"/>
      <c r="PE88" s="142"/>
      <c r="PS88" s="145"/>
      <c r="PW88" s="142"/>
      <c r="RZ88" s="145"/>
      <c r="AHI88" s="141"/>
      <c r="AIX88" s="141"/>
      <c r="AIY88" s="141"/>
      <c r="AIZ88" s="141"/>
    </row>
    <row r="89" spans="2:936" hidden="1" x14ac:dyDescent="0.25">
      <c r="B89" s="730"/>
      <c r="C89" s="461" t="s">
        <v>49</v>
      </c>
      <c r="D89" s="475"/>
      <c r="E89" s="495" t="s">
        <v>28</v>
      </c>
      <c r="F89" s="438">
        <f>F86*12</f>
        <v>206364</v>
      </c>
      <c r="G89" s="438" t="e">
        <v>#REF!</v>
      </c>
      <c r="H89" s="438">
        <v>0</v>
      </c>
      <c r="I89" s="438"/>
      <c r="J89" s="438"/>
      <c r="K89" s="438"/>
      <c r="L89" s="438"/>
      <c r="M89" s="438"/>
      <c r="N89" s="438"/>
      <c r="O89" s="438"/>
      <c r="P89" s="438"/>
      <c r="Q89" s="438"/>
      <c r="R89" s="438"/>
      <c r="S89" s="718"/>
      <c r="T89" s="54" t="e">
        <f>T86*12</f>
        <v>#REF!</v>
      </c>
      <c r="U89" s="665">
        <f>U86*12</f>
        <v>15054924</v>
      </c>
      <c r="V89" s="768" t="e">
        <f>(T89/U89)*100</f>
        <v>#REF!</v>
      </c>
      <c r="X89" s="6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"/>
      <c r="BG89" s="142"/>
      <c r="BH89" s="142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2"/>
      <c r="DA89" s="1"/>
      <c r="DS89" s="5"/>
      <c r="DT89" s="142"/>
      <c r="DU89" s="142"/>
      <c r="DV89" s="142"/>
      <c r="DW89" s="142"/>
      <c r="FZ89" s="142"/>
      <c r="JU89" s="142"/>
      <c r="JV89" s="142"/>
      <c r="JW89" s="142"/>
      <c r="JX89" s="142"/>
      <c r="PB89" s="142"/>
      <c r="PC89" s="142"/>
      <c r="PE89" s="142"/>
      <c r="PS89" s="145"/>
      <c r="PW89" s="142"/>
      <c r="RZ89" s="145"/>
      <c r="AHI89" s="141"/>
      <c r="AIX89" s="141"/>
      <c r="AIY89" s="141"/>
      <c r="AIZ89" s="141"/>
    </row>
    <row r="90" spans="2:936" hidden="1" x14ac:dyDescent="0.25">
      <c r="B90" s="730"/>
      <c r="C90" s="461" t="s">
        <v>48</v>
      </c>
      <c r="D90" s="475"/>
      <c r="E90" s="495" t="s">
        <v>28</v>
      </c>
      <c r="F90" s="438">
        <f>F87*6</f>
        <v>117954</v>
      </c>
      <c r="G90" s="438" t="e">
        <v>#REF!</v>
      </c>
      <c r="H90" s="438">
        <v>0</v>
      </c>
      <c r="I90" s="438"/>
      <c r="J90" s="438"/>
      <c r="K90" s="438"/>
      <c r="L90" s="438"/>
      <c r="M90" s="438"/>
      <c r="N90" s="438"/>
      <c r="O90" s="438"/>
      <c r="P90" s="438"/>
      <c r="Q90" s="438"/>
      <c r="R90" s="438"/>
      <c r="S90" s="718"/>
      <c r="T90" s="54">
        <f>T87*6</f>
        <v>117954</v>
      </c>
      <c r="U90" s="665">
        <f>U87*6</f>
        <v>10300740</v>
      </c>
      <c r="V90" s="768">
        <f>(T90/U90)*100</f>
        <v>1.1451021965412194</v>
      </c>
      <c r="X90" s="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"/>
      <c r="BG90" s="142"/>
      <c r="BH90" s="14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2"/>
      <c r="DA90" s="1"/>
      <c r="DS90" s="5"/>
      <c r="DT90" s="142"/>
      <c r="DU90" s="142"/>
      <c r="DV90" s="142"/>
      <c r="DW90" s="142"/>
      <c r="FZ90" s="142"/>
      <c r="JU90" s="142"/>
      <c r="JV90" s="142"/>
      <c r="JW90" s="142"/>
      <c r="JX90" s="142"/>
      <c r="PB90" s="142"/>
      <c r="PC90" s="142"/>
      <c r="PE90" s="142"/>
      <c r="PS90" s="145"/>
      <c r="PW90" s="142"/>
      <c r="RZ90" s="145"/>
      <c r="AHI90" s="141"/>
      <c r="AIX90" s="141"/>
      <c r="AIY90" s="141"/>
      <c r="AIZ90" s="141"/>
    </row>
    <row r="91" spans="2:936" hidden="1" x14ac:dyDescent="0.25">
      <c r="B91" s="730"/>
      <c r="C91" s="568" t="s">
        <v>36</v>
      </c>
      <c r="D91" s="475"/>
      <c r="E91" s="495" t="s">
        <v>35</v>
      </c>
      <c r="F91" s="574">
        <f>(F81*45)/1700</f>
        <v>10562.328</v>
      </c>
      <c r="G91" s="575" t="e">
        <v>#REF!</v>
      </c>
      <c r="H91" s="575">
        <v>0</v>
      </c>
      <c r="I91" s="574"/>
      <c r="J91" s="574"/>
      <c r="K91" s="574"/>
      <c r="L91" s="574"/>
      <c r="M91" s="574"/>
      <c r="N91" s="574"/>
      <c r="O91" s="574"/>
      <c r="P91" s="574"/>
      <c r="Q91" s="574"/>
      <c r="R91" s="574"/>
      <c r="S91" s="718"/>
      <c r="T91" s="54" t="e">
        <f>SUM(F91:R91)</f>
        <v>#REF!</v>
      </c>
      <c r="U91" s="574">
        <f>(U81*45)/1700</f>
        <v>854180.61935294105</v>
      </c>
      <c r="V91" s="768" t="e">
        <f>(T91/U91)*100</f>
        <v>#REF!</v>
      </c>
      <c r="X91" s="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"/>
      <c r="BG91" s="142"/>
      <c r="BH91" s="14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2"/>
      <c r="DA91" s="1"/>
      <c r="DS91" s="5"/>
      <c r="DT91" s="142"/>
      <c r="DU91" s="142"/>
      <c r="DV91" s="142"/>
      <c r="DW91" s="142"/>
      <c r="FZ91" s="142"/>
      <c r="JU91" s="142"/>
      <c r="JV91" s="142"/>
      <c r="JW91" s="142"/>
      <c r="JX91" s="142"/>
      <c r="PB91" s="142"/>
      <c r="PC91" s="142"/>
      <c r="PE91" s="142"/>
      <c r="PS91" s="145"/>
      <c r="PW91" s="142"/>
      <c r="RZ91" s="145"/>
      <c r="AHI91" s="141"/>
      <c r="AIX91" s="141"/>
      <c r="AIY91" s="141"/>
      <c r="AIZ91" s="141"/>
    </row>
    <row r="92" spans="2:936" hidden="1" x14ac:dyDescent="0.25">
      <c r="B92" s="730"/>
      <c r="C92" s="568" t="s">
        <v>34</v>
      </c>
      <c r="D92" s="475"/>
      <c r="E92" s="495" t="s">
        <v>33</v>
      </c>
      <c r="F92" s="438">
        <f>SUM(F86:F87)/500</f>
        <v>73.712000000000003</v>
      </c>
      <c r="G92" s="438"/>
      <c r="H92" s="438">
        <v>0</v>
      </c>
      <c r="I92" s="438"/>
      <c r="J92" s="438"/>
      <c r="K92" s="438"/>
      <c r="L92" s="438"/>
      <c r="M92" s="438"/>
      <c r="N92" s="438"/>
      <c r="O92" s="438"/>
      <c r="P92" s="438"/>
      <c r="Q92" s="438"/>
      <c r="R92" s="438"/>
      <c r="S92" s="718"/>
      <c r="T92" s="54">
        <f>SUM(F92:R92)</f>
        <v>73.712000000000003</v>
      </c>
      <c r="U92" s="531">
        <f>SUM(U86:U87)/500</f>
        <v>5942.7340000000004</v>
      </c>
      <c r="V92" s="768">
        <f>(T92/U92)*100</f>
        <v>1.2403718557822039</v>
      </c>
      <c r="X92" s="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G92" s="142"/>
      <c r="BH92" s="14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2"/>
      <c r="DA92" s="1"/>
      <c r="DS92" s="5"/>
      <c r="DT92" s="142"/>
      <c r="DU92" s="142"/>
      <c r="DV92" s="142"/>
      <c r="DW92" s="142"/>
      <c r="FZ92" s="142"/>
      <c r="JU92" s="142"/>
      <c r="JV92" s="142"/>
      <c r="JW92" s="142"/>
      <c r="JX92" s="142"/>
      <c r="PB92" s="142"/>
      <c r="PC92" s="142"/>
      <c r="PE92" s="142"/>
      <c r="PS92" s="145"/>
      <c r="PW92" s="142"/>
      <c r="RZ92" s="145"/>
      <c r="AHI92" s="141"/>
      <c r="AIX92" s="141"/>
      <c r="AIY92" s="141"/>
      <c r="AIZ92" s="141"/>
    </row>
    <row r="93" spans="2:936" hidden="1" x14ac:dyDescent="0.25">
      <c r="B93" s="727"/>
      <c r="C93" s="418" t="s">
        <v>32</v>
      </c>
      <c r="D93" s="48"/>
      <c r="E93" s="48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3"/>
      <c r="T93" s="521" t="s">
        <v>131</v>
      </c>
      <c r="U93" s="676" t="s">
        <v>131</v>
      </c>
      <c r="V93" s="775" t="s">
        <v>131</v>
      </c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DA93" s="1"/>
    </row>
    <row r="94" spans="2:936" hidden="1" x14ac:dyDescent="0.25">
      <c r="B94" s="730"/>
      <c r="C94" s="568" t="s">
        <v>29</v>
      </c>
      <c r="D94" s="475"/>
      <c r="E94" s="463"/>
      <c r="F94" s="438"/>
      <c r="G94" s="438" t="e">
        <v>#REF!</v>
      </c>
      <c r="H94" s="438"/>
      <c r="I94" s="438"/>
      <c r="J94" s="438"/>
      <c r="K94" s="438"/>
      <c r="L94" s="438"/>
      <c r="M94" s="438"/>
      <c r="N94" s="438"/>
      <c r="O94" s="438"/>
      <c r="P94" s="438"/>
      <c r="Q94" s="438"/>
      <c r="R94" s="438"/>
      <c r="S94" s="718"/>
      <c r="T94" s="63" t="s">
        <v>29</v>
      </c>
      <c r="U94" s="687" t="s">
        <v>29</v>
      </c>
      <c r="V94" s="784" t="s">
        <v>29</v>
      </c>
      <c r="X94" s="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30"/>
      <c r="C95" s="461" t="s">
        <v>49</v>
      </c>
      <c r="D95" s="475"/>
      <c r="E95" s="495" t="s">
        <v>31</v>
      </c>
      <c r="F95" s="33">
        <f>'[3]Januari 24'!AL74</f>
        <v>17197</v>
      </c>
      <c r="G95" s="33" t="e">
        <v>#REF!</v>
      </c>
      <c r="H95" s="33">
        <v>0</v>
      </c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718"/>
      <c r="T95" s="54" t="e">
        <f t="shared" ref="T95:V96" si="4">SUM(F95:R95)</f>
        <v>#REF!</v>
      </c>
      <c r="U95" s="665" t="e">
        <f t="shared" si="4"/>
        <v>#REF!</v>
      </c>
      <c r="V95" s="785" t="e">
        <f t="shared" si="4"/>
        <v>#REF!</v>
      </c>
      <c r="X95" s="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42"/>
      <c r="BH95" s="142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2"/>
      <c r="DA95" s="1"/>
      <c r="DS95" s="5"/>
      <c r="DT95" s="142"/>
      <c r="DU95" s="142"/>
      <c r="DV95" s="142"/>
      <c r="DW95" s="142"/>
      <c r="FZ95" s="142"/>
      <c r="JU95" s="142"/>
      <c r="JV95" s="142"/>
      <c r="JW95" s="142"/>
      <c r="JX95" s="142"/>
      <c r="PB95" s="142"/>
      <c r="PC95" s="142"/>
      <c r="PE95" s="142"/>
      <c r="PS95" s="145"/>
      <c r="PW95" s="142"/>
      <c r="RZ95" s="145"/>
      <c r="AHI95" s="141"/>
      <c r="AIX95" s="141"/>
      <c r="AIY95" s="141"/>
      <c r="AIZ95" s="141"/>
    </row>
    <row r="96" spans="2:936" hidden="1" x14ac:dyDescent="0.25">
      <c r="B96" s="730"/>
      <c r="C96" s="461" t="s">
        <v>48</v>
      </c>
      <c r="D96" s="475"/>
      <c r="E96" s="495" t="s">
        <v>31</v>
      </c>
      <c r="F96" s="33">
        <f>'[3]Januari 24'!AL75</f>
        <v>19659</v>
      </c>
      <c r="G96" s="33"/>
      <c r="H96" s="33">
        <v>0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18"/>
      <c r="T96" s="54">
        <f t="shared" si="4"/>
        <v>19659</v>
      </c>
      <c r="U96" s="665">
        <f t="shared" si="4"/>
        <v>0</v>
      </c>
      <c r="V96" s="785">
        <f t="shared" si="4"/>
        <v>19659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30"/>
      <c r="C97" s="568" t="s">
        <v>28</v>
      </c>
      <c r="D97" s="475"/>
      <c r="E97" s="463"/>
      <c r="F97" s="33"/>
      <c r="G97" s="33" t="e">
        <v>#REF!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718"/>
      <c r="T97" s="63" t="s">
        <v>28</v>
      </c>
      <c r="U97" s="687" t="s">
        <v>28</v>
      </c>
      <c r="V97" s="784" t="s">
        <v>28</v>
      </c>
      <c r="X97" s="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802"/>
      <c r="AK97" s="802"/>
      <c r="AL97" s="802"/>
      <c r="AM97" s="802"/>
      <c r="AN97" s="802"/>
      <c r="AO97" s="802"/>
      <c r="AP97" s="802"/>
      <c r="AQ97" s="802"/>
      <c r="AR97" s="802"/>
      <c r="AS97" s="802"/>
      <c r="AX97" s="1"/>
      <c r="BG97" s="142"/>
      <c r="BH97" s="14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   <c r="FZ97" s="142"/>
      <c r="JU97" s="142"/>
      <c r="JV97" s="142"/>
      <c r="JW97" s="142"/>
      <c r="JX97" s="142"/>
      <c r="PB97" s="142"/>
      <c r="PC97" s="142"/>
      <c r="PE97" s="142"/>
      <c r="PS97" s="145"/>
      <c r="PW97" s="142"/>
      <c r="RZ97" s="145"/>
      <c r="AHI97" s="141"/>
      <c r="AIX97" s="141"/>
      <c r="AIY97" s="141"/>
      <c r="AIZ97" s="141"/>
    </row>
    <row r="98" spans="2:936" hidden="1" x14ac:dyDescent="0.25">
      <c r="B98" s="730"/>
      <c r="C98" s="461" t="s">
        <v>49</v>
      </c>
      <c r="D98" s="475"/>
      <c r="E98" s="495" t="s">
        <v>28</v>
      </c>
      <c r="F98" s="576">
        <f>F95*12</f>
        <v>206364</v>
      </c>
      <c r="G98" s="576" t="e">
        <v>#REF!</v>
      </c>
      <c r="H98" s="576">
        <v>0</v>
      </c>
      <c r="I98" s="576"/>
      <c r="J98" s="576"/>
      <c r="K98" s="576"/>
      <c r="L98" s="576"/>
      <c r="M98" s="576"/>
      <c r="N98" s="576"/>
      <c r="O98" s="576"/>
      <c r="P98" s="576"/>
      <c r="Q98" s="576"/>
      <c r="R98" s="576"/>
      <c r="S98" s="718"/>
      <c r="T98" s="54" t="e">
        <f t="shared" ref="T98:V99" si="5">SUM(F98:R98)</f>
        <v>#REF!</v>
      </c>
      <c r="U98" s="665" t="e">
        <f t="shared" si="5"/>
        <v>#REF!</v>
      </c>
      <c r="V98" s="785" t="e">
        <f t="shared" si="5"/>
        <v>#REF!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812"/>
      <c r="AK98" s="802"/>
      <c r="AL98" s="802"/>
      <c r="AM98" s="802"/>
      <c r="AN98" s="813"/>
      <c r="AO98" s="802"/>
      <c r="AP98" s="802"/>
      <c r="AQ98" s="802"/>
      <c r="AR98" s="802"/>
      <c r="AS98" s="802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30"/>
      <c r="C99" s="461" t="s">
        <v>48</v>
      </c>
      <c r="D99" s="475"/>
      <c r="E99" s="495" t="s">
        <v>28</v>
      </c>
      <c r="F99" s="576">
        <f>F96*6</f>
        <v>117954</v>
      </c>
      <c r="G99" s="576"/>
      <c r="H99" s="576">
        <v>0</v>
      </c>
      <c r="I99" s="576"/>
      <c r="J99" s="576"/>
      <c r="K99" s="576"/>
      <c r="L99" s="576"/>
      <c r="M99" s="576"/>
      <c r="N99" s="576"/>
      <c r="O99" s="576"/>
      <c r="P99" s="576"/>
      <c r="Q99" s="576"/>
      <c r="R99" s="576"/>
      <c r="S99" s="718"/>
      <c r="T99" s="54">
        <f t="shared" si="5"/>
        <v>117954</v>
      </c>
      <c r="U99" s="665">
        <f t="shared" si="5"/>
        <v>0</v>
      </c>
      <c r="V99" s="785">
        <f t="shared" si="5"/>
        <v>117954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802"/>
      <c r="AK99" s="802"/>
      <c r="AL99" s="802"/>
      <c r="AM99" s="802"/>
      <c r="AN99" s="802"/>
      <c r="AO99" s="802"/>
      <c r="AP99" s="802"/>
      <c r="AQ99" s="802"/>
      <c r="AR99" s="802"/>
      <c r="AS99" s="802"/>
      <c r="AX99" s="1"/>
      <c r="BG99" s="142"/>
      <c r="BH99" s="14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2"/>
      <c r="DA99" s="1"/>
      <c r="DS99" s="5"/>
      <c r="DT99" s="142"/>
      <c r="DU99" s="142"/>
      <c r="DV99" s="142"/>
      <c r="DW99" s="142"/>
      <c r="FZ99" s="142"/>
      <c r="JU99" s="142"/>
      <c r="JV99" s="142"/>
      <c r="JW99" s="142"/>
      <c r="JX99" s="142"/>
      <c r="PB99" s="142"/>
      <c r="PC99" s="142"/>
      <c r="PE99" s="142"/>
      <c r="PS99" s="145"/>
      <c r="PW99" s="142"/>
      <c r="RZ99" s="145"/>
      <c r="AHI99" s="141"/>
      <c r="AIX99" s="141"/>
      <c r="AIY99" s="141"/>
      <c r="AIZ99" s="141"/>
    </row>
    <row r="100" spans="2:936" hidden="1" x14ac:dyDescent="0.25">
      <c r="B100" s="727"/>
      <c r="C100" s="418" t="s">
        <v>30</v>
      </c>
      <c r="D100" s="48"/>
      <c r="E100" s="48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3"/>
      <c r="T100" s="521" t="s">
        <v>131</v>
      </c>
      <c r="U100" s="676" t="s">
        <v>131</v>
      </c>
      <c r="V100" s="775" t="s">
        <v>131</v>
      </c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802"/>
      <c r="AK100" s="802"/>
      <c r="AL100" s="802"/>
      <c r="AM100" s="802"/>
      <c r="AN100" s="802"/>
      <c r="AO100" s="802"/>
      <c r="AP100" s="802"/>
      <c r="AQ100" s="802"/>
      <c r="AR100" s="802"/>
      <c r="AS100" s="802"/>
      <c r="AX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DA100" s="1"/>
    </row>
    <row r="101" spans="2:936" hidden="1" x14ac:dyDescent="0.25">
      <c r="B101" s="730"/>
      <c r="C101" s="568" t="s">
        <v>29</v>
      </c>
      <c r="D101" s="475"/>
      <c r="E101" s="463"/>
      <c r="F101" s="438"/>
      <c r="G101" s="438" t="e">
        <v>#REF!</v>
      </c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718"/>
      <c r="T101" s="63" t="s">
        <v>29</v>
      </c>
      <c r="U101" s="687" t="s">
        <v>29</v>
      </c>
      <c r="V101" s="784" t="s">
        <v>29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802"/>
      <c r="AK101" s="802"/>
      <c r="AL101" s="802"/>
      <c r="AM101" s="802"/>
      <c r="AN101" s="802"/>
      <c r="AO101" s="802"/>
      <c r="AP101" s="802"/>
      <c r="AQ101" s="802"/>
      <c r="AR101" s="802"/>
      <c r="AS101" s="802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30"/>
      <c r="C102" s="461" t="s">
        <v>49</v>
      </c>
      <c r="D102" s="462">
        <v>0.3</v>
      </c>
      <c r="E102" s="495" t="s">
        <v>25</v>
      </c>
      <c r="F102" s="439">
        <f>F95/F86*100</f>
        <v>100</v>
      </c>
      <c r="G102" s="439" t="e">
        <v>#REF!</v>
      </c>
      <c r="H102" s="439" t="e">
        <v>#DIV/0!</v>
      </c>
      <c r="I102" s="577"/>
      <c r="J102" s="577"/>
      <c r="K102" s="577"/>
      <c r="L102" s="577"/>
      <c r="M102" s="577"/>
      <c r="N102" s="577"/>
      <c r="O102" s="577"/>
      <c r="P102" s="577"/>
      <c r="Q102" s="577"/>
      <c r="R102" s="577"/>
      <c r="S102" s="718"/>
      <c r="T102" s="58" t="e">
        <f t="shared" ref="T102:V103" si="6">T95/T86*100</f>
        <v>#REF!</v>
      </c>
      <c r="U102" s="668" t="e">
        <f t="shared" si="6"/>
        <v>#REF!</v>
      </c>
      <c r="V102" s="768" t="e">
        <f t="shared" si="6"/>
        <v>#REF!</v>
      </c>
      <c r="X102" s="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802"/>
      <c r="AK102" s="802"/>
      <c r="AL102" s="802"/>
      <c r="AM102" s="802"/>
      <c r="AN102" s="802"/>
      <c r="AO102" s="802"/>
      <c r="AP102" s="802"/>
      <c r="AQ102" s="802"/>
      <c r="AR102" s="802"/>
      <c r="AS102" s="802"/>
      <c r="AX102" s="1"/>
      <c r="BG102" s="142"/>
      <c r="BH102" s="142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2"/>
      <c r="DA102" s="1"/>
      <c r="DS102" s="5"/>
      <c r="DT102" s="142"/>
      <c r="DU102" s="142"/>
      <c r="DV102" s="142"/>
      <c r="DW102" s="142"/>
      <c r="FZ102" s="142"/>
      <c r="JU102" s="142"/>
      <c r="JV102" s="142"/>
      <c r="JW102" s="142"/>
      <c r="JX102" s="142"/>
      <c r="PB102" s="142"/>
      <c r="PC102" s="142"/>
      <c r="PE102" s="142"/>
      <c r="PS102" s="145"/>
      <c r="PW102" s="142"/>
      <c r="RZ102" s="145"/>
      <c r="AHI102" s="141"/>
      <c r="AIX102" s="141"/>
      <c r="AIY102" s="141"/>
      <c r="AIZ102" s="141"/>
    </row>
    <row r="103" spans="2:936" hidden="1" x14ac:dyDescent="0.25">
      <c r="B103" s="730"/>
      <c r="C103" s="461" t="s">
        <v>48</v>
      </c>
      <c r="D103" s="462">
        <v>0.3</v>
      </c>
      <c r="E103" s="495" t="s">
        <v>25</v>
      </c>
      <c r="F103" s="439">
        <f>F96/F87*100</f>
        <v>100</v>
      </c>
      <c r="G103" s="439"/>
      <c r="H103" s="439" t="e">
        <v>#DIV/0!</v>
      </c>
      <c r="I103" s="577"/>
      <c r="J103" s="577"/>
      <c r="K103" s="577"/>
      <c r="L103" s="577"/>
      <c r="M103" s="577"/>
      <c r="N103" s="577"/>
      <c r="O103" s="577"/>
      <c r="P103" s="577"/>
      <c r="Q103" s="577"/>
      <c r="R103" s="577"/>
      <c r="S103" s="718"/>
      <c r="T103" s="58">
        <f t="shared" si="6"/>
        <v>100</v>
      </c>
      <c r="U103" s="668">
        <f t="shared" si="6"/>
        <v>0</v>
      </c>
      <c r="V103" s="768">
        <f t="shared" si="6"/>
        <v>1716790.0000000002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802"/>
      <c r="AK103" s="802"/>
      <c r="AL103" s="802"/>
      <c r="AM103" s="802"/>
      <c r="AN103" s="802"/>
      <c r="AO103" s="802"/>
      <c r="AP103" s="802"/>
      <c r="AQ103" s="802"/>
      <c r="AR103" s="802"/>
      <c r="AS103" s="802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30"/>
      <c r="C104" s="568" t="s">
        <v>28</v>
      </c>
      <c r="D104" s="462"/>
      <c r="E104" s="463"/>
      <c r="F104" s="439"/>
      <c r="G104" s="439" t="e">
        <v>#REF!</v>
      </c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718"/>
      <c r="T104" s="63" t="s">
        <v>28</v>
      </c>
      <c r="U104" s="687" t="s">
        <v>28</v>
      </c>
      <c r="V104" s="784" t="s">
        <v>28</v>
      </c>
      <c r="X104" s="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802"/>
      <c r="AK104" s="802"/>
      <c r="AL104" s="802"/>
      <c r="AM104" s="802"/>
      <c r="AN104" s="802"/>
      <c r="AO104" s="802"/>
      <c r="AP104" s="802"/>
      <c r="AQ104" s="802"/>
      <c r="AR104" s="802"/>
      <c r="AS104" s="802"/>
      <c r="AX104" s="1"/>
      <c r="BG104" s="142"/>
      <c r="BH104" s="14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2"/>
      <c r="DA104" s="1"/>
      <c r="DS104" s="5"/>
      <c r="DT104" s="142"/>
      <c r="DU104" s="142"/>
      <c r="DV104" s="142"/>
      <c r="DW104" s="142"/>
      <c r="FZ104" s="142"/>
      <c r="JU104" s="142"/>
      <c r="JV104" s="142"/>
      <c r="JW104" s="142"/>
      <c r="JX104" s="142"/>
      <c r="PB104" s="142"/>
      <c r="PC104" s="142"/>
      <c r="PE104" s="142"/>
      <c r="PS104" s="145"/>
      <c r="PW104" s="142"/>
      <c r="RZ104" s="145"/>
      <c r="AHI104" s="141"/>
      <c r="AIX104" s="141"/>
      <c r="AIY104" s="141"/>
      <c r="AIZ104" s="141"/>
    </row>
    <row r="105" spans="2:936" hidden="1" x14ac:dyDescent="0.25">
      <c r="B105" s="730"/>
      <c r="C105" s="461" t="s">
        <v>49</v>
      </c>
      <c r="D105" s="462">
        <v>0.5</v>
      </c>
      <c r="E105" s="495" t="s">
        <v>25</v>
      </c>
      <c r="F105" s="439">
        <f>F98/F89*100</f>
        <v>100</v>
      </c>
      <c r="G105" s="439" t="e">
        <v>#REF!</v>
      </c>
      <c r="H105" s="439" t="e">
        <v>#DIV/0!</v>
      </c>
      <c r="I105" s="577"/>
      <c r="J105" s="577"/>
      <c r="K105" s="577"/>
      <c r="L105" s="577"/>
      <c r="M105" s="577"/>
      <c r="N105" s="577"/>
      <c r="O105" s="577"/>
      <c r="P105" s="577"/>
      <c r="Q105" s="577"/>
      <c r="R105" s="577"/>
      <c r="S105" s="718"/>
      <c r="T105" s="58" t="e">
        <f t="shared" ref="T105:V106" si="7">T98/T89*100</f>
        <v>#REF!</v>
      </c>
      <c r="U105" s="668" t="e">
        <f t="shared" si="7"/>
        <v>#REF!</v>
      </c>
      <c r="V105" s="768" t="e">
        <f t="shared" si="7"/>
        <v>#REF!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802"/>
      <c r="AK105" s="802"/>
      <c r="AL105" s="802"/>
      <c r="AM105" s="802"/>
      <c r="AN105" s="802"/>
      <c r="AO105" s="802"/>
      <c r="AP105" s="802"/>
      <c r="AQ105" s="802"/>
      <c r="AR105" s="802"/>
      <c r="AS105" s="802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30"/>
      <c r="C106" s="461" t="s">
        <v>48</v>
      </c>
      <c r="D106" s="462">
        <v>0.5</v>
      </c>
      <c r="E106" s="495" t="s">
        <v>25</v>
      </c>
      <c r="F106" s="439">
        <f>F99/F90*100</f>
        <v>100</v>
      </c>
      <c r="G106" s="439"/>
      <c r="H106" s="439" t="e">
        <v>#DIV/0!</v>
      </c>
      <c r="I106" s="577"/>
      <c r="J106" s="577"/>
      <c r="K106" s="577"/>
      <c r="L106" s="577"/>
      <c r="M106" s="577"/>
      <c r="N106" s="577"/>
      <c r="O106" s="577"/>
      <c r="P106" s="577"/>
      <c r="Q106" s="577"/>
      <c r="R106" s="577"/>
      <c r="S106" s="718"/>
      <c r="T106" s="58">
        <f t="shared" si="7"/>
        <v>100</v>
      </c>
      <c r="U106" s="668">
        <f t="shared" si="7"/>
        <v>0</v>
      </c>
      <c r="V106" s="768">
        <f t="shared" si="7"/>
        <v>10300740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802"/>
      <c r="AK106" s="802"/>
      <c r="AL106" s="802"/>
      <c r="AM106" s="802"/>
      <c r="AN106" s="802"/>
      <c r="AO106" s="802"/>
      <c r="AP106" s="802"/>
      <c r="AQ106" s="802"/>
      <c r="AR106" s="802"/>
      <c r="AS106" s="802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145"/>
      <c r="PW106" s="142"/>
      <c r="RZ106" s="145"/>
      <c r="AHI106" s="141"/>
      <c r="AIX106" s="141"/>
      <c r="AIY106" s="141"/>
      <c r="AIZ106" s="141"/>
    </row>
    <row r="107" spans="2:936" hidden="1" x14ac:dyDescent="0.25">
      <c r="B107" s="726">
        <v>6</v>
      </c>
      <c r="C107" s="418" t="s">
        <v>47</v>
      </c>
      <c r="D107" s="48"/>
      <c r="E107" s="48"/>
      <c r="F107" s="50"/>
      <c r="G107" s="50" t="e">
        <v>#REF!</v>
      </c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3"/>
      <c r="T107" s="521" t="s">
        <v>130</v>
      </c>
      <c r="U107" s="676" t="s">
        <v>130</v>
      </c>
      <c r="V107" s="775" t="s">
        <v>130</v>
      </c>
      <c r="X107" s="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802"/>
      <c r="AK107" s="802"/>
      <c r="AL107" s="802"/>
      <c r="AM107" s="802"/>
      <c r="AN107" s="802"/>
      <c r="AO107" s="802"/>
      <c r="AP107" s="802"/>
      <c r="AQ107" s="802"/>
      <c r="AR107" s="802"/>
      <c r="AS107" s="802"/>
      <c r="AX107" s="1"/>
      <c r="BG107" s="141"/>
      <c r="BH107" s="14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1"/>
      <c r="DA107" s="1"/>
      <c r="DS107" s="5"/>
      <c r="DT107" s="141"/>
      <c r="DU107" s="141"/>
      <c r="DV107" s="141"/>
      <c r="DW107" s="141"/>
      <c r="FZ107" s="141"/>
      <c r="JU107" s="141"/>
      <c r="JV107" s="141"/>
      <c r="JW107" s="141"/>
      <c r="JX107" s="141"/>
      <c r="PB107" s="141"/>
      <c r="PC107" s="141"/>
      <c r="PE107" s="141"/>
      <c r="PS107" s="480"/>
      <c r="PW107" s="141"/>
      <c r="RZ107" s="480"/>
      <c r="AHI107" s="141"/>
      <c r="AIX107" s="141"/>
      <c r="AIY107" s="141"/>
      <c r="AIZ107" s="141"/>
    </row>
    <row r="108" spans="2:936" hidden="1" x14ac:dyDescent="0.25">
      <c r="B108" s="727"/>
      <c r="C108" s="578" t="s">
        <v>46</v>
      </c>
      <c r="D108" s="579"/>
      <c r="E108" s="20" t="s">
        <v>14</v>
      </c>
      <c r="F108" s="580">
        <f>'[3]Januari 24'!AL96</f>
        <v>461724.07999999996</v>
      </c>
      <c r="G108" s="581">
        <v>0</v>
      </c>
      <c r="H108" s="580">
        <v>0</v>
      </c>
      <c r="I108" s="580"/>
      <c r="J108" s="580"/>
      <c r="K108" s="580"/>
      <c r="L108" s="580"/>
      <c r="M108" s="580"/>
      <c r="N108" s="580"/>
      <c r="O108" s="580"/>
      <c r="P108" s="580"/>
      <c r="Q108" s="580"/>
      <c r="R108" s="580"/>
      <c r="S108" s="732"/>
      <c r="T108" s="89" t="e">
        <f>SUM(T109:T110)</f>
        <v>#REF!</v>
      </c>
      <c r="U108" s="685" t="e">
        <f>SUM(U109:U110)</f>
        <v>#REF!</v>
      </c>
      <c r="V108" s="786" t="e">
        <f>SUM(V109:V110)</f>
        <v>#REF!</v>
      </c>
      <c r="X108" s="814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812"/>
      <c r="AK108" s="812"/>
      <c r="AL108" s="812"/>
      <c r="AM108" s="812"/>
      <c r="AN108" s="812"/>
      <c r="AO108" s="812"/>
      <c r="AP108" s="812"/>
      <c r="AQ108" s="812"/>
      <c r="AR108" s="812"/>
      <c r="AS108" s="812"/>
      <c r="AX108" s="1"/>
      <c r="BG108" s="146"/>
      <c r="BH108" s="146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6"/>
      <c r="DA108" s="1"/>
      <c r="DS108" s="434"/>
      <c r="DT108" s="146"/>
      <c r="DU108" s="146"/>
      <c r="DV108" s="146"/>
      <c r="DW108" s="146"/>
      <c r="FZ108" s="146"/>
      <c r="JU108" s="146"/>
      <c r="JV108" s="146"/>
      <c r="JW108" s="146"/>
      <c r="JX108" s="146"/>
      <c r="PB108" s="146"/>
      <c r="PC108" s="146"/>
      <c r="PE108" s="146"/>
      <c r="PS108" s="562"/>
      <c r="PW108" s="146"/>
      <c r="RZ108" s="562"/>
      <c r="AHI108" s="151"/>
      <c r="AIX108" s="151"/>
      <c r="AIY108" s="151"/>
      <c r="AIZ108" s="151"/>
    </row>
    <row r="109" spans="2:936" hidden="1" x14ac:dyDescent="0.25">
      <c r="B109" s="730"/>
      <c r="C109" s="568" t="s">
        <v>39</v>
      </c>
      <c r="D109" s="475"/>
      <c r="E109" s="495" t="s">
        <v>14</v>
      </c>
      <c r="F109" s="439">
        <f>SUM(F113:F114)*10.86</f>
        <v>463439.63999999996</v>
      </c>
      <c r="G109" s="525" t="e">
        <v>#REF!</v>
      </c>
      <c r="H109" s="523">
        <v>0</v>
      </c>
      <c r="I109" s="439"/>
      <c r="J109" s="525"/>
      <c r="K109" s="439"/>
      <c r="L109" s="525"/>
      <c r="M109" s="439"/>
      <c r="N109" s="525"/>
      <c r="O109" s="525"/>
      <c r="P109" s="525"/>
      <c r="Q109" s="525"/>
      <c r="R109" s="439"/>
      <c r="S109" s="718"/>
      <c r="T109" s="58" t="e">
        <f t="shared" ref="T109:V110" si="8">SUM(F109:R109)</f>
        <v>#REF!</v>
      </c>
      <c r="U109" s="668" t="e">
        <f t="shared" si="8"/>
        <v>#REF!</v>
      </c>
      <c r="V109" s="768" t="e">
        <f t="shared" si="8"/>
        <v>#REF!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815"/>
      <c r="AK109" s="812"/>
      <c r="AL109" s="812"/>
      <c r="AM109" s="812"/>
      <c r="AN109" s="812"/>
      <c r="AO109" s="812"/>
      <c r="AP109" s="802"/>
      <c r="AQ109" s="802"/>
      <c r="AR109" s="802"/>
      <c r="AS109" s="802"/>
      <c r="AX109" s="1"/>
      <c r="BG109" s="142"/>
      <c r="BH109" s="14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2"/>
      <c r="DA109" s="1"/>
      <c r="DS109" s="5"/>
      <c r="DT109" s="142"/>
      <c r="DU109" s="142"/>
      <c r="DV109" s="142"/>
      <c r="DW109" s="142"/>
      <c r="FZ109" s="142"/>
      <c r="JU109" s="142"/>
      <c r="JV109" s="142"/>
      <c r="JW109" s="142"/>
      <c r="JX109" s="142"/>
      <c r="PB109" s="142"/>
      <c r="PC109" s="582"/>
      <c r="PE109" s="142"/>
      <c r="PS109" s="145"/>
      <c r="PW109" s="142"/>
      <c r="RZ109" s="145"/>
      <c r="AHI109" s="141"/>
      <c r="AIX109" s="141"/>
      <c r="AIY109" s="141"/>
      <c r="AIZ109" s="141"/>
    </row>
    <row r="110" spans="2:936" hidden="1" x14ac:dyDescent="0.25">
      <c r="B110" s="730"/>
      <c r="C110" s="568" t="s">
        <v>38</v>
      </c>
      <c r="D110" s="475"/>
      <c r="E110" s="495" t="s">
        <v>14</v>
      </c>
      <c r="F110" s="439">
        <f>F108-F109</f>
        <v>-1715.5599999999977</v>
      </c>
      <c r="G110" s="523">
        <v>0</v>
      </c>
      <c r="H110" s="523">
        <v>0</v>
      </c>
      <c r="I110" s="439"/>
      <c r="J110" s="525"/>
      <c r="K110" s="439"/>
      <c r="L110" s="525"/>
      <c r="M110" s="439"/>
      <c r="N110" s="525"/>
      <c r="O110" s="525"/>
      <c r="P110" s="525"/>
      <c r="Q110" s="525"/>
      <c r="R110" s="439"/>
      <c r="S110" s="718"/>
      <c r="T110" s="58">
        <f t="shared" si="8"/>
        <v>-1715.5599999999977</v>
      </c>
      <c r="U110" s="668">
        <f t="shared" si="8"/>
        <v>0</v>
      </c>
      <c r="V110" s="768">
        <f t="shared" si="8"/>
        <v>-1715.5599999999977</v>
      </c>
      <c r="X110" s="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802"/>
      <c r="AK110" s="802"/>
      <c r="AL110" s="802"/>
      <c r="AM110" s="802"/>
      <c r="AN110" s="802"/>
      <c r="AO110" s="802"/>
      <c r="AP110" s="802"/>
      <c r="AQ110" s="802"/>
      <c r="AR110" s="802"/>
      <c r="AS110" s="802"/>
      <c r="AX110" s="1"/>
      <c r="BG110" s="142"/>
      <c r="BH110" s="142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2"/>
      <c r="DA110" s="1"/>
      <c r="DS110" s="5"/>
      <c r="DT110" s="142"/>
      <c r="DU110" s="142"/>
      <c r="DV110" s="142"/>
      <c r="DW110" s="142"/>
      <c r="FZ110" s="142"/>
      <c r="JU110" s="142"/>
      <c r="JV110" s="142"/>
      <c r="JW110" s="142"/>
      <c r="JX110" s="142"/>
      <c r="PB110" s="142"/>
      <c r="PC110" s="142"/>
      <c r="PE110" s="142"/>
      <c r="PS110" s="145"/>
      <c r="PW110" s="142"/>
      <c r="RZ110" s="145"/>
      <c r="AHI110" s="141"/>
      <c r="AIX110" s="141"/>
      <c r="AIY110" s="141"/>
      <c r="AIZ110" s="141"/>
    </row>
    <row r="111" spans="2:936" hidden="1" x14ac:dyDescent="0.25">
      <c r="B111" s="730"/>
      <c r="C111" s="568" t="s">
        <v>50</v>
      </c>
      <c r="D111" s="475"/>
      <c r="E111" s="495" t="s">
        <v>14</v>
      </c>
      <c r="F111" s="439"/>
      <c r="G111" s="523"/>
      <c r="H111" s="439">
        <v>0</v>
      </c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718"/>
      <c r="T111" s="58"/>
      <c r="U111" s="668"/>
      <c r="V111" s="768"/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802"/>
      <c r="AK111" s="802"/>
      <c r="AL111" s="802"/>
      <c r="AM111" s="802"/>
      <c r="AN111" s="802"/>
      <c r="AO111" s="802"/>
      <c r="AP111" s="802"/>
      <c r="AQ111" s="802"/>
      <c r="AR111" s="802"/>
      <c r="AS111" s="802"/>
      <c r="AX111" s="1"/>
      <c r="BG111" s="142"/>
      <c r="BH111" s="14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2"/>
      <c r="DA111" s="1"/>
      <c r="DS111" s="5"/>
      <c r="DT111" s="142"/>
      <c r="DU111" s="142"/>
      <c r="DV111" s="142"/>
      <c r="DW111" s="142"/>
      <c r="FZ111" s="142"/>
      <c r="JU111" s="142"/>
      <c r="JV111" s="142"/>
      <c r="JW111" s="142"/>
      <c r="JX111" s="142"/>
      <c r="PB111" s="142"/>
      <c r="PC111" s="142"/>
      <c r="PE111" s="142"/>
      <c r="PS111" s="145"/>
      <c r="PW111" s="142"/>
      <c r="RZ111" s="145"/>
      <c r="AHI111" s="141"/>
      <c r="AIX111" s="141"/>
      <c r="AIY111" s="141"/>
      <c r="AIZ111" s="141"/>
    </row>
    <row r="112" spans="2:936" hidden="1" x14ac:dyDescent="0.25">
      <c r="B112" s="730"/>
      <c r="C112" s="568" t="s">
        <v>29</v>
      </c>
      <c r="D112" s="475"/>
      <c r="E112" s="463"/>
      <c r="F112" s="438"/>
      <c r="G112" s="438">
        <v>0</v>
      </c>
      <c r="H112" s="438"/>
      <c r="I112" s="438"/>
      <c r="J112" s="438"/>
      <c r="K112" s="438"/>
      <c r="L112" s="438"/>
      <c r="M112" s="438"/>
      <c r="N112" s="438"/>
      <c r="O112" s="438"/>
      <c r="P112" s="438"/>
      <c r="Q112" s="438"/>
      <c r="R112" s="438"/>
      <c r="S112" s="718"/>
      <c r="T112" s="63" t="s">
        <v>29</v>
      </c>
      <c r="U112" s="687" t="s">
        <v>29</v>
      </c>
      <c r="V112" s="784" t="s">
        <v>29</v>
      </c>
      <c r="X112" s="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802"/>
      <c r="AK112" s="802"/>
      <c r="AL112" s="802"/>
      <c r="AM112" s="802"/>
      <c r="AN112" s="802"/>
      <c r="AO112" s="802"/>
      <c r="AP112" s="802"/>
      <c r="AQ112" s="802"/>
      <c r="AR112" s="802"/>
      <c r="AS112" s="802"/>
      <c r="AX112" s="1"/>
      <c r="BG112" s="142"/>
      <c r="BH112" s="142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2"/>
      <c r="DA112" s="1"/>
      <c r="DS112" s="5"/>
      <c r="DT112" s="142"/>
      <c r="DU112" s="142"/>
      <c r="DV112" s="142"/>
      <c r="DW112" s="142"/>
      <c r="FZ112" s="142"/>
      <c r="JU112" s="142"/>
      <c r="JV112" s="142"/>
      <c r="JW112" s="142"/>
      <c r="JX112" s="142"/>
      <c r="PB112" s="142"/>
      <c r="PC112" s="142"/>
      <c r="PE112" s="142"/>
      <c r="PS112" s="145"/>
      <c r="PW112" s="142"/>
      <c r="RZ112" s="145"/>
      <c r="AHI112" s="141"/>
      <c r="AIX112" s="141"/>
      <c r="AIY112" s="141"/>
      <c r="AIZ112" s="141"/>
    </row>
    <row r="113" spans="2:936" hidden="1" x14ac:dyDescent="0.25">
      <c r="B113" s="731"/>
      <c r="C113" s="435" t="s">
        <v>45</v>
      </c>
      <c r="D113" s="436"/>
      <c r="E113" s="572" t="s">
        <v>31</v>
      </c>
      <c r="F113" s="282">
        <f>'[3]Januari 24'!AL101</f>
        <v>7439</v>
      </c>
      <c r="G113" s="282">
        <v>0</v>
      </c>
      <c r="H113" s="282">
        <v>0</v>
      </c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720"/>
      <c r="T113" s="91">
        <f>SUM(F113:R113)</f>
        <v>7439</v>
      </c>
      <c r="U113" s="688">
        <v>1518699</v>
      </c>
      <c r="V113" s="768">
        <f>(T113/U113)*100</f>
        <v>0.48982714810505573</v>
      </c>
      <c r="X113" s="37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816"/>
      <c r="AK113" s="816"/>
      <c r="AL113" s="816"/>
      <c r="AM113" s="816"/>
      <c r="AN113" s="816"/>
      <c r="AO113" s="816"/>
      <c r="AP113" s="816"/>
      <c r="AQ113" s="816"/>
      <c r="AR113" s="816"/>
      <c r="AS113" s="816"/>
      <c r="AX113" s="16"/>
      <c r="BG113" s="148"/>
      <c r="BH113" s="148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8"/>
      <c r="DA113" s="1"/>
      <c r="DS113" s="516"/>
      <c r="DT113" s="148"/>
      <c r="DU113" s="148"/>
      <c r="DV113" s="148"/>
      <c r="DW113" s="148"/>
      <c r="FZ113" s="148"/>
      <c r="JU113" s="148"/>
      <c r="JV113" s="148"/>
      <c r="JW113" s="148"/>
      <c r="JX113" s="148"/>
      <c r="PB113" s="148"/>
      <c r="PC113" s="148"/>
      <c r="PE113" s="148"/>
      <c r="PS113" s="573"/>
      <c r="PW113" s="148"/>
      <c r="RZ113" s="573"/>
      <c r="AHI113" s="144"/>
      <c r="AIX113" s="144"/>
      <c r="AIY113" s="144"/>
      <c r="AIZ113" s="144"/>
    </row>
    <row r="114" spans="2:936" hidden="1" x14ac:dyDescent="0.25">
      <c r="B114" s="731"/>
      <c r="C114" s="435" t="s">
        <v>44</v>
      </c>
      <c r="D114" s="436"/>
      <c r="E114" s="572" t="s">
        <v>31</v>
      </c>
      <c r="F114" s="282">
        <f>'[3]Januari 24'!AL102</f>
        <v>35235</v>
      </c>
      <c r="G114" s="282"/>
      <c r="H114" s="282">
        <v>0</v>
      </c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720"/>
      <c r="T114" s="91">
        <f>SUM(F114:R114)</f>
        <v>35235</v>
      </c>
      <c r="U114" s="688">
        <v>2112972</v>
      </c>
      <c r="V114" s="768">
        <f>(T114/U114)*100</f>
        <v>1.6675564086982695</v>
      </c>
      <c r="X114" s="37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816"/>
      <c r="AK114" s="816"/>
      <c r="AL114" s="816"/>
      <c r="AM114" s="816"/>
      <c r="AN114" s="816"/>
      <c r="AO114" s="816"/>
      <c r="AP114" s="816"/>
      <c r="AQ114" s="816"/>
      <c r="AR114" s="816"/>
      <c r="AS114" s="816"/>
      <c r="AX114" s="16"/>
      <c r="BG114" s="148"/>
      <c r="BH114" s="148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8"/>
      <c r="DA114" s="1"/>
      <c r="DS114" s="516"/>
      <c r="DT114" s="148"/>
      <c r="DU114" s="148"/>
      <c r="DV114" s="148"/>
      <c r="DW114" s="148"/>
      <c r="FZ114" s="148"/>
      <c r="JU114" s="148"/>
      <c r="JV114" s="148"/>
      <c r="JW114" s="148"/>
      <c r="JX114" s="148"/>
      <c r="PB114" s="148"/>
      <c r="PC114" s="148"/>
      <c r="PE114" s="148"/>
      <c r="PS114" s="573"/>
      <c r="PW114" s="148"/>
      <c r="RZ114" s="573"/>
      <c r="AHI114" s="144"/>
      <c r="AIX114" s="144"/>
      <c r="AIY114" s="144"/>
      <c r="AIZ114" s="144"/>
    </row>
    <row r="115" spans="2:936" hidden="1" x14ac:dyDescent="0.25">
      <c r="B115" s="730"/>
      <c r="C115" s="568" t="s">
        <v>28</v>
      </c>
      <c r="D115" s="475"/>
      <c r="E115" s="463"/>
      <c r="F115" s="438"/>
      <c r="G115" s="438">
        <v>0</v>
      </c>
      <c r="H115" s="438"/>
      <c r="I115" s="438"/>
      <c r="J115" s="438"/>
      <c r="K115" s="438"/>
      <c r="L115" s="438"/>
      <c r="M115" s="438"/>
      <c r="N115" s="438"/>
      <c r="O115" s="438"/>
      <c r="P115" s="438"/>
      <c r="Q115" s="438"/>
      <c r="R115" s="438"/>
      <c r="S115" s="718"/>
      <c r="T115" s="63" t="s">
        <v>28</v>
      </c>
      <c r="U115" s="687" t="s">
        <v>28</v>
      </c>
      <c r="V115" s="784" t="s">
        <v>28</v>
      </c>
      <c r="X115" s="6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802"/>
      <c r="AK115" s="802"/>
      <c r="AL115" s="802"/>
      <c r="AM115" s="802"/>
      <c r="AN115" s="802"/>
      <c r="AO115" s="802"/>
      <c r="AP115" s="802"/>
      <c r="AQ115" s="802"/>
      <c r="AR115" s="802"/>
      <c r="AS115" s="802"/>
      <c r="AX115" s="1"/>
      <c r="BG115" s="142"/>
      <c r="BH115" s="142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2"/>
      <c r="DA115" s="1"/>
      <c r="DS115" s="5"/>
      <c r="DT115" s="142"/>
      <c r="DU115" s="142"/>
      <c r="DV115" s="142"/>
      <c r="DW115" s="142"/>
      <c r="FZ115" s="142"/>
      <c r="JU115" s="142"/>
      <c r="JV115" s="142"/>
      <c r="JW115" s="142"/>
      <c r="JX115" s="142"/>
      <c r="PB115" s="142"/>
      <c r="PC115" s="142"/>
      <c r="PE115" s="142"/>
      <c r="PS115" s="145"/>
      <c r="PW115" s="142"/>
      <c r="RZ115" s="145"/>
      <c r="AHI115" s="141"/>
      <c r="AIX115" s="141"/>
      <c r="AIY115" s="141"/>
      <c r="AIZ115" s="141"/>
    </row>
    <row r="116" spans="2:936" hidden="1" x14ac:dyDescent="0.25">
      <c r="B116" s="730"/>
      <c r="C116" s="435" t="s">
        <v>45</v>
      </c>
      <c r="D116" s="475"/>
      <c r="E116" s="495" t="s">
        <v>28</v>
      </c>
      <c r="F116" s="438">
        <f>F113*12</f>
        <v>89268</v>
      </c>
      <c r="G116" s="438">
        <v>0</v>
      </c>
      <c r="H116" s="438">
        <v>0</v>
      </c>
      <c r="I116" s="438"/>
      <c r="J116" s="438"/>
      <c r="K116" s="438"/>
      <c r="L116" s="438"/>
      <c r="M116" s="438"/>
      <c r="N116" s="438"/>
      <c r="O116" s="438"/>
      <c r="P116" s="438"/>
      <c r="Q116" s="438"/>
      <c r="R116" s="438"/>
      <c r="S116" s="718"/>
      <c r="T116" s="54">
        <f>T113*12</f>
        <v>89268</v>
      </c>
      <c r="U116" s="665">
        <f>U113*12</f>
        <v>18224388</v>
      </c>
      <c r="V116" s="785">
        <f>V113*12</f>
        <v>5.8779257772606686</v>
      </c>
      <c r="X116" s="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802"/>
      <c r="AK116" s="802"/>
      <c r="AL116" s="802"/>
      <c r="AM116" s="802"/>
      <c r="AN116" s="802"/>
      <c r="AO116" s="802"/>
      <c r="AP116" s="802"/>
      <c r="AQ116" s="802"/>
      <c r="AR116" s="802"/>
      <c r="AS116" s="802"/>
      <c r="AX116" s="1"/>
      <c r="BG116" s="142"/>
      <c r="BH116" s="142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2"/>
      <c r="DA116" s="1"/>
      <c r="DS116" s="5"/>
      <c r="DT116" s="142"/>
      <c r="DU116" s="142"/>
      <c r="DV116" s="142"/>
      <c r="DW116" s="142"/>
      <c r="FZ116" s="142"/>
      <c r="JU116" s="142"/>
      <c r="JV116" s="142"/>
      <c r="JW116" s="142"/>
      <c r="JX116" s="142"/>
      <c r="PB116" s="142"/>
      <c r="PC116" s="142"/>
      <c r="PE116" s="142"/>
      <c r="PS116" s="145"/>
      <c r="PW116" s="142"/>
      <c r="RZ116" s="145"/>
      <c r="AHI116" s="141"/>
      <c r="AIX116" s="141"/>
      <c r="AIY116" s="141"/>
      <c r="AIZ116" s="141"/>
    </row>
    <row r="117" spans="2:936" hidden="1" x14ac:dyDescent="0.25">
      <c r="B117" s="730"/>
      <c r="C117" s="435" t="s">
        <v>44</v>
      </c>
      <c r="D117" s="475"/>
      <c r="E117" s="495" t="s">
        <v>28</v>
      </c>
      <c r="F117" s="438">
        <f>F114*6</f>
        <v>211410</v>
      </c>
      <c r="G117" s="438" t="e">
        <v>#REF!</v>
      </c>
      <c r="H117" s="438">
        <v>0</v>
      </c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718"/>
      <c r="T117" s="54">
        <f>T114*6</f>
        <v>211410</v>
      </c>
      <c r="U117" s="665">
        <f>U114*6</f>
        <v>12677832</v>
      </c>
      <c r="V117" s="785">
        <f>V114*6</f>
        <v>10.005338452189617</v>
      </c>
      <c r="X117" s="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802"/>
      <c r="AK117" s="802"/>
      <c r="AL117" s="802"/>
      <c r="AM117" s="802"/>
      <c r="AN117" s="802"/>
      <c r="AO117" s="802"/>
      <c r="AP117" s="802"/>
      <c r="AQ117" s="802"/>
      <c r="AR117" s="802"/>
      <c r="AS117" s="802"/>
      <c r="AX117" s="1"/>
      <c r="BG117" s="142"/>
      <c r="BH117" s="14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2"/>
      <c r="DA117" s="1"/>
      <c r="DS117" s="5"/>
      <c r="DT117" s="142"/>
      <c r="DU117" s="142"/>
      <c r="DV117" s="142"/>
      <c r="DW117" s="142"/>
      <c r="FZ117" s="142"/>
      <c r="JU117" s="142"/>
      <c r="JV117" s="142"/>
      <c r="JW117" s="142"/>
      <c r="JX117" s="142"/>
      <c r="PB117" s="142"/>
      <c r="PC117" s="142"/>
      <c r="PE117" s="142"/>
      <c r="PS117" s="145"/>
      <c r="PW117" s="142"/>
      <c r="RZ117" s="145"/>
      <c r="AHI117" s="141"/>
      <c r="AIX117" s="141"/>
      <c r="AIY117" s="141"/>
      <c r="AIZ117" s="141"/>
    </row>
    <row r="118" spans="2:936" hidden="1" x14ac:dyDescent="0.25">
      <c r="B118" s="730"/>
      <c r="C118" s="568" t="s">
        <v>36</v>
      </c>
      <c r="D118" s="475"/>
      <c r="E118" s="495" t="s">
        <v>35</v>
      </c>
      <c r="F118" s="438">
        <f>(F108*45)/1700</f>
        <v>12222.107999999998</v>
      </c>
      <c r="G118" s="438">
        <v>0</v>
      </c>
      <c r="H118" s="438">
        <v>0</v>
      </c>
      <c r="I118" s="574"/>
      <c r="J118" s="574"/>
      <c r="K118" s="574"/>
      <c r="L118" s="574"/>
      <c r="M118" s="574"/>
      <c r="N118" s="574"/>
      <c r="O118" s="574"/>
      <c r="P118" s="574"/>
      <c r="Q118" s="574"/>
      <c r="R118" s="574"/>
      <c r="S118" s="718"/>
      <c r="T118" s="583">
        <f t="shared" ref="T118:V119" si="9">SUM(F118:R118)</f>
        <v>12222.107999999998</v>
      </c>
      <c r="U118" s="689">
        <f t="shared" si="9"/>
        <v>0</v>
      </c>
      <c r="V118" s="787">
        <f t="shared" si="9"/>
        <v>12222.107999999998</v>
      </c>
      <c r="X118" s="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802"/>
      <c r="AK118" s="802"/>
      <c r="AL118" s="802"/>
      <c r="AM118" s="802"/>
      <c r="AN118" s="802"/>
      <c r="AO118" s="802"/>
      <c r="AP118" s="802"/>
      <c r="AQ118" s="802"/>
      <c r="AR118" s="802"/>
      <c r="AS118" s="802"/>
      <c r="AX118" s="1"/>
      <c r="BG118" s="142"/>
      <c r="BH118" s="14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2"/>
      <c r="DA118" s="1"/>
      <c r="DS118" s="5"/>
      <c r="DT118" s="142"/>
      <c r="DU118" s="142"/>
      <c r="DV118" s="142"/>
      <c r="DW118" s="142"/>
      <c r="FZ118" s="142"/>
      <c r="JU118" s="142"/>
      <c r="JV118" s="142"/>
      <c r="JW118" s="142"/>
      <c r="JX118" s="142"/>
      <c r="PB118" s="142"/>
      <c r="PC118" s="142"/>
      <c r="PE118" s="142"/>
      <c r="PS118" s="145"/>
      <c r="PW118" s="142"/>
      <c r="RZ118" s="145"/>
      <c r="AHI118" s="141"/>
      <c r="AIX118" s="141"/>
      <c r="AIY118" s="141"/>
      <c r="AIZ118" s="141"/>
    </row>
    <row r="119" spans="2:936" hidden="1" x14ac:dyDescent="0.25">
      <c r="B119" s="730"/>
      <c r="C119" s="568" t="s">
        <v>34</v>
      </c>
      <c r="D119" s="475"/>
      <c r="E119" s="495" t="s">
        <v>33</v>
      </c>
      <c r="F119" s="438">
        <f t="shared" ref="F119" si="10">SUM(F113:F114)/500</f>
        <v>85.347999999999999</v>
      </c>
      <c r="G119" s="438"/>
      <c r="H119" s="438">
        <v>0</v>
      </c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718"/>
      <c r="T119" s="583">
        <f t="shared" si="9"/>
        <v>85.347999999999999</v>
      </c>
      <c r="U119" s="689">
        <f t="shared" si="9"/>
        <v>0</v>
      </c>
      <c r="V119" s="787">
        <f t="shared" si="9"/>
        <v>85.347999999999999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802"/>
      <c r="AK119" s="802"/>
      <c r="AL119" s="802"/>
      <c r="AM119" s="802"/>
      <c r="AN119" s="802"/>
      <c r="AO119" s="802"/>
      <c r="AP119" s="802"/>
      <c r="AQ119" s="802"/>
      <c r="AR119" s="802"/>
      <c r="AS119" s="802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145"/>
      <c r="PW119" s="142"/>
      <c r="RZ119" s="145"/>
      <c r="AHI119" s="141"/>
      <c r="AIX119" s="141"/>
      <c r="AIY119" s="141"/>
      <c r="AIZ119" s="141"/>
    </row>
    <row r="120" spans="2:936" hidden="1" x14ac:dyDescent="0.25">
      <c r="B120" s="727"/>
      <c r="C120" s="418" t="s">
        <v>32</v>
      </c>
      <c r="D120" s="48"/>
      <c r="E120" s="48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3"/>
      <c r="T120" s="521" t="s">
        <v>131</v>
      </c>
      <c r="U120" s="676" t="s">
        <v>131</v>
      </c>
      <c r="V120" s="775" t="s">
        <v>131</v>
      </c>
      <c r="X120" s="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802"/>
      <c r="AK120" s="802"/>
      <c r="AL120" s="802"/>
      <c r="AM120" s="802"/>
      <c r="AN120" s="802"/>
      <c r="AO120" s="802"/>
      <c r="AP120" s="802"/>
      <c r="AQ120" s="802"/>
      <c r="AR120" s="802"/>
      <c r="AS120" s="802"/>
      <c r="AX120" s="1"/>
      <c r="BG120" s="141"/>
      <c r="BH120" s="14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1"/>
      <c r="DA120" s="1"/>
      <c r="DS120" s="5"/>
      <c r="DT120" s="141"/>
      <c r="DU120" s="141"/>
      <c r="DV120" s="141"/>
      <c r="DW120" s="141"/>
      <c r="FZ120" s="141"/>
      <c r="JU120" s="141"/>
      <c r="JV120" s="141"/>
      <c r="JW120" s="141"/>
      <c r="JX120" s="141"/>
      <c r="PB120" s="141"/>
      <c r="PC120" s="141"/>
      <c r="PE120" s="141"/>
      <c r="PS120" s="480"/>
      <c r="PW120" s="141"/>
      <c r="RZ120" s="480"/>
      <c r="AHI120" s="141"/>
      <c r="AIX120" s="141"/>
      <c r="AIY120" s="141"/>
      <c r="AIZ120" s="141"/>
    </row>
    <row r="121" spans="2:936" hidden="1" x14ac:dyDescent="0.25">
      <c r="B121" s="730"/>
      <c r="C121" s="568" t="s">
        <v>29</v>
      </c>
      <c r="D121" s="475"/>
      <c r="E121" s="463"/>
      <c r="F121" s="438"/>
      <c r="G121" s="438">
        <v>0</v>
      </c>
      <c r="H121" s="438"/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718"/>
      <c r="T121" s="63" t="s">
        <v>29</v>
      </c>
      <c r="U121" s="687" t="s">
        <v>29</v>
      </c>
      <c r="V121" s="784" t="s">
        <v>29</v>
      </c>
      <c r="X121" s="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R121" s="62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30"/>
      <c r="C122" s="435" t="s">
        <v>45</v>
      </c>
      <c r="D122" s="475"/>
      <c r="E122" s="495" t="s">
        <v>31</v>
      </c>
      <c r="F122" s="33">
        <f>'[3]Januari 24'!AL104</f>
        <v>89268</v>
      </c>
      <c r="G122" s="33">
        <v>0</v>
      </c>
      <c r="H122" s="33">
        <v>0</v>
      </c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718"/>
      <c r="T122" s="54">
        <f t="shared" ref="T122:V123" si="11">SUM(F122:R122)</f>
        <v>89268</v>
      </c>
      <c r="U122" s="665">
        <f t="shared" si="11"/>
        <v>0</v>
      </c>
      <c r="V122" s="785">
        <f t="shared" si="11"/>
        <v>89268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R122" s="62"/>
      <c r="AX122" s="1"/>
      <c r="BG122" s="142"/>
      <c r="BH122" s="14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2"/>
      <c r="DA122" s="1"/>
      <c r="DS122" s="5"/>
      <c r="DT122" s="142"/>
      <c r="DU122" s="142"/>
      <c r="DV122" s="142"/>
      <c r="DW122" s="142"/>
      <c r="FZ122" s="142"/>
      <c r="JU122" s="142"/>
      <c r="JV122" s="142"/>
      <c r="JW122" s="142"/>
      <c r="JX122" s="142"/>
      <c r="PB122" s="142"/>
      <c r="PC122" s="142"/>
      <c r="PE122" s="142"/>
      <c r="PS122" s="145"/>
      <c r="PW122" s="142"/>
      <c r="RZ122" s="145"/>
      <c r="AHI122" s="141"/>
      <c r="AIX122" s="141"/>
      <c r="AIY122" s="141"/>
      <c r="AIZ122" s="141"/>
    </row>
    <row r="123" spans="2:936" hidden="1" x14ac:dyDescent="0.25">
      <c r="B123" s="730"/>
      <c r="C123" s="435" t="s">
        <v>44</v>
      </c>
      <c r="D123" s="475"/>
      <c r="E123" s="495" t="s">
        <v>31</v>
      </c>
      <c r="F123" s="33">
        <f>'[3]Januari 24'!AL105</f>
        <v>211410</v>
      </c>
      <c r="G123" s="33"/>
      <c r="H123" s="33">
        <v>0</v>
      </c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18"/>
      <c r="T123" s="54">
        <f t="shared" si="11"/>
        <v>211410</v>
      </c>
      <c r="U123" s="665">
        <f t="shared" si="11"/>
        <v>0</v>
      </c>
      <c r="V123" s="785">
        <f t="shared" si="11"/>
        <v>211410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R123" s="62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30"/>
      <c r="C124" s="568" t="s">
        <v>28</v>
      </c>
      <c r="D124" s="475"/>
      <c r="E124" s="463"/>
      <c r="F124" s="33"/>
      <c r="G124" s="33">
        <v>0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718"/>
      <c r="T124" s="63" t="s">
        <v>28</v>
      </c>
      <c r="U124" s="687" t="s">
        <v>28</v>
      </c>
      <c r="V124" s="784" t="s">
        <v>28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R124" s="62"/>
      <c r="AX124" s="1"/>
      <c r="BG124" s="142"/>
      <c r="BH124" s="14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2"/>
      <c r="DA124" s="1"/>
      <c r="DS124" s="5"/>
      <c r="DT124" s="142"/>
      <c r="DU124" s="142"/>
      <c r="DV124" s="142"/>
      <c r="DW124" s="142"/>
      <c r="FZ124" s="142"/>
      <c r="JU124" s="142"/>
      <c r="JV124" s="142"/>
      <c r="JW124" s="142"/>
      <c r="JX124" s="142"/>
      <c r="PB124" s="142"/>
      <c r="PC124" s="142"/>
      <c r="PE124" s="142"/>
      <c r="PS124" s="145"/>
      <c r="PW124" s="142"/>
      <c r="RZ124" s="145"/>
      <c r="AHI124" s="141"/>
      <c r="AIX124" s="141"/>
      <c r="AIY124" s="141"/>
      <c r="AIZ124" s="141"/>
    </row>
    <row r="125" spans="2:936" hidden="1" x14ac:dyDescent="0.25">
      <c r="B125" s="730"/>
      <c r="C125" s="435" t="s">
        <v>45</v>
      </c>
      <c r="D125" s="475"/>
      <c r="E125" s="495" t="s">
        <v>28</v>
      </c>
      <c r="F125" s="576">
        <f>F122*12</f>
        <v>1071216</v>
      </c>
      <c r="G125" s="576">
        <v>0</v>
      </c>
      <c r="H125" s="576">
        <v>0</v>
      </c>
      <c r="I125" s="576"/>
      <c r="J125" s="576"/>
      <c r="K125" s="576"/>
      <c r="L125" s="576"/>
      <c r="M125" s="576"/>
      <c r="N125" s="576"/>
      <c r="O125" s="576"/>
      <c r="P125" s="576"/>
      <c r="Q125" s="576"/>
      <c r="R125" s="576"/>
      <c r="S125" s="718"/>
      <c r="T125" s="54">
        <f t="shared" ref="T125:V126" si="12">SUM(F125:R125)</f>
        <v>1071216</v>
      </c>
      <c r="U125" s="665">
        <f t="shared" si="12"/>
        <v>0</v>
      </c>
      <c r="V125" s="785">
        <f t="shared" si="12"/>
        <v>1071216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R125" s="62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30"/>
      <c r="C126" s="435" t="s">
        <v>44</v>
      </c>
      <c r="D126" s="475"/>
      <c r="E126" s="495" t="s">
        <v>28</v>
      </c>
      <c r="F126" s="576">
        <f>F123*6</f>
        <v>1268460</v>
      </c>
      <c r="G126" s="576"/>
      <c r="H126" s="576">
        <v>0</v>
      </c>
      <c r="I126" s="576"/>
      <c r="J126" s="576"/>
      <c r="K126" s="576"/>
      <c r="L126" s="576"/>
      <c r="M126" s="576"/>
      <c r="N126" s="576"/>
      <c r="O126" s="576"/>
      <c r="P126" s="576"/>
      <c r="Q126" s="576"/>
      <c r="R126" s="576"/>
      <c r="S126" s="718"/>
      <c r="T126" s="54">
        <f t="shared" si="12"/>
        <v>1268460</v>
      </c>
      <c r="U126" s="665">
        <f t="shared" si="12"/>
        <v>0</v>
      </c>
      <c r="V126" s="785">
        <f t="shared" si="12"/>
        <v>1268460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R126" s="62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145"/>
      <c r="PW126" s="142"/>
      <c r="RZ126" s="145"/>
      <c r="AHI126" s="141"/>
      <c r="AIX126" s="141"/>
      <c r="AIY126" s="141"/>
      <c r="AIZ126" s="141"/>
    </row>
    <row r="127" spans="2:936" hidden="1" x14ac:dyDescent="0.25">
      <c r="B127" s="727"/>
      <c r="C127" s="418" t="s">
        <v>30</v>
      </c>
      <c r="D127" s="48"/>
      <c r="E127" s="48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3"/>
      <c r="T127" s="521" t="s">
        <v>131</v>
      </c>
      <c r="U127" s="676" t="s">
        <v>131</v>
      </c>
      <c r="V127" s="775" t="s">
        <v>131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R127" s="62"/>
      <c r="AX127" s="1"/>
      <c r="BG127" s="141"/>
      <c r="BH127" s="14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1"/>
      <c r="DA127" s="1"/>
      <c r="DS127" s="5"/>
      <c r="DT127" s="141"/>
      <c r="DU127" s="141"/>
      <c r="DV127" s="141"/>
      <c r="DW127" s="141"/>
      <c r="FZ127" s="141"/>
      <c r="JU127" s="141"/>
      <c r="JV127" s="141"/>
      <c r="JW127" s="141"/>
      <c r="JX127" s="141"/>
      <c r="PB127" s="141"/>
      <c r="PC127" s="141"/>
      <c r="PE127" s="141"/>
      <c r="PS127" s="480"/>
      <c r="PW127" s="141"/>
      <c r="RZ127" s="480"/>
      <c r="AHI127" s="141"/>
      <c r="AIX127" s="141"/>
      <c r="AIY127" s="141"/>
      <c r="AIZ127" s="141"/>
    </row>
    <row r="128" spans="2:936" hidden="1" x14ac:dyDescent="0.25">
      <c r="B128" s="730"/>
      <c r="C128" s="568" t="s">
        <v>29</v>
      </c>
      <c r="D128" s="475"/>
      <c r="E128" s="463"/>
      <c r="F128" s="438"/>
      <c r="G128" s="438" t="e">
        <v>#DIV/0!</v>
      </c>
      <c r="H128" s="438"/>
      <c r="I128" s="438"/>
      <c r="J128" s="438"/>
      <c r="K128" s="438"/>
      <c r="L128" s="438"/>
      <c r="M128" s="438"/>
      <c r="N128" s="438"/>
      <c r="O128" s="438"/>
      <c r="P128" s="438"/>
      <c r="Q128" s="438"/>
      <c r="R128" s="438"/>
      <c r="S128" s="718"/>
      <c r="T128" s="63" t="s">
        <v>29</v>
      </c>
      <c r="U128" s="687" t="s">
        <v>29</v>
      </c>
      <c r="V128" s="784" t="s">
        <v>29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30"/>
      <c r="C129" s="435" t="s">
        <v>45</v>
      </c>
      <c r="D129" s="462">
        <v>0.3</v>
      </c>
      <c r="E129" s="495" t="s">
        <v>25</v>
      </c>
      <c r="F129" s="439">
        <f t="shared" ref="F129:F130" si="13">F122/F113*100</f>
        <v>1200</v>
      </c>
      <c r="G129" s="439" t="e">
        <v>#DIV/0!</v>
      </c>
      <c r="H129" s="439" t="e">
        <v>#DIV/0!</v>
      </c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718"/>
      <c r="T129" s="58">
        <f t="shared" ref="T129:V130" si="14">T122/T113*100</f>
        <v>1200</v>
      </c>
      <c r="U129" s="668">
        <f t="shared" si="14"/>
        <v>0</v>
      </c>
      <c r="V129" s="768">
        <f t="shared" si="14"/>
        <v>18224388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2"/>
      <c r="BH129" s="142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2"/>
      <c r="DA129" s="1"/>
      <c r="DS129" s="5"/>
      <c r="DT129" s="142"/>
      <c r="DU129" s="142"/>
      <c r="DV129" s="142"/>
      <c r="DW129" s="142"/>
      <c r="FZ129" s="142"/>
      <c r="JU129" s="142"/>
      <c r="JV129" s="142"/>
      <c r="JW129" s="142"/>
      <c r="JX129" s="142"/>
      <c r="PB129" s="142"/>
      <c r="PC129" s="142"/>
      <c r="PE129" s="142"/>
      <c r="PS129" s="145"/>
      <c r="PW129" s="142"/>
      <c r="RZ129" s="145"/>
      <c r="AHI129" s="141"/>
      <c r="AIX129" s="141"/>
      <c r="AIY129" s="141"/>
      <c r="AIZ129" s="141"/>
    </row>
    <row r="130" spans="2:936" hidden="1" x14ac:dyDescent="0.25">
      <c r="B130" s="730"/>
      <c r="C130" s="435" t="s">
        <v>44</v>
      </c>
      <c r="D130" s="462">
        <v>0.3</v>
      </c>
      <c r="E130" s="495" t="s">
        <v>25</v>
      </c>
      <c r="F130" s="439">
        <f t="shared" si="13"/>
        <v>600</v>
      </c>
      <c r="G130" s="439"/>
      <c r="H130" s="439" t="e">
        <v>#DIV/0!</v>
      </c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718"/>
      <c r="T130" s="58">
        <f t="shared" si="14"/>
        <v>600</v>
      </c>
      <c r="U130" s="668">
        <f t="shared" si="14"/>
        <v>0</v>
      </c>
      <c r="V130" s="768">
        <f t="shared" si="14"/>
        <v>12677832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30"/>
      <c r="C131" s="568" t="s">
        <v>28</v>
      </c>
      <c r="D131" s="462"/>
      <c r="E131" s="463"/>
      <c r="F131" s="439"/>
      <c r="G131" s="439" t="e">
        <v>#DIV/0!</v>
      </c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718"/>
      <c r="T131" s="63" t="s">
        <v>28</v>
      </c>
      <c r="U131" s="687" t="s">
        <v>28</v>
      </c>
      <c r="V131" s="784" t="s">
        <v>28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2"/>
      <c r="BH131" s="14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2"/>
      <c r="DA131" s="1"/>
      <c r="DS131" s="5"/>
      <c r="DT131" s="142"/>
      <c r="DU131" s="142"/>
      <c r="DV131" s="142"/>
      <c r="DW131" s="142"/>
      <c r="FZ131" s="142"/>
      <c r="JU131" s="142"/>
      <c r="JV131" s="142"/>
      <c r="JW131" s="142"/>
      <c r="JX131" s="142"/>
      <c r="PB131" s="142"/>
      <c r="PC131" s="142"/>
      <c r="PE131" s="142"/>
      <c r="PS131" s="145"/>
      <c r="PW131" s="142"/>
      <c r="RZ131" s="145"/>
      <c r="AHI131" s="141"/>
      <c r="AIX131" s="141"/>
      <c r="AIY131" s="141"/>
      <c r="AIZ131" s="141"/>
    </row>
    <row r="132" spans="2:936" hidden="1" x14ac:dyDescent="0.25">
      <c r="B132" s="730"/>
      <c r="C132" s="435" t="s">
        <v>45</v>
      </c>
      <c r="D132" s="462">
        <v>0.5</v>
      </c>
      <c r="E132" s="495" t="s">
        <v>25</v>
      </c>
      <c r="F132" s="439">
        <f>F125/F116*100</f>
        <v>1200</v>
      </c>
      <c r="G132" s="439" t="e">
        <v>#DIV/0!</v>
      </c>
      <c r="H132" s="439" t="e">
        <v>#DIV/0!</v>
      </c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718"/>
      <c r="T132" s="58">
        <f t="shared" ref="T132:V133" si="15">T125/T116*100</f>
        <v>1200</v>
      </c>
      <c r="U132" s="668">
        <f t="shared" si="15"/>
        <v>0</v>
      </c>
      <c r="V132" s="768">
        <f t="shared" si="15"/>
        <v>18224388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30"/>
      <c r="C133" s="435" t="s">
        <v>44</v>
      </c>
      <c r="D133" s="462">
        <v>0.5</v>
      </c>
      <c r="E133" s="495" t="s">
        <v>25</v>
      </c>
      <c r="F133" s="439">
        <f>F126/F117*100</f>
        <v>600</v>
      </c>
      <c r="G133" s="439"/>
      <c r="H133" s="439" t="e">
        <v>#DIV/0!</v>
      </c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718"/>
      <c r="T133" s="58">
        <f t="shared" si="15"/>
        <v>600</v>
      </c>
      <c r="U133" s="668">
        <f t="shared" si="15"/>
        <v>0</v>
      </c>
      <c r="V133" s="768">
        <f t="shared" si="15"/>
        <v>12677832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145"/>
      <c r="PW133" s="142"/>
      <c r="RZ133" s="145"/>
      <c r="AHI133" s="141"/>
      <c r="AIX133" s="141"/>
      <c r="AIY133" s="141"/>
      <c r="AIZ133" s="141"/>
    </row>
    <row r="134" spans="2:936" hidden="1" x14ac:dyDescent="0.25">
      <c r="B134" s="726">
        <v>7</v>
      </c>
      <c r="C134" s="418" t="s">
        <v>43</v>
      </c>
      <c r="D134" s="48"/>
      <c r="E134" s="48"/>
      <c r="F134" s="50"/>
      <c r="G134" s="50" t="e">
        <v>#REF!</v>
      </c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3"/>
      <c r="T134" s="521" t="s">
        <v>130</v>
      </c>
      <c r="U134" s="676" t="s">
        <v>130</v>
      </c>
      <c r="V134" s="775" t="s">
        <v>130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802"/>
      <c r="AK134" s="802"/>
      <c r="AL134" s="802"/>
      <c r="AM134" s="802"/>
      <c r="AN134" s="802"/>
      <c r="AO134" s="802"/>
      <c r="AP134" s="802"/>
      <c r="AQ134" s="802"/>
      <c r="AR134" s="802"/>
      <c r="AS134" s="802"/>
      <c r="AX134" s="1"/>
      <c r="BG134" s="141"/>
      <c r="BH134" s="14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1"/>
      <c r="DA134" s="1"/>
      <c r="DS134" s="5"/>
      <c r="DT134" s="141"/>
      <c r="DU134" s="141"/>
      <c r="DV134" s="141"/>
      <c r="DW134" s="141"/>
      <c r="FZ134" s="141"/>
      <c r="JU134" s="141"/>
      <c r="JV134" s="141"/>
      <c r="JW134" s="141"/>
      <c r="JX134" s="141"/>
      <c r="PB134" s="141"/>
      <c r="PC134" s="141"/>
      <c r="PE134" s="141"/>
      <c r="PS134" s="480"/>
      <c r="PW134" s="141"/>
      <c r="RZ134" s="480"/>
      <c r="AHI134" s="141"/>
      <c r="AIX134" s="141"/>
      <c r="AIY134" s="141"/>
      <c r="AIZ134" s="141"/>
    </row>
    <row r="135" spans="2:936" hidden="1" x14ac:dyDescent="0.25">
      <c r="B135" s="727"/>
      <c r="C135" s="578" t="s">
        <v>114</v>
      </c>
      <c r="D135" s="579"/>
      <c r="E135" s="20" t="s">
        <v>14</v>
      </c>
      <c r="F135" s="584">
        <f>'[3]Januari 24'!AL123</f>
        <v>534116</v>
      </c>
      <c r="G135" s="585" t="e">
        <v>#REF!</v>
      </c>
      <c r="H135" s="733">
        <v>0</v>
      </c>
      <c r="I135" s="580"/>
      <c r="J135" s="580"/>
      <c r="K135" s="580"/>
      <c r="L135" s="580"/>
      <c r="M135" s="734"/>
      <c r="N135" s="580"/>
      <c r="O135" s="580"/>
      <c r="P135" s="580"/>
      <c r="Q135" s="580"/>
      <c r="R135" s="580"/>
      <c r="S135" s="732"/>
      <c r="T135" s="89" t="e">
        <f>SUM(T137:T138)</f>
        <v>#REF!</v>
      </c>
      <c r="U135" s="685" t="e">
        <f>SUM(U137:U138)</f>
        <v>#REF!</v>
      </c>
      <c r="V135" s="786" t="e">
        <f>SUM(V137:V138)</f>
        <v>#REF!</v>
      </c>
      <c r="X135" s="814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812"/>
      <c r="AK135" s="812"/>
      <c r="AL135" s="812"/>
      <c r="AM135" s="812"/>
      <c r="AN135" s="812"/>
      <c r="AO135" s="812"/>
      <c r="AP135" s="812"/>
      <c r="AQ135" s="812"/>
      <c r="AR135" s="812"/>
      <c r="AS135" s="812"/>
      <c r="AX135" s="1"/>
      <c r="BG135" s="146"/>
      <c r="BH135" s="146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6"/>
      <c r="DA135" s="1"/>
      <c r="DS135" s="434"/>
      <c r="DT135" s="146"/>
      <c r="DU135" s="146"/>
      <c r="DV135" s="146"/>
      <c r="DW135" s="146"/>
      <c r="FZ135" s="146"/>
      <c r="JU135" s="146"/>
      <c r="JV135" s="146"/>
      <c r="JW135" s="146"/>
      <c r="JX135" s="146"/>
      <c r="PB135" s="146"/>
      <c r="PC135" s="146"/>
      <c r="PE135" s="146"/>
      <c r="PS135" s="562"/>
      <c r="PW135" s="146"/>
      <c r="RZ135" s="562"/>
      <c r="AHI135" s="151"/>
      <c r="AIX135" s="151"/>
      <c r="AIY135" s="151"/>
      <c r="AIZ135" s="151"/>
    </row>
    <row r="136" spans="2:936" hidden="1" x14ac:dyDescent="0.25">
      <c r="B136" s="727"/>
      <c r="C136" s="578" t="s">
        <v>115</v>
      </c>
      <c r="D136" s="579"/>
      <c r="E136" s="20" t="s">
        <v>14</v>
      </c>
      <c r="F136" s="580">
        <f>'[3]Januari 24'!AL124</f>
        <v>524483.80000000005</v>
      </c>
      <c r="G136" s="580" t="e">
        <v>#REF!</v>
      </c>
      <c r="H136" s="580">
        <v>0</v>
      </c>
      <c r="I136" s="580"/>
      <c r="J136" s="580"/>
      <c r="K136" s="580"/>
      <c r="L136" s="580"/>
      <c r="M136" s="580"/>
      <c r="N136" s="580"/>
      <c r="O136" s="580"/>
      <c r="P136" s="580"/>
      <c r="Q136" s="580"/>
      <c r="R136" s="282"/>
      <c r="S136" s="732"/>
      <c r="T136" s="89" t="e">
        <f>SUM(T137:T138)</f>
        <v>#REF!</v>
      </c>
      <c r="U136" s="685" t="e">
        <f>SUM(U137:U138)</f>
        <v>#REF!</v>
      </c>
      <c r="V136" s="786" t="e">
        <f>SUM(V137:V138)</f>
        <v>#REF!</v>
      </c>
      <c r="X136" s="814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812"/>
      <c r="AK136" s="812"/>
      <c r="AL136" s="812"/>
      <c r="AM136" s="812"/>
      <c r="AN136" s="812"/>
      <c r="AO136" s="812"/>
      <c r="AP136" s="812"/>
      <c r="AQ136" s="812"/>
      <c r="AR136" s="812"/>
      <c r="AS136" s="812"/>
      <c r="AX136" s="1"/>
      <c r="BG136" s="146"/>
      <c r="BH136" s="146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6"/>
      <c r="DA136" s="1"/>
      <c r="DS136" s="434"/>
      <c r="DT136" s="146"/>
      <c r="DU136" s="146"/>
      <c r="DV136" s="146"/>
      <c r="DW136" s="146"/>
      <c r="FZ136" s="146"/>
      <c r="JU136" s="146"/>
      <c r="JV136" s="146"/>
      <c r="JW136" s="146"/>
      <c r="JX136" s="146"/>
      <c r="PB136" s="146"/>
      <c r="PC136" s="146"/>
      <c r="PE136" s="146"/>
      <c r="PS136" s="562"/>
      <c r="PW136" s="146"/>
      <c r="RZ136" s="562"/>
      <c r="AHI136" s="151"/>
      <c r="AIX136" s="151"/>
      <c r="AIY136" s="151"/>
      <c r="AIZ136" s="151"/>
    </row>
    <row r="137" spans="2:936" hidden="1" x14ac:dyDescent="0.25">
      <c r="B137" s="730"/>
      <c r="C137" s="568" t="s">
        <v>39</v>
      </c>
      <c r="D137" s="475"/>
      <c r="E137" s="495" t="s">
        <v>14</v>
      </c>
      <c r="F137" s="439">
        <f>SUM(F140:F141)*9.75348</f>
        <v>525527.25587999995</v>
      </c>
      <c r="G137" s="439" t="e">
        <v>#REF!</v>
      </c>
      <c r="H137" s="439">
        <v>0</v>
      </c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718"/>
      <c r="T137" s="58" t="e">
        <f t="shared" ref="T137:V138" si="16">SUM(F137:R137)</f>
        <v>#REF!</v>
      </c>
      <c r="U137" s="668" t="e">
        <f t="shared" si="16"/>
        <v>#REF!</v>
      </c>
      <c r="V137" s="768" t="e">
        <f t="shared" si="16"/>
        <v>#REF!</v>
      </c>
      <c r="X137" s="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815"/>
      <c r="AK137" s="812"/>
      <c r="AL137" s="812"/>
      <c r="AM137" s="812"/>
      <c r="AN137" s="812"/>
      <c r="AO137" s="812"/>
      <c r="AP137" s="802"/>
      <c r="AQ137" s="802"/>
      <c r="AR137" s="802"/>
      <c r="AS137" s="802"/>
      <c r="AX137" s="1"/>
      <c r="BG137" s="142"/>
      <c r="BH137" s="142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2"/>
      <c r="DA137" s="1"/>
      <c r="DS137" s="5"/>
      <c r="DT137" s="142"/>
      <c r="DU137" s="142"/>
      <c r="DV137" s="142"/>
      <c r="DW137" s="142"/>
      <c r="FZ137" s="142"/>
      <c r="JU137" s="142"/>
      <c r="JV137" s="142"/>
      <c r="JW137" s="142"/>
      <c r="JX137" s="142"/>
      <c r="PB137" s="142"/>
      <c r="PC137" s="142"/>
      <c r="PE137" s="142"/>
      <c r="PS137" s="145"/>
      <c r="PW137" s="142"/>
      <c r="RZ137" s="145"/>
      <c r="AHI137" s="141"/>
      <c r="AIX137" s="141"/>
      <c r="AIY137" s="141"/>
      <c r="AIZ137" s="141"/>
    </row>
    <row r="138" spans="2:936" hidden="1" x14ac:dyDescent="0.25">
      <c r="B138" s="730"/>
      <c r="C138" s="568" t="s">
        <v>38</v>
      </c>
      <c r="D138" s="475"/>
      <c r="E138" s="495" t="s">
        <v>14</v>
      </c>
      <c r="F138" s="439">
        <f>F136-F137</f>
        <v>-1043.4558799999068</v>
      </c>
      <c r="G138" s="439"/>
      <c r="H138" s="439">
        <v>0</v>
      </c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718"/>
      <c r="T138" s="58">
        <f t="shared" si="16"/>
        <v>-1043.4558799999068</v>
      </c>
      <c r="U138" s="668">
        <f t="shared" si="16"/>
        <v>0</v>
      </c>
      <c r="V138" s="768">
        <f t="shared" si="16"/>
        <v>-1043.4558799999068</v>
      </c>
      <c r="X138" s="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802"/>
      <c r="AK138" s="802"/>
      <c r="AL138" s="802"/>
      <c r="AM138" s="802"/>
      <c r="AN138" s="802"/>
      <c r="AO138" s="802"/>
      <c r="AP138" s="802"/>
      <c r="AQ138" s="802"/>
      <c r="AR138" s="802"/>
      <c r="AS138" s="802"/>
      <c r="AX138" s="1"/>
      <c r="BG138" s="142"/>
      <c r="BH138" s="142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2"/>
      <c r="DA138" s="1"/>
      <c r="DS138" s="5"/>
      <c r="DT138" s="142"/>
      <c r="DU138" s="142"/>
      <c r="DV138" s="142"/>
      <c r="DW138" s="142"/>
      <c r="FZ138" s="142"/>
      <c r="GA138" s="1">
        <f>0.9*12</f>
        <v>10.8</v>
      </c>
      <c r="JU138" s="142"/>
      <c r="JV138" s="142"/>
      <c r="JW138" s="142"/>
      <c r="JX138" s="142"/>
      <c r="PB138" s="142"/>
      <c r="PC138" s="142"/>
      <c r="PE138" s="142"/>
      <c r="PS138" s="145"/>
      <c r="PW138" s="142"/>
      <c r="RZ138" s="145"/>
      <c r="AHI138" s="141"/>
      <c r="AIX138" s="141"/>
      <c r="AIY138" s="141"/>
      <c r="AIZ138" s="141"/>
    </row>
    <row r="139" spans="2:936" hidden="1" x14ac:dyDescent="0.25">
      <c r="B139" s="730"/>
      <c r="C139" s="568" t="s">
        <v>29</v>
      </c>
      <c r="D139" s="475"/>
      <c r="E139" s="463"/>
      <c r="F139" s="438"/>
      <c r="G139" s="438" t="e">
        <v>#REF!</v>
      </c>
      <c r="H139" s="438"/>
      <c r="I139" s="438"/>
      <c r="J139" s="438"/>
      <c r="K139" s="438"/>
      <c r="L139" s="438"/>
      <c r="M139" s="438"/>
      <c r="N139" s="438"/>
      <c r="O139" s="438"/>
      <c r="P139" s="438"/>
      <c r="Q139" s="438"/>
      <c r="R139" s="438"/>
      <c r="S139" s="718"/>
      <c r="T139" s="63" t="s">
        <v>29</v>
      </c>
      <c r="U139" s="687" t="s">
        <v>29</v>
      </c>
      <c r="V139" s="784" t="s">
        <v>29</v>
      </c>
      <c r="X139" s="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802"/>
      <c r="AK139" s="802"/>
      <c r="AL139" s="802"/>
      <c r="AM139" s="802"/>
      <c r="AN139" s="802"/>
      <c r="AO139" s="802"/>
      <c r="AP139" s="802"/>
      <c r="AQ139" s="802"/>
      <c r="AR139" s="802"/>
      <c r="AS139" s="802"/>
      <c r="AX139" s="1"/>
      <c r="BG139" s="142"/>
      <c r="BH139" s="142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2"/>
      <c r="DA139" s="1"/>
      <c r="DS139" s="5"/>
      <c r="DT139" s="142"/>
      <c r="DU139" s="142"/>
      <c r="DV139" s="142"/>
      <c r="DW139" s="142"/>
      <c r="FZ139" s="142"/>
      <c r="JU139" s="142"/>
      <c r="JV139" s="142"/>
      <c r="JW139" s="142"/>
      <c r="JX139" s="142"/>
      <c r="PB139" s="142"/>
      <c r="PC139" s="142"/>
      <c r="PE139" s="142"/>
      <c r="PS139" s="145"/>
      <c r="PW139" s="142"/>
      <c r="RZ139" s="145"/>
      <c r="AHI139" s="141"/>
      <c r="AIX139" s="141"/>
      <c r="AIY139" s="141"/>
      <c r="AIZ139" s="141"/>
    </row>
    <row r="140" spans="2:936" hidden="1" x14ac:dyDescent="0.25">
      <c r="B140" s="731"/>
      <c r="C140" s="435" t="s">
        <v>42</v>
      </c>
      <c r="D140" s="436"/>
      <c r="E140" s="572" t="s">
        <v>31</v>
      </c>
      <c r="F140" s="282">
        <f>'[3]Januari 24'!AL128</f>
        <v>48858</v>
      </c>
      <c r="G140" s="282" t="e">
        <v>#REF!</v>
      </c>
      <c r="H140" s="282">
        <v>0</v>
      </c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720"/>
      <c r="T140" s="91" t="e">
        <f>SUM(F140:R140)</f>
        <v>#REF!</v>
      </c>
      <c r="U140" s="688">
        <v>296194</v>
      </c>
      <c r="V140" s="788" t="e">
        <f>SUM(H140:T140)</f>
        <v>#REF!</v>
      </c>
      <c r="X140" s="37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816"/>
      <c r="AK140" s="816"/>
      <c r="AL140" s="816"/>
      <c r="AM140" s="816"/>
      <c r="AN140" s="816"/>
      <c r="AO140" s="816"/>
      <c r="AP140" s="816"/>
      <c r="AQ140" s="816"/>
      <c r="AR140" s="816"/>
      <c r="AS140" s="816"/>
      <c r="AX140" s="1"/>
      <c r="BG140" s="148"/>
      <c r="BH140" s="148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8"/>
      <c r="DA140" s="1"/>
      <c r="DS140" s="516"/>
      <c r="DT140" s="148"/>
      <c r="DU140" s="148"/>
      <c r="DV140" s="148"/>
      <c r="DW140" s="148"/>
      <c r="FZ140" s="148"/>
      <c r="JU140" s="148"/>
      <c r="JV140" s="148"/>
      <c r="JW140" s="148"/>
      <c r="JX140" s="148"/>
      <c r="PB140" s="148"/>
      <c r="PC140" s="148"/>
      <c r="PE140" s="148"/>
      <c r="PS140" s="573"/>
      <c r="PW140" s="148"/>
      <c r="RZ140" s="573"/>
      <c r="AHI140" s="144"/>
      <c r="AIX140" s="144"/>
      <c r="AIY140" s="144"/>
      <c r="AIZ140" s="144"/>
    </row>
    <row r="141" spans="2:936" hidden="1" x14ac:dyDescent="0.25">
      <c r="B141" s="731"/>
      <c r="C141" s="435" t="s">
        <v>41</v>
      </c>
      <c r="D141" s="436"/>
      <c r="E141" s="572" t="s">
        <v>31</v>
      </c>
      <c r="F141" s="282">
        <f>'[3]Januari 24'!AL129</f>
        <v>5023</v>
      </c>
      <c r="G141" s="282"/>
      <c r="H141" s="282">
        <v>0</v>
      </c>
      <c r="I141" s="282"/>
      <c r="J141" s="282"/>
      <c r="K141" s="2"/>
      <c r="L141" s="282"/>
      <c r="M141" s="282"/>
      <c r="N141" s="282"/>
      <c r="O141" s="282"/>
      <c r="P141" s="282"/>
      <c r="Q141" s="282"/>
      <c r="R141" s="282"/>
      <c r="S141" s="720"/>
      <c r="T141" s="91">
        <f>SUM(F141:R141)</f>
        <v>5023</v>
      </c>
      <c r="U141" s="688">
        <v>626151</v>
      </c>
      <c r="V141" s="788">
        <f>SUM(H141:T141)</f>
        <v>5023</v>
      </c>
      <c r="X141" s="37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816"/>
      <c r="AK141" s="816"/>
      <c r="AL141" s="816"/>
      <c r="AM141" s="816"/>
      <c r="AN141" s="816"/>
      <c r="AO141" s="816"/>
      <c r="AP141" s="816"/>
      <c r="AQ141" s="816"/>
      <c r="AR141" s="816"/>
      <c r="AS141" s="816"/>
      <c r="AX141" s="1"/>
      <c r="BG141" s="148"/>
      <c r="BH141" s="148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8"/>
      <c r="DA141" s="1"/>
      <c r="DS141" s="516"/>
      <c r="DT141" s="148"/>
      <c r="DU141" s="148"/>
      <c r="DV141" s="148"/>
      <c r="DW141" s="148"/>
      <c r="FZ141" s="148"/>
      <c r="JU141" s="148"/>
      <c r="JV141" s="148"/>
      <c r="JW141" s="148"/>
      <c r="JX141" s="148"/>
      <c r="PB141" s="148"/>
      <c r="PC141" s="148"/>
      <c r="PE141" s="148"/>
      <c r="PS141" s="573"/>
      <c r="PW141" s="148"/>
      <c r="RZ141" s="573"/>
      <c r="AHI141" s="144"/>
      <c r="AIX141" s="144"/>
      <c r="AIY141" s="144"/>
      <c r="AIZ141" s="144"/>
    </row>
    <row r="142" spans="2:936" hidden="1" x14ac:dyDescent="0.25">
      <c r="B142" s="730"/>
      <c r="C142" s="568" t="s">
        <v>28</v>
      </c>
      <c r="D142" s="475"/>
      <c r="E142" s="463"/>
      <c r="F142" s="438"/>
      <c r="G142" s="438" t="e">
        <v>#REF!</v>
      </c>
      <c r="H142" s="438"/>
      <c r="I142" s="438"/>
      <c r="J142" s="438"/>
      <c r="K142" s="438"/>
      <c r="L142" s="438"/>
      <c r="M142" s="438"/>
      <c r="N142" s="438"/>
      <c r="O142" s="438"/>
      <c r="P142" s="438"/>
      <c r="Q142" s="438"/>
      <c r="R142" s="438"/>
      <c r="S142" s="718"/>
      <c r="T142" s="63" t="s">
        <v>28</v>
      </c>
      <c r="U142" s="687" t="s">
        <v>28</v>
      </c>
      <c r="V142" s="784" t="s">
        <v>28</v>
      </c>
      <c r="X142" s="6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802"/>
      <c r="AK142" s="802"/>
      <c r="AL142" s="802"/>
      <c r="AM142" s="802"/>
      <c r="AN142" s="802"/>
      <c r="AO142" s="802"/>
      <c r="AP142" s="802"/>
      <c r="AQ142" s="802"/>
      <c r="AR142" s="802"/>
      <c r="AS142" s="802"/>
      <c r="AX142" s="1"/>
      <c r="BG142" s="142"/>
      <c r="BH142" s="142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2"/>
      <c r="DA142" s="1"/>
      <c r="DS142" s="5"/>
      <c r="DT142" s="142"/>
      <c r="DU142" s="142"/>
      <c r="DV142" s="142"/>
      <c r="DW142" s="142"/>
      <c r="FZ142" s="142"/>
      <c r="JU142" s="142"/>
      <c r="JV142" s="142"/>
      <c r="JW142" s="142"/>
      <c r="JX142" s="142"/>
      <c r="PB142" s="142"/>
      <c r="PC142" s="142"/>
      <c r="PE142" s="142"/>
      <c r="PS142" s="145"/>
      <c r="PW142" s="142"/>
      <c r="RZ142" s="145"/>
      <c r="AHI142" s="141"/>
      <c r="AIX142" s="141"/>
      <c r="AIY142" s="141"/>
      <c r="AIZ142" s="141"/>
    </row>
    <row r="143" spans="2:936" hidden="1" x14ac:dyDescent="0.25">
      <c r="B143" s="730"/>
      <c r="C143" s="435" t="s">
        <v>42</v>
      </c>
      <c r="D143" s="475"/>
      <c r="E143" s="495" t="s">
        <v>28</v>
      </c>
      <c r="F143" s="438">
        <f>F140*12</f>
        <v>586296</v>
      </c>
      <c r="G143" s="438" t="e">
        <v>#REF!</v>
      </c>
      <c r="H143" s="438">
        <v>0</v>
      </c>
      <c r="I143" s="438"/>
      <c r="J143" s="438"/>
      <c r="K143" s="438"/>
      <c r="L143" s="438"/>
      <c r="M143" s="438"/>
      <c r="N143" s="438"/>
      <c r="O143" s="438"/>
      <c r="P143" s="438"/>
      <c r="Q143" s="438"/>
      <c r="R143" s="438"/>
      <c r="S143" s="718"/>
      <c r="T143" s="54" t="e">
        <f>T140*12</f>
        <v>#REF!</v>
      </c>
      <c r="U143" s="665">
        <f>U140*12</f>
        <v>3554328</v>
      </c>
      <c r="V143" s="785" t="e">
        <f>V140*12</f>
        <v>#REF!</v>
      </c>
      <c r="X143" s="6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802"/>
      <c r="AK143" s="802"/>
      <c r="AL143" s="802"/>
      <c r="AM143" s="802"/>
      <c r="AN143" s="802"/>
      <c r="AO143" s="802"/>
      <c r="AP143" s="802"/>
      <c r="AQ143" s="802"/>
      <c r="AR143" s="802"/>
      <c r="AS143" s="802"/>
      <c r="AX143" s="1"/>
      <c r="BG143" s="142"/>
      <c r="BH143" s="142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2"/>
      <c r="DA143" s="1"/>
      <c r="DS143" s="5"/>
      <c r="DT143" s="142"/>
      <c r="DU143" s="142"/>
      <c r="DV143" s="142"/>
      <c r="DW143" s="142"/>
      <c r="FZ143" s="142"/>
      <c r="JU143" s="142"/>
      <c r="JV143" s="142"/>
      <c r="JW143" s="142"/>
      <c r="JX143" s="142"/>
      <c r="PB143" s="142"/>
      <c r="PC143" s="142"/>
      <c r="PE143" s="142"/>
      <c r="PS143" s="145"/>
      <c r="PW143" s="142"/>
      <c r="RZ143" s="145"/>
      <c r="AHI143" s="141"/>
      <c r="AIX143" s="141"/>
      <c r="AIY143" s="141"/>
      <c r="AIZ143" s="141"/>
    </row>
    <row r="144" spans="2:936" hidden="1" x14ac:dyDescent="0.25">
      <c r="B144" s="730"/>
      <c r="C144" s="435" t="s">
        <v>41</v>
      </c>
      <c r="D144" s="475"/>
      <c r="E144" s="495" t="s">
        <v>28</v>
      </c>
      <c r="F144" s="438">
        <f>F141*6</f>
        <v>30138</v>
      </c>
      <c r="G144" s="438" t="e">
        <v>#REF!</v>
      </c>
      <c r="H144" s="438">
        <v>0</v>
      </c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718"/>
      <c r="T144" s="54">
        <f>T141*6</f>
        <v>30138</v>
      </c>
      <c r="U144" s="665">
        <f>U141*6</f>
        <v>3756906</v>
      </c>
      <c r="V144" s="785">
        <f>V141*6</f>
        <v>30138</v>
      </c>
      <c r="X144" s="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802"/>
      <c r="AK144" s="802"/>
      <c r="AL144" s="802"/>
      <c r="AM144" s="802"/>
      <c r="AN144" s="802"/>
      <c r="AO144" s="802"/>
      <c r="AP144" s="802"/>
      <c r="AQ144" s="802"/>
      <c r="AR144" s="802"/>
      <c r="AS144" s="802"/>
      <c r="AX144" s="1"/>
      <c r="BG144" s="142"/>
      <c r="BH144" s="142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2"/>
      <c r="DA144" s="1"/>
      <c r="DS144" s="5"/>
      <c r="DT144" s="142"/>
      <c r="DU144" s="142"/>
      <c r="DV144" s="142"/>
      <c r="DW144" s="142"/>
      <c r="FZ144" s="142"/>
      <c r="JU144" s="142"/>
      <c r="JV144" s="142"/>
      <c r="JW144" s="142"/>
      <c r="JX144" s="142"/>
      <c r="PB144" s="142"/>
      <c r="PC144" s="142"/>
      <c r="PE144" s="142"/>
      <c r="PS144" s="145"/>
      <c r="PW144" s="142"/>
      <c r="RZ144" s="145"/>
      <c r="AHI144" s="141"/>
      <c r="AIX144" s="141"/>
      <c r="AIY144" s="141"/>
      <c r="AIZ144" s="141"/>
    </row>
    <row r="145" spans="2:936" hidden="1" x14ac:dyDescent="0.25">
      <c r="B145" s="730"/>
      <c r="C145" s="568" t="s">
        <v>36</v>
      </c>
      <c r="D145" s="475"/>
      <c r="E145" s="495" t="s">
        <v>35</v>
      </c>
      <c r="F145" s="438">
        <f>(F136*45)/1700</f>
        <v>13883.394705882356</v>
      </c>
      <c r="G145" s="438" t="e">
        <v>#REF!</v>
      </c>
      <c r="H145" s="438">
        <v>0</v>
      </c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718"/>
      <c r="T145" s="54" t="e">
        <f t="shared" ref="T145:V146" si="17">SUM(F145:R145)</f>
        <v>#REF!</v>
      </c>
      <c r="U145" s="665" t="e">
        <f t="shared" si="17"/>
        <v>#REF!</v>
      </c>
      <c r="V145" s="785" t="e">
        <f t="shared" si="17"/>
        <v>#REF!</v>
      </c>
      <c r="X145" s="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802"/>
      <c r="AK145" s="802"/>
      <c r="AL145" s="802"/>
      <c r="AM145" s="802"/>
      <c r="AN145" s="802"/>
      <c r="AO145" s="802"/>
      <c r="AP145" s="802"/>
      <c r="AQ145" s="802"/>
      <c r="AR145" s="802"/>
      <c r="AS145" s="802"/>
      <c r="AX145" s="1"/>
      <c r="BG145" s="142"/>
      <c r="BH145" s="142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2"/>
      <c r="DA145" s="1"/>
      <c r="DS145" s="5"/>
      <c r="DT145" s="142"/>
      <c r="DU145" s="142"/>
      <c r="DV145" s="142"/>
      <c r="DW145" s="142"/>
      <c r="FZ145" s="142"/>
      <c r="JU145" s="142"/>
      <c r="JV145" s="142"/>
      <c r="JW145" s="142"/>
      <c r="JX145" s="142"/>
      <c r="PB145" s="142"/>
      <c r="PC145" s="142"/>
      <c r="PE145" s="142"/>
      <c r="PS145" s="145"/>
      <c r="PW145" s="142"/>
      <c r="RZ145" s="145"/>
      <c r="AHI145" s="141"/>
      <c r="AIX145" s="141"/>
      <c r="AIY145" s="141"/>
      <c r="AIZ145" s="141"/>
    </row>
    <row r="146" spans="2:936" hidden="1" x14ac:dyDescent="0.25">
      <c r="B146" s="730"/>
      <c r="C146" s="568" t="s">
        <v>34</v>
      </c>
      <c r="D146" s="475"/>
      <c r="E146" s="495" t="s">
        <v>33</v>
      </c>
      <c r="F146" s="438">
        <f>SUM(F140:F141)/500</f>
        <v>107.762</v>
      </c>
      <c r="G146" s="438"/>
      <c r="H146" s="438">
        <v>0</v>
      </c>
      <c r="I146" s="438"/>
      <c r="J146" s="438"/>
      <c r="K146" s="586"/>
      <c r="L146" s="586"/>
      <c r="M146" s="586"/>
      <c r="N146" s="586"/>
      <c r="O146" s="586"/>
      <c r="P146" s="586"/>
      <c r="Q146" s="586"/>
      <c r="R146" s="586"/>
      <c r="S146" s="718"/>
      <c r="T146" s="54">
        <f t="shared" si="17"/>
        <v>107.762</v>
      </c>
      <c r="U146" s="665">
        <f t="shared" si="17"/>
        <v>0</v>
      </c>
      <c r="V146" s="785">
        <f t="shared" si="17"/>
        <v>107.762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802"/>
      <c r="AK146" s="802"/>
      <c r="AL146" s="802"/>
      <c r="AM146" s="802"/>
      <c r="AN146" s="802"/>
      <c r="AO146" s="802"/>
      <c r="AP146" s="802"/>
      <c r="AQ146" s="802"/>
      <c r="AR146" s="802"/>
      <c r="AS146" s="802"/>
      <c r="AX146" s="1"/>
      <c r="BG146" s="142"/>
      <c r="BH146" s="142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2"/>
      <c r="DA146" s="1"/>
      <c r="DS146" s="5"/>
      <c r="DT146" s="142"/>
      <c r="DU146" s="142"/>
      <c r="DV146" s="142"/>
      <c r="DW146" s="142"/>
      <c r="FZ146" s="142"/>
      <c r="JU146" s="142"/>
      <c r="JV146" s="142"/>
      <c r="JW146" s="142"/>
      <c r="JX146" s="142"/>
      <c r="PB146" s="142"/>
      <c r="PC146" s="142"/>
      <c r="PE146" s="142"/>
      <c r="PS146" s="145"/>
      <c r="PW146" s="142"/>
      <c r="RZ146" s="145"/>
      <c r="AHI146" s="141"/>
      <c r="AIX146" s="141"/>
      <c r="AIY146" s="141"/>
      <c r="AIZ146" s="141"/>
    </row>
    <row r="147" spans="2:936" hidden="1" x14ac:dyDescent="0.25">
      <c r="B147" s="727"/>
      <c r="C147" s="418" t="s">
        <v>32</v>
      </c>
      <c r="D147" s="48"/>
      <c r="E147" s="48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3"/>
      <c r="T147" s="521" t="s">
        <v>131</v>
      </c>
      <c r="U147" s="676" t="s">
        <v>131</v>
      </c>
      <c r="V147" s="775" t="s">
        <v>131</v>
      </c>
      <c r="X147" s="1"/>
      <c r="Y147" s="62"/>
      <c r="Z147" s="62"/>
      <c r="AA147" s="62"/>
      <c r="AB147" s="62"/>
      <c r="AC147" s="62"/>
      <c r="AD147" s="62"/>
      <c r="AE147" s="62"/>
      <c r="AF147" s="62"/>
      <c r="AG147" s="802"/>
      <c r="AH147" s="802"/>
      <c r="AI147" s="802"/>
      <c r="AJ147" s="802"/>
      <c r="AK147" s="802"/>
      <c r="AL147" s="802"/>
      <c r="AM147" s="802"/>
      <c r="AN147" s="802"/>
      <c r="AO147" s="802"/>
      <c r="AP147" s="802"/>
      <c r="AR147" s="62"/>
      <c r="AX147" s="1"/>
      <c r="BD147" s="141"/>
      <c r="BE147" s="14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1"/>
      <c r="DA147" s="1"/>
      <c r="DP147" s="5"/>
      <c r="DQ147" s="141"/>
      <c r="DR147" s="141"/>
      <c r="DS147" s="141"/>
      <c r="DT147" s="141"/>
      <c r="FW147" s="141"/>
      <c r="JR147" s="141"/>
      <c r="JS147" s="141"/>
      <c r="JT147" s="141"/>
      <c r="JU147" s="141"/>
      <c r="OY147" s="141"/>
      <c r="OZ147" s="141"/>
      <c r="PB147" s="141"/>
      <c r="PP147" s="480"/>
      <c r="PT147" s="141"/>
      <c r="RW147" s="480"/>
      <c r="AHF147" s="141"/>
      <c r="AIU147" s="141"/>
      <c r="AIV147" s="141"/>
      <c r="AIW147" s="141"/>
    </row>
    <row r="148" spans="2:936" hidden="1" x14ac:dyDescent="0.25">
      <c r="B148" s="730"/>
      <c r="C148" s="568" t="s">
        <v>29</v>
      </c>
      <c r="D148" s="475"/>
      <c r="E148" s="463"/>
      <c r="F148" s="438"/>
      <c r="G148" s="438" t="e">
        <v>#REF!</v>
      </c>
      <c r="H148" s="438"/>
      <c r="I148" s="438"/>
      <c r="J148" s="438"/>
      <c r="K148" s="438"/>
      <c r="L148" s="438"/>
      <c r="M148" s="438"/>
      <c r="N148" s="438"/>
      <c r="O148" s="438"/>
      <c r="P148" s="438"/>
      <c r="Q148" s="438"/>
      <c r="R148" s="438"/>
      <c r="S148" s="718"/>
      <c r="T148" s="63" t="s">
        <v>29</v>
      </c>
      <c r="U148" s="687" t="s">
        <v>29</v>
      </c>
      <c r="V148" s="784" t="s">
        <v>29</v>
      </c>
      <c r="X148" s="1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R148" s="62"/>
      <c r="AX148" s="1"/>
      <c r="BD148" s="142"/>
      <c r="BE148" s="142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2"/>
      <c r="DA148" s="1"/>
      <c r="DP148" s="5"/>
      <c r="DQ148" s="142"/>
      <c r="DR148" s="142"/>
      <c r="DS148" s="142"/>
      <c r="DT148" s="142"/>
      <c r="FW148" s="142"/>
      <c r="JR148" s="142"/>
      <c r="JS148" s="142"/>
      <c r="JT148" s="142"/>
      <c r="JU148" s="142"/>
      <c r="OY148" s="142"/>
      <c r="OZ148" s="142"/>
      <c r="PB148" s="142"/>
      <c r="PP148" s="145"/>
      <c r="PT148" s="142"/>
      <c r="RW148" s="145"/>
      <c r="AHF148" s="141"/>
      <c r="AIU148" s="141"/>
      <c r="AIV148" s="141"/>
      <c r="AIW148" s="141"/>
    </row>
    <row r="149" spans="2:936" hidden="1" x14ac:dyDescent="0.25">
      <c r="B149" s="730"/>
      <c r="C149" s="435" t="s">
        <v>42</v>
      </c>
      <c r="D149" s="475"/>
      <c r="E149" s="495" t="s">
        <v>31</v>
      </c>
      <c r="F149" s="33">
        <f>'[3]Januari 24'!AL131</f>
        <v>586296</v>
      </c>
      <c r="G149" s="33" t="e">
        <v>#REF!</v>
      </c>
      <c r="H149" s="33">
        <v>0</v>
      </c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718"/>
      <c r="T149" s="54" t="e">
        <f t="shared" ref="T149:V150" si="18">SUM(F149:R149)</f>
        <v>#REF!</v>
      </c>
      <c r="U149" s="665" t="e">
        <f t="shared" si="18"/>
        <v>#REF!</v>
      </c>
      <c r="V149" s="785" t="e">
        <f t="shared" si="18"/>
        <v>#REF!</v>
      </c>
      <c r="X149" s="1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R149" s="62"/>
      <c r="AX149" s="1"/>
      <c r="BD149" s="142"/>
      <c r="BE149" s="14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2"/>
      <c r="DA149" s="1"/>
      <c r="DP149" s="5"/>
      <c r="DQ149" s="142"/>
      <c r="DR149" s="142"/>
      <c r="DS149" s="142"/>
      <c r="DT149" s="142"/>
      <c r="FW149" s="142"/>
      <c r="JR149" s="142"/>
      <c r="JS149" s="142"/>
      <c r="JT149" s="142"/>
      <c r="JU149" s="142"/>
      <c r="OY149" s="142"/>
      <c r="OZ149" s="142"/>
      <c r="PB149" s="142"/>
      <c r="PP149" s="145"/>
      <c r="PT149" s="142"/>
      <c r="RW149" s="145"/>
      <c r="AHF149" s="141"/>
      <c r="AIU149" s="141"/>
      <c r="AIV149" s="141"/>
      <c r="AIW149" s="141"/>
    </row>
    <row r="150" spans="2:936" hidden="1" x14ac:dyDescent="0.25">
      <c r="B150" s="730"/>
      <c r="C150" s="435" t="s">
        <v>41</v>
      </c>
      <c r="D150" s="475"/>
      <c r="E150" s="495" t="s">
        <v>31</v>
      </c>
      <c r="F150" s="33">
        <f>'[3]Januari 24'!AL132</f>
        <v>30138</v>
      </c>
      <c r="G150" s="33"/>
      <c r="H150" s="33">
        <v>0</v>
      </c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18"/>
      <c r="T150" s="54">
        <f t="shared" si="18"/>
        <v>30138</v>
      </c>
      <c r="U150" s="665">
        <f t="shared" si="18"/>
        <v>0</v>
      </c>
      <c r="V150" s="785">
        <f t="shared" si="18"/>
        <v>30138</v>
      </c>
      <c r="X150" s="1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R150" s="62"/>
      <c r="AX150" s="1"/>
      <c r="BD150" s="142"/>
      <c r="BE150" s="14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2"/>
      <c r="DA150" s="1"/>
      <c r="DP150" s="5"/>
      <c r="DQ150" s="142"/>
      <c r="DR150" s="142"/>
      <c r="DS150" s="142"/>
      <c r="DT150" s="142"/>
      <c r="FW150" s="142"/>
      <c r="JR150" s="142"/>
      <c r="JS150" s="142"/>
      <c r="JT150" s="142"/>
      <c r="JU150" s="142"/>
      <c r="OY150" s="142"/>
      <c r="OZ150" s="142"/>
      <c r="PB150" s="142"/>
      <c r="PP150" s="145"/>
      <c r="PT150" s="142"/>
      <c r="RW150" s="145"/>
      <c r="AHF150" s="141"/>
      <c r="AIU150" s="141"/>
      <c r="AIV150" s="141"/>
      <c r="AIW150" s="141"/>
    </row>
    <row r="151" spans="2:936" hidden="1" x14ac:dyDescent="0.25">
      <c r="B151" s="730"/>
      <c r="C151" s="568" t="s">
        <v>28</v>
      </c>
      <c r="D151" s="475"/>
      <c r="E151" s="463"/>
      <c r="F151" s="33"/>
      <c r="G151" s="33" t="e">
        <v>#REF!</v>
      </c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18"/>
      <c r="T151" s="63" t="s">
        <v>28</v>
      </c>
      <c r="U151" s="687" t="s">
        <v>28</v>
      </c>
      <c r="V151" s="784" t="s">
        <v>28</v>
      </c>
      <c r="X151" s="1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R151" s="62"/>
      <c r="AX151" s="1"/>
      <c r="BD151" s="142"/>
      <c r="BE151" s="14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2"/>
      <c r="DA151" s="1"/>
      <c r="DP151" s="5"/>
      <c r="DQ151" s="142"/>
      <c r="DR151" s="142"/>
      <c r="DS151" s="142"/>
      <c r="DT151" s="142"/>
      <c r="FW151" s="142"/>
      <c r="JR151" s="142"/>
      <c r="JS151" s="142"/>
      <c r="JT151" s="142"/>
      <c r="JU151" s="142"/>
      <c r="OY151" s="142"/>
      <c r="OZ151" s="142"/>
      <c r="PB151" s="142"/>
      <c r="PP151" s="145"/>
      <c r="PT151" s="142"/>
      <c r="RW151" s="145"/>
      <c r="AHF151" s="141"/>
      <c r="AIU151" s="141"/>
      <c r="AIV151" s="141"/>
      <c r="AIW151" s="141"/>
    </row>
    <row r="152" spans="2:936" hidden="1" x14ac:dyDescent="0.25">
      <c r="B152" s="730"/>
      <c r="C152" s="435" t="str">
        <f>C149</f>
        <v xml:space="preserve">INL SP 900 mL  </v>
      </c>
      <c r="D152" s="475"/>
      <c r="E152" s="495" t="s">
        <v>28</v>
      </c>
      <c r="F152" s="33">
        <f>F149*12</f>
        <v>7035552</v>
      </c>
      <c r="G152" s="33" t="e">
        <v>#REF!</v>
      </c>
      <c r="H152" s="33"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18"/>
      <c r="T152" s="54" t="e">
        <f t="shared" ref="T152:V153" si="19">SUM(F152:R152)</f>
        <v>#REF!</v>
      </c>
      <c r="U152" s="665" t="e">
        <f t="shared" si="19"/>
        <v>#REF!</v>
      </c>
      <c r="V152" s="785" t="e">
        <f t="shared" si="19"/>
        <v>#REF!</v>
      </c>
      <c r="X152" s="1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R152" s="62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30"/>
      <c r="C153" s="435" t="str">
        <f>C150</f>
        <v>INL SP 1,8 L</v>
      </c>
      <c r="D153" s="475"/>
      <c r="E153" s="495" t="s">
        <v>28</v>
      </c>
      <c r="F153" s="33">
        <f>F150*6</f>
        <v>180828</v>
      </c>
      <c r="G153" s="33"/>
      <c r="H153" s="33">
        <v>0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718"/>
      <c r="T153" s="54">
        <f t="shared" si="19"/>
        <v>180828</v>
      </c>
      <c r="U153" s="665">
        <f t="shared" si="19"/>
        <v>0</v>
      </c>
      <c r="V153" s="785">
        <f t="shared" si="19"/>
        <v>180828</v>
      </c>
      <c r="X153" s="1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R153" s="62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30"/>
      <c r="C154" s="418" t="s">
        <v>30</v>
      </c>
      <c r="D154" s="76"/>
      <c r="E154" s="587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588"/>
      <c r="T154" s="95"/>
      <c r="U154" s="690"/>
      <c r="V154" s="789"/>
      <c r="X154" s="1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R154" s="62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30"/>
      <c r="C155" s="568" t="s">
        <v>29</v>
      </c>
      <c r="D155" s="475"/>
      <c r="E155" s="495"/>
      <c r="F155" s="33"/>
      <c r="G155" s="33" t="e">
        <v>#REF!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718"/>
      <c r="T155" s="54"/>
      <c r="U155" s="665"/>
      <c r="V155" s="785"/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30"/>
      <c r="C156" s="435" t="s">
        <v>42</v>
      </c>
      <c r="D156" s="475"/>
      <c r="E156" s="495" t="s">
        <v>25</v>
      </c>
      <c r="F156" s="439">
        <f>F149/F140*100</f>
        <v>1200</v>
      </c>
      <c r="G156" s="439" t="e">
        <v>#REF!</v>
      </c>
      <c r="H156" s="439" t="e">
        <v>#DIV/0!</v>
      </c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718"/>
      <c r="T156" s="58" t="e">
        <f>T149/T140*100</f>
        <v>#REF!</v>
      </c>
      <c r="U156" s="665"/>
      <c r="V156" s="785"/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30"/>
      <c r="C157" s="435" t="s">
        <v>41</v>
      </c>
      <c r="D157" s="475"/>
      <c r="E157" s="495" t="s">
        <v>25</v>
      </c>
      <c r="F157" s="439">
        <f>F150/F141*100</f>
        <v>600</v>
      </c>
      <c r="G157" s="439"/>
      <c r="H157" s="439" t="e">
        <v>#DIV/0!</v>
      </c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718"/>
      <c r="T157" s="58">
        <f>T150/T141*100</f>
        <v>600</v>
      </c>
      <c r="U157" s="665"/>
      <c r="V157" s="785"/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30"/>
      <c r="C158" s="568" t="s">
        <v>28</v>
      </c>
      <c r="D158" s="475"/>
      <c r="E158" s="495"/>
      <c r="F158" s="33"/>
      <c r="G158" s="33" t="e">
        <v>#REF!</v>
      </c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718"/>
      <c r="T158" s="54"/>
      <c r="U158" s="665"/>
      <c r="V158" s="785"/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30"/>
      <c r="C159" s="435" t="s">
        <v>42</v>
      </c>
      <c r="D159" s="475"/>
      <c r="E159" s="495" t="s">
        <v>25</v>
      </c>
      <c r="F159" s="439">
        <f>F152/F143*100</f>
        <v>1200</v>
      </c>
      <c r="G159" s="439" t="e">
        <v>#REF!</v>
      </c>
      <c r="H159" s="439" t="e">
        <v>#DIV/0!</v>
      </c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718"/>
      <c r="T159" s="58" t="e">
        <f>T152/T143*100</f>
        <v>#REF!</v>
      </c>
      <c r="U159" s="665"/>
      <c r="V159" s="785"/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30"/>
      <c r="C160" s="435" t="s">
        <v>41</v>
      </c>
      <c r="D160" s="475"/>
      <c r="E160" s="495" t="s">
        <v>25</v>
      </c>
      <c r="F160" s="439">
        <f>F153/F144*100</f>
        <v>600</v>
      </c>
      <c r="G160" s="439"/>
      <c r="H160" s="439" t="e">
        <v>#DIV/0!</v>
      </c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718"/>
      <c r="T160" s="58">
        <f>T153/T144*100</f>
        <v>600</v>
      </c>
      <c r="U160" s="665"/>
      <c r="V160" s="785"/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145"/>
      <c r="PT160" s="142"/>
      <c r="RW160" s="145"/>
      <c r="AHF160" s="141"/>
      <c r="AIU160" s="141"/>
      <c r="AIV160" s="141"/>
      <c r="AIW160" s="141"/>
    </row>
    <row r="161" spans="2:933" hidden="1" x14ac:dyDescent="0.25">
      <c r="B161" s="726">
        <v>8</v>
      </c>
      <c r="C161" s="418" t="s">
        <v>40</v>
      </c>
      <c r="D161" s="48"/>
      <c r="E161" s="48"/>
      <c r="F161" s="50"/>
      <c r="G161" s="50" t="e">
        <v>#REF!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3"/>
      <c r="T161" s="521" t="s">
        <v>130</v>
      </c>
      <c r="U161" s="676" t="s">
        <v>130</v>
      </c>
      <c r="V161" s="775" t="s">
        <v>130</v>
      </c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1"/>
      <c r="BE161" s="14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1"/>
      <c r="DA161" s="1"/>
      <c r="DP161" s="5"/>
      <c r="DQ161" s="141"/>
      <c r="DR161" s="141"/>
      <c r="DS161" s="141"/>
      <c r="DT161" s="141"/>
      <c r="FW161" s="141"/>
      <c r="JR161" s="141"/>
      <c r="JS161" s="141"/>
      <c r="JT161" s="141"/>
      <c r="JU161" s="141"/>
      <c r="OY161" s="141"/>
      <c r="OZ161" s="141"/>
      <c r="PB161" s="141"/>
      <c r="PP161" s="480"/>
      <c r="PT161" s="141"/>
      <c r="RW161" s="480"/>
      <c r="AHF161" s="141"/>
      <c r="AIU161" s="141"/>
      <c r="AIV161" s="141"/>
      <c r="AIW161" s="141"/>
    </row>
    <row r="162" spans="2:933" hidden="1" x14ac:dyDescent="0.25">
      <c r="B162" s="730"/>
      <c r="C162" s="578" t="s">
        <v>115</v>
      </c>
      <c r="D162" s="579"/>
      <c r="E162" s="20" t="s">
        <v>14</v>
      </c>
      <c r="F162" s="589">
        <f>'[3]Januari 24'!AL150</f>
        <v>0</v>
      </c>
      <c r="G162" s="589">
        <v>0</v>
      </c>
      <c r="H162" s="589">
        <v>0</v>
      </c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732"/>
      <c r="T162" s="89">
        <f>SUM(T163:T164)</f>
        <v>0</v>
      </c>
      <c r="U162" s="685">
        <f>SUM(U163:U164)</f>
        <v>0</v>
      </c>
      <c r="V162" s="786">
        <f>SUM(V163:V164)</f>
        <v>0</v>
      </c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30"/>
      <c r="C163" s="568" t="s">
        <v>39</v>
      </c>
      <c r="D163" s="475"/>
      <c r="E163" s="495" t="s">
        <v>14</v>
      </c>
      <c r="F163" s="439">
        <f>SUM(F167:F169)*9.75348</f>
        <v>0</v>
      </c>
      <c r="G163" s="439">
        <v>0</v>
      </c>
      <c r="H163" s="439">
        <v>0</v>
      </c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718"/>
      <c r="T163" s="58">
        <f t="shared" ref="T163:V164" si="20">SUM(F163:R163)</f>
        <v>0</v>
      </c>
      <c r="U163" s="668">
        <f t="shared" si="20"/>
        <v>0</v>
      </c>
      <c r="V163" s="768">
        <f t="shared" si="20"/>
        <v>0</v>
      </c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2"/>
      <c r="BE163" s="14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2"/>
      <c r="DA163" s="1"/>
      <c r="DP163" s="5"/>
      <c r="DQ163" s="142"/>
      <c r="DR163" s="142"/>
      <c r="DS163" s="142"/>
      <c r="DT163" s="142"/>
      <c r="FW163" s="142"/>
      <c r="JR163" s="142"/>
      <c r="JS163" s="142"/>
      <c r="JT163" s="142"/>
      <c r="JU163" s="142"/>
      <c r="OY163" s="142"/>
      <c r="OZ163" s="142"/>
      <c r="PB163" s="142"/>
      <c r="PP163" s="145"/>
      <c r="PT163" s="142"/>
      <c r="RW163" s="145"/>
      <c r="AHF163" s="141"/>
      <c r="AIU163" s="141"/>
      <c r="AIV163" s="141"/>
      <c r="AIW163" s="141"/>
    </row>
    <row r="164" spans="2:933" hidden="1" x14ac:dyDescent="0.25">
      <c r="B164" s="730"/>
      <c r="C164" s="568" t="s">
        <v>38</v>
      </c>
      <c r="D164" s="475"/>
      <c r="E164" s="495" t="s">
        <v>14</v>
      </c>
      <c r="F164" s="439">
        <f>F162-F163</f>
        <v>0</v>
      </c>
      <c r="G164" s="439" t="s">
        <v>349</v>
      </c>
      <c r="H164" s="439">
        <v>0</v>
      </c>
      <c r="I164" s="439"/>
      <c r="J164" s="439"/>
      <c r="K164" s="439"/>
      <c r="L164" s="439"/>
      <c r="M164" s="439"/>
      <c r="N164" s="438"/>
      <c r="O164" s="438"/>
      <c r="P164" s="438"/>
      <c r="Q164" s="439"/>
      <c r="R164" s="439"/>
      <c r="S164" s="718"/>
      <c r="T164" s="58">
        <f t="shared" si="20"/>
        <v>0</v>
      </c>
      <c r="U164" s="668">
        <f t="shared" si="20"/>
        <v>0</v>
      </c>
      <c r="V164" s="768">
        <f t="shared" si="20"/>
        <v>0</v>
      </c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30"/>
      <c r="C165" s="568" t="s">
        <v>29</v>
      </c>
      <c r="D165" s="475"/>
      <c r="E165" s="463"/>
      <c r="F165" s="438"/>
      <c r="G165" s="438">
        <v>0</v>
      </c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438"/>
      <c r="S165" s="718"/>
      <c r="T165" s="63" t="s">
        <v>29</v>
      </c>
      <c r="U165" s="687" t="s">
        <v>29</v>
      </c>
      <c r="V165" s="784" t="s">
        <v>29</v>
      </c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2"/>
      <c r="BE165" s="14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2"/>
      <c r="DA165" s="1"/>
      <c r="DP165" s="5"/>
      <c r="DQ165" s="142"/>
      <c r="DR165" s="142"/>
      <c r="DS165" s="142"/>
      <c r="DT165" s="142"/>
      <c r="FW165" s="142"/>
      <c r="JR165" s="142"/>
      <c r="JS165" s="142"/>
      <c r="JT165" s="142"/>
      <c r="JU165" s="142"/>
      <c r="OY165" s="142"/>
      <c r="OZ165" s="142"/>
      <c r="PB165" s="142"/>
      <c r="PP165" s="145"/>
      <c r="PT165" s="142"/>
      <c r="RW165" s="145"/>
      <c r="AHF165" s="141"/>
      <c r="AIU165" s="141"/>
      <c r="AIV165" s="141"/>
      <c r="AIW165" s="141"/>
    </row>
    <row r="166" spans="2:933" hidden="1" x14ac:dyDescent="0.25">
      <c r="B166" s="730"/>
      <c r="C166" s="435" t="s">
        <v>116</v>
      </c>
      <c r="D166" s="475"/>
      <c r="E166" s="572" t="s">
        <v>31</v>
      </c>
      <c r="F166" s="438">
        <f>'[3]Januari 24'!AL154</f>
        <v>0</v>
      </c>
      <c r="G166" s="438">
        <v>0</v>
      </c>
      <c r="H166" s="438">
        <v>0</v>
      </c>
      <c r="I166" s="438"/>
      <c r="J166" s="438"/>
      <c r="K166" s="438"/>
      <c r="L166" s="438"/>
      <c r="M166" s="438"/>
      <c r="N166" s="438"/>
      <c r="O166" s="438"/>
      <c r="P166" s="438"/>
      <c r="Q166" s="438"/>
      <c r="R166" s="438"/>
      <c r="S166" s="718"/>
      <c r="T166" s="63"/>
      <c r="U166" s="687">
        <v>11326</v>
      </c>
      <c r="V166" s="784"/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2"/>
      <c r="BE166" s="14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2"/>
      <c r="DA166" s="1"/>
      <c r="DP166" s="5"/>
      <c r="DQ166" s="142"/>
      <c r="DR166" s="142"/>
      <c r="DS166" s="142"/>
      <c r="DT166" s="142"/>
      <c r="FW166" s="142"/>
      <c r="JR166" s="142"/>
      <c r="JS166" s="142"/>
      <c r="JT166" s="142"/>
      <c r="JU166" s="142"/>
      <c r="OY166" s="142"/>
      <c r="OZ166" s="142"/>
      <c r="PB166" s="142"/>
      <c r="PP166" s="145"/>
      <c r="PT166" s="142"/>
      <c r="RW166" s="145"/>
      <c r="AHF166" s="141"/>
      <c r="AIU166" s="141"/>
      <c r="AIV166" s="141"/>
      <c r="AIW166" s="141"/>
    </row>
    <row r="167" spans="2:933" hidden="1" x14ac:dyDescent="0.25">
      <c r="B167" s="731"/>
      <c r="C167" s="435" t="s">
        <v>27</v>
      </c>
      <c r="D167" s="436"/>
      <c r="E167" s="572" t="s">
        <v>31</v>
      </c>
      <c r="F167" s="282">
        <f>'[3]Januari 24'!AL155</f>
        <v>0</v>
      </c>
      <c r="G167" s="282">
        <v>0</v>
      </c>
      <c r="H167" s="282">
        <v>0</v>
      </c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720"/>
      <c r="T167" s="91">
        <f>SUM(F167:R167)</f>
        <v>0</v>
      </c>
      <c r="U167" s="688">
        <v>62922</v>
      </c>
      <c r="V167" s="788">
        <f>SUM(H167:T167)</f>
        <v>0</v>
      </c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6"/>
      <c r="BD167" s="148"/>
      <c r="BE167" s="148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8"/>
      <c r="DA167" s="1"/>
      <c r="DP167" s="516"/>
      <c r="DQ167" s="148"/>
      <c r="DR167" s="148"/>
      <c r="DS167" s="148"/>
      <c r="DT167" s="148"/>
      <c r="FW167" s="148"/>
      <c r="JR167" s="148"/>
      <c r="JS167" s="148"/>
      <c r="JT167" s="148"/>
      <c r="JU167" s="148"/>
      <c r="OY167" s="148"/>
      <c r="OZ167" s="148"/>
      <c r="PB167" s="148"/>
      <c r="PP167" s="573"/>
      <c r="PT167" s="148"/>
      <c r="RW167" s="573"/>
      <c r="AHF167" s="144"/>
      <c r="AIU167" s="144"/>
      <c r="AIV167" s="144"/>
      <c r="AIW167" s="144"/>
    </row>
    <row r="168" spans="2:933" hidden="1" x14ac:dyDescent="0.25">
      <c r="B168" s="731"/>
      <c r="C168" s="435" t="s">
        <v>26</v>
      </c>
      <c r="D168" s="436"/>
      <c r="E168" s="572" t="s">
        <v>31</v>
      </c>
      <c r="F168" s="282">
        <f>'[3]Januari 24'!AL156</f>
        <v>0</v>
      </c>
      <c r="G168" s="282">
        <v>0</v>
      </c>
      <c r="H168" s="282">
        <v>0</v>
      </c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720"/>
      <c r="T168" s="91">
        <f>SUM(F168:R168)</f>
        <v>0</v>
      </c>
      <c r="U168" s="688">
        <v>172089</v>
      </c>
      <c r="V168" s="788">
        <f>SUM(H168:T168)</f>
        <v>0</v>
      </c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6"/>
      <c r="BD168" s="148"/>
      <c r="BE168" s="148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8"/>
      <c r="DA168" s="1"/>
      <c r="DP168" s="516"/>
      <c r="DQ168" s="148"/>
      <c r="DR168" s="148"/>
      <c r="DS168" s="148"/>
      <c r="DT168" s="148"/>
      <c r="FW168" s="148"/>
      <c r="JR168" s="148"/>
      <c r="JS168" s="148"/>
      <c r="JT168" s="148"/>
      <c r="JU168" s="148"/>
      <c r="OY168" s="148"/>
      <c r="OZ168" s="148"/>
      <c r="PB168" s="148"/>
      <c r="PP168" s="573"/>
      <c r="PT168" s="148"/>
      <c r="RW168" s="573"/>
      <c r="AHF168" s="144"/>
      <c r="AIU168" s="144"/>
      <c r="AIV168" s="144"/>
      <c r="AIW168" s="144"/>
    </row>
    <row r="169" spans="2:933" hidden="1" x14ac:dyDescent="0.25">
      <c r="B169" s="731"/>
      <c r="C169" s="435" t="s">
        <v>37</v>
      </c>
      <c r="D169" s="436"/>
      <c r="E169" s="572" t="s">
        <v>31</v>
      </c>
      <c r="F169" s="282">
        <f>'[3]Januari 24'!AL157</f>
        <v>0</v>
      </c>
      <c r="G169" s="282"/>
      <c r="H169" s="282">
        <v>0</v>
      </c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720"/>
      <c r="T169" s="91">
        <f>SUM(F169:R169)</f>
        <v>0</v>
      </c>
      <c r="U169" s="688">
        <f>SUM(G169:S169)</f>
        <v>0</v>
      </c>
      <c r="V169" s="788">
        <f>SUM(H169:T169)</f>
        <v>0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6"/>
      <c r="BD169" s="148"/>
      <c r="BE169" s="148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8"/>
      <c r="DA169" s="1"/>
      <c r="DP169" s="516"/>
      <c r="DQ169" s="148"/>
      <c r="DR169" s="148"/>
      <c r="DS169" s="148"/>
      <c r="DT169" s="148"/>
      <c r="FW169" s="148"/>
      <c r="JR169" s="148"/>
      <c r="JS169" s="148"/>
      <c r="JT169" s="148"/>
      <c r="JU169" s="148"/>
      <c r="OY169" s="148"/>
      <c r="OZ169" s="148"/>
      <c r="PB169" s="148"/>
      <c r="PP169" s="573"/>
      <c r="PT169" s="148"/>
      <c r="RW169" s="573"/>
      <c r="AHF169" s="144"/>
      <c r="AIU169" s="144"/>
      <c r="AIV169" s="144"/>
      <c r="AIW169" s="144"/>
    </row>
    <row r="170" spans="2:933" hidden="1" x14ac:dyDescent="0.25">
      <c r="B170" s="730"/>
      <c r="C170" s="568" t="s">
        <v>28</v>
      </c>
      <c r="D170" s="475"/>
      <c r="E170" s="463"/>
      <c r="F170" s="438"/>
      <c r="G170" s="438">
        <v>0</v>
      </c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8"/>
      <c r="S170" s="718"/>
      <c r="T170" s="63" t="s">
        <v>28</v>
      </c>
      <c r="U170" s="687" t="s">
        <v>28</v>
      </c>
      <c r="V170" s="784" t="s">
        <v>28</v>
      </c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"/>
      <c r="BD170" s="142"/>
      <c r="BE170" s="142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2"/>
      <c r="DA170" s="1"/>
      <c r="DP170" s="5"/>
      <c r="DQ170" s="142"/>
      <c r="DR170" s="142"/>
      <c r="DS170" s="142"/>
      <c r="DT170" s="142"/>
      <c r="FW170" s="142"/>
      <c r="JR170" s="142"/>
      <c r="JS170" s="142"/>
      <c r="JT170" s="142"/>
      <c r="JU170" s="142"/>
      <c r="OY170" s="142"/>
      <c r="OZ170" s="142"/>
      <c r="PB170" s="142"/>
      <c r="PP170" s="145"/>
      <c r="PT170" s="142"/>
      <c r="RW170" s="145"/>
      <c r="AHF170" s="141"/>
      <c r="AIU170" s="141"/>
      <c r="AIV170" s="141"/>
      <c r="AIW170" s="141"/>
    </row>
    <row r="171" spans="2:933" hidden="1" x14ac:dyDescent="0.25">
      <c r="B171" s="730"/>
      <c r="C171" s="435" t="s">
        <v>27</v>
      </c>
      <c r="D171" s="475"/>
      <c r="E171" s="495" t="s">
        <v>28</v>
      </c>
      <c r="F171" s="438">
        <f>F167*24</f>
        <v>0</v>
      </c>
      <c r="G171" s="438">
        <v>0</v>
      </c>
      <c r="H171" s="438">
        <v>0</v>
      </c>
      <c r="I171" s="438"/>
      <c r="J171" s="438"/>
      <c r="K171" s="438"/>
      <c r="L171" s="438"/>
      <c r="M171" s="438"/>
      <c r="N171" s="438"/>
      <c r="O171" s="438"/>
      <c r="P171" s="438"/>
      <c r="Q171" s="438"/>
      <c r="R171" s="438"/>
      <c r="S171" s="718"/>
      <c r="T171" s="54">
        <f>T167*24</f>
        <v>0</v>
      </c>
      <c r="U171" s="665">
        <f>U167*24</f>
        <v>1510128</v>
      </c>
      <c r="V171" s="785">
        <f>V167*24</f>
        <v>0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"/>
      <c r="BD171" s="142"/>
      <c r="BE171" s="142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2"/>
      <c r="DA171" s="1"/>
      <c r="DP171" s="5"/>
      <c r="DQ171" s="142"/>
      <c r="DR171" s="142"/>
      <c r="DS171" s="142"/>
      <c r="DT171" s="142"/>
      <c r="FW171" s="142"/>
      <c r="JR171" s="142"/>
      <c r="JS171" s="142"/>
      <c r="JT171" s="142"/>
      <c r="JU171" s="142"/>
      <c r="OY171" s="142"/>
      <c r="OZ171" s="142"/>
      <c r="PB171" s="142"/>
      <c r="PP171" s="145"/>
      <c r="PT171" s="142"/>
      <c r="RW171" s="145"/>
      <c r="AHF171" s="141"/>
      <c r="AIU171" s="141"/>
      <c r="AIV171" s="141"/>
      <c r="AIW171" s="141"/>
    </row>
    <row r="172" spans="2:933" hidden="1" x14ac:dyDescent="0.25">
      <c r="B172" s="730"/>
      <c r="C172" s="435" t="s">
        <v>26</v>
      </c>
      <c r="D172" s="475"/>
      <c r="E172" s="495" t="s">
        <v>28</v>
      </c>
      <c r="F172" s="438">
        <f>F168*12</f>
        <v>0</v>
      </c>
      <c r="G172" s="438">
        <v>0</v>
      </c>
      <c r="H172" s="438">
        <v>0</v>
      </c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718"/>
      <c r="T172" s="54">
        <f>T168*12</f>
        <v>0</v>
      </c>
      <c r="U172" s="665">
        <f>U168*12</f>
        <v>2065068</v>
      </c>
      <c r="V172" s="785">
        <f>V168*12</f>
        <v>0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"/>
      <c r="BD172" s="142"/>
      <c r="BE172" s="14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2"/>
      <c r="DA172" s="1"/>
      <c r="DP172" s="5"/>
      <c r="DQ172" s="142"/>
      <c r="DR172" s="142"/>
      <c r="DS172" s="142"/>
      <c r="DT172" s="142"/>
      <c r="FW172" s="142"/>
      <c r="JR172" s="142"/>
      <c r="JS172" s="142"/>
      <c r="JT172" s="142"/>
      <c r="JU172" s="142"/>
      <c r="OY172" s="142"/>
      <c r="OZ172" s="142"/>
      <c r="PB172" s="142"/>
      <c r="PP172" s="145"/>
      <c r="PT172" s="142"/>
      <c r="RW172" s="145"/>
      <c r="AHF172" s="141"/>
      <c r="AIU172" s="141"/>
      <c r="AIV172" s="141"/>
      <c r="AIW172" s="141"/>
    </row>
    <row r="173" spans="2:933" hidden="1" x14ac:dyDescent="0.25">
      <c r="B173" s="730"/>
      <c r="C173" s="435" t="s">
        <v>37</v>
      </c>
      <c r="D173" s="475"/>
      <c r="E173" s="495" t="s">
        <v>28</v>
      </c>
      <c r="F173" s="438">
        <f>F169*6</f>
        <v>0</v>
      </c>
      <c r="G173" s="438">
        <v>0</v>
      </c>
      <c r="H173" s="438">
        <v>0</v>
      </c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718"/>
      <c r="T173" s="54">
        <f>T169*6</f>
        <v>0</v>
      </c>
      <c r="U173" s="665">
        <f>U169*6</f>
        <v>0</v>
      </c>
      <c r="V173" s="785">
        <f>V169*6</f>
        <v>0</v>
      </c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"/>
      <c r="BD173" s="142"/>
      <c r="BE173" s="14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2"/>
      <c r="DA173" s="1"/>
      <c r="DP173" s="5"/>
      <c r="DQ173" s="142"/>
      <c r="DR173" s="142"/>
      <c r="DS173" s="142"/>
      <c r="DT173" s="142"/>
      <c r="FW173" s="142"/>
      <c r="JR173" s="142"/>
      <c r="JS173" s="142"/>
      <c r="JT173" s="142"/>
      <c r="JU173" s="142"/>
      <c r="OY173" s="142"/>
      <c r="OZ173" s="142"/>
      <c r="PB173" s="142"/>
      <c r="PP173" s="145"/>
      <c r="PT173" s="142"/>
      <c r="RW173" s="145"/>
      <c r="AHF173" s="141"/>
      <c r="AIU173" s="141"/>
      <c r="AIV173" s="141"/>
      <c r="AIW173" s="141"/>
    </row>
    <row r="174" spans="2:933" hidden="1" x14ac:dyDescent="0.25">
      <c r="B174" s="730"/>
      <c r="C174" s="568" t="s">
        <v>36</v>
      </c>
      <c r="D174" s="475"/>
      <c r="E174" s="495" t="s">
        <v>35</v>
      </c>
      <c r="F174" s="438">
        <f>F162*45/1700</f>
        <v>0</v>
      </c>
      <c r="G174" s="438">
        <v>0</v>
      </c>
      <c r="H174" s="438">
        <v>0</v>
      </c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718"/>
      <c r="T174" s="54">
        <f t="shared" ref="T174:V175" si="21">SUM(F174:R174)</f>
        <v>0</v>
      </c>
      <c r="U174" s="665">
        <f t="shared" si="21"/>
        <v>0</v>
      </c>
      <c r="V174" s="785">
        <f t="shared" si="21"/>
        <v>0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30"/>
      <c r="C175" s="568" t="s">
        <v>34</v>
      </c>
      <c r="D175" s="475"/>
      <c r="E175" s="495" t="s">
        <v>33</v>
      </c>
      <c r="F175" s="438">
        <f>SUM(F167:F169)/500</f>
        <v>0</v>
      </c>
      <c r="G175" s="438"/>
      <c r="H175" s="438">
        <v>0</v>
      </c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718"/>
      <c r="T175" s="54">
        <f t="shared" si="21"/>
        <v>0</v>
      </c>
      <c r="U175" s="665">
        <f t="shared" si="21"/>
        <v>0</v>
      </c>
      <c r="V175" s="785">
        <f t="shared" si="21"/>
        <v>0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145"/>
      <c r="PT175" s="142"/>
      <c r="RW175" s="145"/>
      <c r="AHF175" s="141"/>
      <c r="AIU175" s="141"/>
      <c r="AIV175" s="141"/>
      <c r="AIW175" s="141"/>
    </row>
    <row r="176" spans="2:933" hidden="1" x14ac:dyDescent="0.25">
      <c r="B176" s="727"/>
      <c r="C176" s="418" t="s">
        <v>32</v>
      </c>
      <c r="D176" s="48"/>
      <c r="E176" s="48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3"/>
      <c r="T176" s="521" t="s">
        <v>131</v>
      </c>
      <c r="U176" s="676" t="s">
        <v>131</v>
      </c>
      <c r="V176" s="775" t="s">
        <v>131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"/>
      <c r="BD176" s="141"/>
      <c r="BE176" s="14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1"/>
      <c r="DA176" s="1"/>
      <c r="DP176" s="5"/>
      <c r="DQ176" s="141"/>
      <c r="DR176" s="141"/>
      <c r="DS176" s="141"/>
      <c r="DT176" s="141"/>
      <c r="FW176" s="141"/>
      <c r="JR176" s="141"/>
      <c r="JS176" s="141"/>
      <c r="JT176" s="141"/>
      <c r="JU176" s="141"/>
      <c r="OY176" s="141"/>
      <c r="OZ176" s="141"/>
      <c r="PB176" s="141"/>
      <c r="PP176" s="480"/>
      <c r="PT176" s="141"/>
      <c r="RW176" s="480"/>
      <c r="AHF176" s="141"/>
      <c r="AIU176" s="141"/>
      <c r="AIV176" s="141"/>
      <c r="AIW176" s="141"/>
    </row>
    <row r="177" spans="2:933" hidden="1" x14ac:dyDescent="0.25">
      <c r="B177" s="730"/>
      <c r="C177" s="568" t="s">
        <v>29</v>
      </c>
      <c r="D177" s="475"/>
      <c r="E177" s="463"/>
      <c r="F177" s="438"/>
      <c r="G177" s="438">
        <v>0</v>
      </c>
      <c r="H177" s="438"/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718"/>
      <c r="T177" s="63" t="s">
        <v>29</v>
      </c>
      <c r="U177" s="687" t="s">
        <v>29</v>
      </c>
      <c r="V177" s="784" t="s">
        <v>29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30"/>
      <c r="C178" s="435" t="s">
        <v>116</v>
      </c>
      <c r="D178" s="475"/>
      <c r="E178" s="495" t="s">
        <v>31</v>
      </c>
      <c r="F178" s="438"/>
      <c r="G178" s="438">
        <v>0</v>
      </c>
      <c r="H178" s="438" t="e">
        <v>#REF!</v>
      </c>
      <c r="I178" s="438"/>
      <c r="J178" s="438"/>
      <c r="K178" s="438"/>
      <c r="L178" s="438"/>
      <c r="M178" s="438"/>
      <c r="N178" s="438"/>
      <c r="O178" s="438"/>
      <c r="P178" s="438"/>
      <c r="Q178" s="438"/>
      <c r="R178" s="438"/>
      <c r="S178" s="718"/>
      <c r="T178" s="63"/>
      <c r="U178" s="687"/>
      <c r="V178" s="784"/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2"/>
      <c r="BE178" s="14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2"/>
      <c r="DA178" s="1"/>
      <c r="DP178" s="5"/>
      <c r="DQ178" s="142"/>
      <c r="DR178" s="142"/>
      <c r="DS178" s="142"/>
      <c r="DT178" s="142"/>
      <c r="FW178" s="142"/>
      <c r="JR178" s="142"/>
      <c r="JS178" s="142"/>
      <c r="JT178" s="142"/>
      <c r="JU178" s="142"/>
      <c r="OY178" s="142"/>
      <c r="OZ178" s="142"/>
      <c r="PB178" s="142"/>
      <c r="PP178" s="145"/>
      <c r="PT178" s="142"/>
      <c r="RW178" s="145"/>
      <c r="AHF178" s="141"/>
      <c r="AIU178" s="141"/>
      <c r="AIV178" s="141"/>
      <c r="AIW178" s="141"/>
    </row>
    <row r="179" spans="2:933" hidden="1" x14ac:dyDescent="0.25">
      <c r="B179" s="730"/>
      <c r="C179" s="435" t="s">
        <v>27</v>
      </c>
      <c r="D179" s="475"/>
      <c r="E179" s="495" t="s">
        <v>31</v>
      </c>
      <c r="F179" s="438">
        <v>0</v>
      </c>
      <c r="G179" s="438">
        <v>0</v>
      </c>
      <c r="H179" s="438">
        <v>0</v>
      </c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718"/>
      <c r="T179" s="54">
        <f t="shared" ref="T179:V180" si="22">SUM(F179:R179)</f>
        <v>0</v>
      </c>
      <c r="U179" s="665">
        <f t="shared" si="22"/>
        <v>0</v>
      </c>
      <c r="V179" s="785">
        <f t="shared" si="22"/>
        <v>0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30"/>
      <c r="C180" s="435" t="s">
        <v>26</v>
      </c>
      <c r="D180" s="475"/>
      <c r="E180" s="495" t="s">
        <v>31</v>
      </c>
      <c r="F180" s="438">
        <v>0</v>
      </c>
      <c r="G180" s="438"/>
      <c r="H180" s="438">
        <v>0</v>
      </c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718"/>
      <c r="T180" s="54">
        <f t="shared" si="22"/>
        <v>0</v>
      </c>
      <c r="U180" s="665">
        <f t="shared" si="22"/>
        <v>0</v>
      </c>
      <c r="V180" s="785">
        <f t="shared" si="22"/>
        <v>0</v>
      </c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2"/>
      <c r="BE180" s="142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2"/>
      <c r="DA180" s="1"/>
      <c r="DP180" s="5"/>
      <c r="DQ180" s="142"/>
      <c r="DR180" s="142"/>
      <c r="DS180" s="142"/>
      <c r="DT180" s="142"/>
      <c r="FW180" s="142"/>
      <c r="JR180" s="142"/>
      <c r="JS180" s="142"/>
      <c r="JT180" s="142"/>
      <c r="JU180" s="142"/>
      <c r="OY180" s="142"/>
      <c r="OZ180" s="142"/>
      <c r="PB180" s="142"/>
      <c r="PP180" s="145"/>
      <c r="PT180" s="142"/>
      <c r="RW180" s="145"/>
      <c r="AHF180" s="141"/>
      <c r="AIU180" s="141"/>
      <c r="AIV180" s="141"/>
      <c r="AIW180" s="141"/>
    </row>
    <row r="181" spans="2:933" hidden="1" x14ac:dyDescent="0.25">
      <c r="B181" s="730"/>
      <c r="C181" s="435" t="s">
        <v>37</v>
      </c>
      <c r="D181" s="475"/>
      <c r="E181" s="572" t="s">
        <v>31</v>
      </c>
      <c r="F181" s="438"/>
      <c r="G181" s="438"/>
      <c r="H181" s="438"/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718"/>
      <c r="T181" s="54"/>
      <c r="U181" s="665"/>
      <c r="V181" s="785"/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30"/>
      <c r="C182" s="568" t="s">
        <v>28</v>
      </c>
      <c r="D182" s="475"/>
      <c r="E182" s="463"/>
      <c r="F182" s="438"/>
      <c r="G182" s="438">
        <v>0</v>
      </c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718"/>
      <c r="T182" s="63" t="s">
        <v>28</v>
      </c>
      <c r="U182" s="687" t="s">
        <v>28</v>
      </c>
      <c r="V182" s="784" t="s">
        <v>28</v>
      </c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30"/>
      <c r="C183" s="435" t="s">
        <v>27</v>
      </c>
      <c r="D183" s="475"/>
      <c r="E183" s="495" t="s">
        <v>28</v>
      </c>
      <c r="F183" s="438">
        <v>0</v>
      </c>
      <c r="G183" s="438">
        <v>0</v>
      </c>
      <c r="H183" s="438">
        <v>0</v>
      </c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718"/>
      <c r="T183" s="54">
        <f t="shared" ref="T183:V185" si="23">SUM(F183:R183)</f>
        <v>0</v>
      </c>
      <c r="U183" s="665">
        <f t="shared" si="23"/>
        <v>0</v>
      </c>
      <c r="V183" s="785">
        <f t="shared" si="23"/>
        <v>0</v>
      </c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30"/>
      <c r="C184" s="435" t="s">
        <v>26</v>
      </c>
      <c r="D184" s="475"/>
      <c r="E184" s="495" t="s">
        <v>28</v>
      </c>
      <c r="F184" s="438">
        <v>0</v>
      </c>
      <c r="G184" s="438"/>
      <c r="H184" s="438">
        <v>0</v>
      </c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718"/>
      <c r="T184" s="54">
        <f t="shared" si="23"/>
        <v>0</v>
      </c>
      <c r="U184" s="665">
        <f t="shared" si="23"/>
        <v>0</v>
      </c>
      <c r="V184" s="785">
        <f t="shared" si="23"/>
        <v>0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30"/>
      <c r="C185" s="435" t="s">
        <v>37</v>
      </c>
      <c r="D185" s="475"/>
      <c r="E185" s="495" t="s">
        <v>28</v>
      </c>
      <c r="F185" s="438"/>
      <c r="G185" s="438"/>
      <c r="H185" s="438"/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718"/>
      <c r="T185" s="54">
        <f t="shared" si="23"/>
        <v>0</v>
      </c>
      <c r="U185" s="665">
        <f t="shared" si="23"/>
        <v>0</v>
      </c>
      <c r="V185" s="785">
        <f t="shared" si="23"/>
        <v>0</v>
      </c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145"/>
      <c r="PT185" s="142"/>
      <c r="RW185" s="145"/>
      <c r="AHF185" s="141"/>
      <c r="AIU185" s="141"/>
      <c r="AIV185" s="141"/>
      <c r="AIW185" s="141"/>
    </row>
    <row r="186" spans="2:933" hidden="1" x14ac:dyDescent="0.25">
      <c r="B186" s="727"/>
      <c r="C186" s="418" t="s">
        <v>30</v>
      </c>
      <c r="D186" s="48"/>
      <c r="E186" s="48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3"/>
      <c r="T186" s="521" t="s">
        <v>131</v>
      </c>
      <c r="U186" s="676" t="s">
        <v>131</v>
      </c>
      <c r="V186" s="775" t="s">
        <v>131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1"/>
      <c r="BE186" s="14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1"/>
      <c r="DA186" s="1"/>
      <c r="DP186" s="5"/>
      <c r="DQ186" s="141"/>
      <c r="DR186" s="141"/>
      <c r="DS186" s="141"/>
      <c r="DT186" s="141"/>
      <c r="FW186" s="141"/>
      <c r="JR186" s="141"/>
      <c r="JS186" s="141"/>
      <c r="JT186" s="141"/>
      <c r="JU186" s="141"/>
      <c r="OY186" s="141"/>
      <c r="OZ186" s="141"/>
      <c r="PB186" s="141"/>
      <c r="PP186" s="480"/>
      <c r="PT186" s="141"/>
      <c r="RW186" s="480"/>
      <c r="AHF186" s="141"/>
      <c r="AIU186" s="141"/>
      <c r="AIV186" s="141"/>
      <c r="AIW186" s="141"/>
    </row>
    <row r="187" spans="2:933" hidden="1" x14ac:dyDescent="0.25">
      <c r="B187" s="730"/>
      <c r="C187" s="568" t="s">
        <v>29</v>
      </c>
      <c r="D187" s="475"/>
      <c r="E187" s="463"/>
      <c r="F187" s="438"/>
      <c r="G187" s="438">
        <v>0</v>
      </c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718"/>
      <c r="T187" s="63" t="s">
        <v>29</v>
      </c>
      <c r="U187" s="687" t="s">
        <v>29</v>
      </c>
      <c r="V187" s="784" t="s">
        <v>29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30"/>
      <c r="C188" s="435" t="s">
        <v>27</v>
      </c>
      <c r="D188" s="462">
        <v>0.3</v>
      </c>
      <c r="E188" s="495" t="s">
        <v>25</v>
      </c>
      <c r="F188" s="439" t="e">
        <f>F179/F167*100</f>
        <v>#DIV/0!</v>
      </c>
      <c r="G188" s="439">
        <v>0</v>
      </c>
      <c r="H188" s="439">
        <v>0</v>
      </c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718"/>
      <c r="T188" s="58" t="e">
        <f>T179/T167*100</f>
        <v>#DIV/0!</v>
      </c>
      <c r="U188" s="668">
        <f>U179/U167*100</f>
        <v>0</v>
      </c>
      <c r="V188" s="768" t="e">
        <f>V179/V167*100</f>
        <v>#DIV/0!</v>
      </c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2"/>
      <c r="BE188" s="14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2"/>
      <c r="DA188" s="1"/>
      <c r="DP188" s="5"/>
      <c r="DQ188" s="142"/>
      <c r="DR188" s="142"/>
      <c r="DS188" s="142"/>
      <c r="DT188" s="142"/>
      <c r="FW188" s="142"/>
      <c r="JR188" s="142"/>
      <c r="JS188" s="142"/>
      <c r="JT188" s="142"/>
      <c r="JU188" s="142"/>
      <c r="OY188" s="142"/>
      <c r="OZ188" s="142"/>
      <c r="PB188" s="142"/>
      <c r="PP188" s="145"/>
      <c r="PT188" s="142"/>
      <c r="RW188" s="145"/>
      <c r="AHF188" s="141"/>
      <c r="AIU188" s="141"/>
      <c r="AIV188" s="141"/>
      <c r="AIW188" s="141"/>
    </row>
    <row r="189" spans="2:933" hidden="1" x14ac:dyDescent="0.25">
      <c r="B189" s="730"/>
      <c r="C189" s="435" t="s">
        <v>26</v>
      </c>
      <c r="D189" s="462">
        <v>0.3</v>
      </c>
      <c r="E189" s="495" t="s">
        <v>25</v>
      </c>
      <c r="F189" s="439" t="e">
        <f>F180/F168*100</f>
        <v>#DIV/0!</v>
      </c>
      <c r="G189" s="439">
        <v>0</v>
      </c>
      <c r="H189" s="439">
        <v>0</v>
      </c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718"/>
      <c r="T189" s="58" t="e">
        <f>T180/T169*100</f>
        <v>#DIV/0!</v>
      </c>
      <c r="U189" s="668" t="e">
        <f>U180/U169*100</f>
        <v>#DIV/0!</v>
      </c>
      <c r="V189" s="768" t="e">
        <f>V180/V169*100</f>
        <v>#DIV/0!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30"/>
      <c r="C190" s="435" t="s">
        <v>37</v>
      </c>
      <c r="D190" s="462">
        <v>0.3</v>
      </c>
      <c r="E190" s="495" t="s">
        <v>25</v>
      </c>
      <c r="F190" s="439" t="e">
        <f>F181/F169*100</f>
        <v>#DIV/0!</v>
      </c>
      <c r="G190" s="439"/>
      <c r="H190" s="439">
        <v>0</v>
      </c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718"/>
      <c r="T190" s="58"/>
      <c r="U190" s="668"/>
      <c r="V190" s="768"/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2"/>
      <c r="BE190" s="14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2"/>
      <c r="DA190" s="1"/>
      <c r="DP190" s="5"/>
      <c r="DQ190" s="142"/>
      <c r="DR190" s="142"/>
      <c r="DS190" s="142"/>
      <c r="DT190" s="142"/>
      <c r="FW190" s="142"/>
      <c r="JR190" s="142"/>
      <c r="JS190" s="142"/>
      <c r="JT190" s="142"/>
      <c r="JU190" s="142"/>
      <c r="OY190" s="142"/>
      <c r="OZ190" s="142"/>
      <c r="PB190" s="142"/>
      <c r="PP190" s="145"/>
      <c r="PT190" s="142"/>
      <c r="RW190" s="145"/>
      <c r="AHF190" s="141"/>
      <c r="AIU190" s="141"/>
      <c r="AIV190" s="141"/>
      <c r="AIW190" s="141"/>
    </row>
    <row r="191" spans="2:933" hidden="1" x14ac:dyDescent="0.25">
      <c r="B191" s="730"/>
      <c r="C191" s="568" t="s">
        <v>28</v>
      </c>
      <c r="D191" s="462"/>
      <c r="E191" s="463"/>
      <c r="F191" s="439"/>
      <c r="G191" s="439">
        <v>0</v>
      </c>
      <c r="H191" s="439">
        <v>0</v>
      </c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718"/>
      <c r="T191" s="63" t="s">
        <v>28</v>
      </c>
      <c r="U191" s="687" t="s">
        <v>28</v>
      </c>
      <c r="V191" s="784" t="s">
        <v>28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30"/>
      <c r="C192" s="435" t="s">
        <v>27</v>
      </c>
      <c r="D192" s="462">
        <v>0.5</v>
      </c>
      <c r="E192" s="495" t="s">
        <v>25</v>
      </c>
      <c r="F192" s="439" t="e">
        <f t="shared" ref="F192:F194" si="24">F183/F171*100</f>
        <v>#DIV/0!</v>
      </c>
      <c r="G192" s="439">
        <v>0</v>
      </c>
      <c r="H192" s="439">
        <v>0</v>
      </c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718"/>
      <c r="T192" s="58" t="e">
        <f>T183/T171*100</f>
        <v>#DIV/0!</v>
      </c>
      <c r="U192" s="668">
        <f>U183/U171*100</f>
        <v>0</v>
      </c>
      <c r="V192" s="768" t="e">
        <f>V183/V171*100</f>
        <v>#DIV/0!</v>
      </c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30"/>
      <c r="C193" s="435" t="s">
        <v>26</v>
      </c>
      <c r="D193" s="462">
        <v>0.5</v>
      </c>
      <c r="E193" s="495" t="s">
        <v>25</v>
      </c>
      <c r="F193" s="439" t="e">
        <f t="shared" si="24"/>
        <v>#DIV/0!</v>
      </c>
      <c r="G193" s="439">
        <v>0</v>
      </c>
      <c r="H193" s="439">
        <v>0</v>
      </c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718"/>
      <c r="T193" s="58" t="e">
        <f>T184/T173*100</f>
        <v>#DIV/0!</v>
      </c>
      <c r="U193" s="668" t="e">
        <f>U184/U173*100</f>
        <v>#DIV/0!</v>
      </c>
      <c r="V193" s="768" t="e">
        <f>V184/V173*100</f>
        <v>#DIV/0!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30"/>
      <c r="C194" s="435" t="s">
        <v>37</v>
      </c>
      <c r="D194" s="462">
        <v>0.5</v>
      </c>
      <c r="E194" s="495" t="s">
        <v>25</v>
      </c>
      <c r="F194" s="439" t="e">
        <f t="shared" si="24"/>
        <v>#DIV/0!</v>
      </c>
      <c r="G194" s="439"/>
      <c r="H194" s="439">
        <v>0</v>
      </c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718"/>
      <c r="T194" s="58"/>
      <c r="U194" s="668"/>
      <c r="V194" s="768"/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30"/>
      <c r="C195" s="590" t="s">
        <v>87</v>
      </c>
      <c r="D195" s="591"/>
      <c r="E195" s="587"/>
      <c r="F195" s="592"/>
      <c r="G195" s="592">
        <v>0</v>
      </c>
      <c r="H195" s="592"/>
      <c r="I195" s="592"/>
      <c r="J195" s="592"/>
      <c r="K195" s="592"/>
      <c r="L195" s="592"/>
      <c r="M195" s="592"/>
      <c r="N195" s="592"/>
      <c r="O195" s="592"/>
      <c r="P195" s="592"/>
      <c r="Q195" s="592"/>
      <c r="R195" s="592"/>
      <c r="S195" s="718"/>
      <c r="T195" s="521" t="s">
        <v>130</v>
      </c>
      <c r="U195" s="676" t="s">
        <v>130</v>
      </c>
      <c r="V195" s="775" t="s">
        <v>130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30"/>
      <c r="C196" s="593" t="s">
        <v>92</v>
      </c>
      <c r="D196" s="462"/>
      <c r="E196" s="20" t="s">
        <v>14</v>
      </c>
      <c r="F196" s="589">
        <f>'[3]Januari 24'!AL184</f>
        <v>356139</v>
      </c>
      <c r="G196" s="589" t="e">
        <v>#REF!</v>
      </c>
      <c r="H196" s="589">
        <v>0</v>
      </c>
      <c r="I196" s="589"/>
      <c r="J196" s="589"/>
      <c r="K196" s="589"/>
      <c r="L196" s="589"/>
      <c r="M196" s="589"/>
      <c r="N196" s="589"/>
      <c r="O196" s="589"/>
      <c r="P196" s="589"/>
      <c r="Q196" s="589"/>
      <c r="R196" s="589"/>
      <c r="S196" s="718"/>
      <c r="T196" s="89" t="e">
        <f>SUM(F196:R196)</f>
        <v>#REF!</v>
      </c>
      <c r="U196" s="685" t="e">
        <f>SUM(G196:S196)</f>
        <v>#REF!</v>
      </c>
      <c r="V196" s="786" t="e">
        <f>SUM(H196:T196)</f>
        <v>#REF!</v>
      </c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30"/>
      <c r="C197" s="593" t="s">
        <v>93</v>
      </c>
      <c r="D197" s="462"/>
      <c r="E197" s="20" t="s">
        <v>14</v>
      </c>
      <c r="F197" s="589">
        <f>'[3]Januari 24'!AL185</f>
        <v>364427.63</v>
      </c>
      <c r="G197" s="589">
        <v>162.44999999999999</v>
      </c>
      <c r="H197" s="589">
        <v>0</v>
      </c>
      <c r="I197" s="589"/>
      <c r="J197" s="589"/>
      <c r="K197" s="589"/>
      <c r="L197" s="589"/>
      <c r="M197" s="589"/>
      <c r="N197" s="589"/>
      <c r="O197" s="589"/>
      <c r="P197" s="589"/>
      <c r="Q197" s="589"/>
      <c r="R197" s="589"/>
      <c r="S197" s="718"/>
      <c r="T197" s="89" t="e">
        <f>SUM(T198:T199)</f>
        <v>#REF!</v>
      </c>
      <c r="U197" s="685" t="e">
        <f>SUM(U198:U199)</f>
        <v>#REF!</v>
      </c>
      <c r="V197" s="786" t="e">
        <f>SUM(V198:V199)</f>
        <v>#REF!</v>
      </c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30"/>
      <c r="C198" s="594" t="s">
        <v>39</v>
      </c>
      <c r="D198" s="462"/>
      <c r="E198" s="495" t="s">
        <v>14</v>
      </c>
      <c r="F198" s="577">
        <f>SUM(F202:F203)*10.83</f>
        <v>364007.13</v>
      </c>
      <c r="G198" s="577" t="e">
        <v>#REF!</v>
      </c>
      <c r="H198" s="577">
        <v>0</v>
      </c>
      <c r="I198" s="577"/>
      <c r="J198" s="577"/>
      <c r="K198" s="577"/>
      <c r="L198" s="577"/>
      <c r="M198" s="577"/>
      <c r="N198" s="577"/>
      <c r="O198" s="577"/>
      <c r="P198" s="577"/>
      <c r="Q198" s="577"/>
      <c r="R198" s="577"/>
      <c r="S198" s="718"/>
      <c r="T198" s="58" t="e">
        <f t="shared" ref="T198:V199" si="25">SUM(F198:R198)</f>
        <v>#REF!</v>
      </c>
      <c r="U198" s="668" t="e">
        <f t="shared" si="25"/>
        <v>#REF!</v>
      </c>
      <c r="V198" s="768" t="e">
        <f t="shared" si="25"/>
        <v>#REF!</v>
      </c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30"/>
      <c r="C199" s="594" t="s">
        <v>38</v>
      </c>
      <c r="D199" s="462"/>
      <c r="E199" s="495" t="s">
        <v>14</v>
      </c>
      <c r="F199" s="577">
        <f>F197-F198</f>
        <v>420.5</v>
      </c>
      <c r="G199" s="577"/>
      <c r="H199" s="577">
        <v>0</v>
      </c>
      <c r="I199" s="577"/>
      <c r="J199" s="577"/>
      <c r="K199" s="577"/>
      <c r="L199" s="577"/>
      <c r="M199" s="577"/>
      <c r="N199" s="577"/>
      <c r="O199" s="577"/>
      <c r="P199" s="577"/>
      <c r="Q199" s="577"/>
      <c r="R199" s="577"/>
      <c r="S199" s="718"/>
      <c r="T199" s="58">
        <f t="shared" si="25"/>
        <v>420.5</v>
      </c>
      <c r="U199" s="668">
        <f t="shared" si="25"/>
        <v>0</v>
      </c>
      <c r="V199" s="768">
        <f t="shared" si="25"/>
        <v>420.5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30"/>
      <c r="C200" s="595" t="s">
        <v>50</v>
      </c>
      <c r="D200" s="462"/>
      <c r="E200" s="495" t="s">
        <v>14</v>
      </c>
      <c r="F200" s="577"/>
      <c r="G200" s="577"/>
      <c r="H200" s="577">
        <v>0</v>
      </c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718"/>
      <c r="T200" s="58"/>
      <c r="U200" s="668"/>
      <c r="V200" s="768"/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30"/>
      <c r="C201" s="594" t="s">
        <v>29</v>
      </c>
      <c r="D201" s="462"/>
      <c r="E201" s="495"/>
      <c r="F201" s="439"/>
      <c r="G201" s="439">
        <v>15</v>
      </c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718"/>
      <c r="T201" s="58"/>
      <c r="U201" s="668"/>
      <c r="V201" s="768"/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30"/>
      <c r="C202" s="594" t="s">
        <v>88</v>
      </c>
      <c r="D202" s="462"/>
      <c r="E202" s="495" t="s">
        <v>31</v>
      </c>
      <c r="F202" s="596">
        <f>'[3]Januari 24'!AL190</f>
        <v>25527</v>
      </c>
      <c r="G202" s="596">
        <v>0</v>
      </c>
      <c r="H202" s="596">
        <v>0</v>
      </c>
      <c r="I202" s="596"/>
      <c r="J202" s="596"/>
      <c r="K202" s="596"/>
      <c r="L202" s="596"/>
      <c r="M202" s="596"/>
      <c r="N202" s="596"/>
      <c r="O202" s="596"/>
      <c r="P202" s="596"/>
      <c r="Q202" s="596"/>
      <c r="R202" s="596"/>
      <c r="S202" s="718"/>
      <c r="T202" s="91">
        <f>SUM(F202:R202)</f>
        <v>25527</v>
      </c>
      <c r="U202" s="668">
        <v>2048803</v>
      </c>
      <c r="V202" s="768"/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30"/>
      <c r="C203" s="594" t="s">
        <v>117</v>
      </c>
      <c r="D203" s="462"/>
      <c r="E203" s="495" t="s">
        <v>31</v>
      </c>
      <c r="F203" s="596">
        <f>'[3]Januari 24'!AL191</f>
        <v>8084</v>
      </c>
      <c r="G203" s="596"/>
      <c r="H203" s="596">
        <v>0</v>
      </c>
      <c r="I203" s="596"/>
      <c r="J203" s="596"/>
      <c r="K203" s="596"/>
      <c r="L203" s="596"/>
      <c r="M203" s="596"/>
      <c r="N203" s="596"/>
      <c r="O203" s="596"/>
      <c r="P203" s="596"/>
      <c r="Q203" s="596"/>
      <c r="R203" s="596"/>
      <c r="S203" s="718"/>
      <c r="T203" s="91">
        <f>SUM(F203:R203)</f>
        <v>8084</v>
      </c>
      <c r="U203" s="668"/>
      <c r="V203" s="768"/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30"/>
      <c r="C204" s="594" t="s">
        <v>28</v>
      </c>
      <c r="D204" s="462"/>
      <c r="E204" s="495"/>
      <c r="F204" s="439"/>
      <c r="G204" s="439">
        <v>180</v>
      </c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718"/>
      <c r="T204" s="58"/>
      <c r="U204" s="668"/>
      <c r="V204" s="768"/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30"/>
      <c r="C205" s="594" t="s">
        <v>117</v>
      </c>
      <c r="D205" s="462"/>
      <c r="E205" s="495" t="s">
        <v>28</v>
      </c>
      <c r="F205" s="597">
        <f>F202*12</f>
        <v>306324</v>
      </c>
      <c r="G205" s="597">
        <v>0</v>
      </c>
      <c r="H205" s="597">
        <v>0</v>
      </c>
      <c r="I205" s="597"/>
      <c r="J205" s="597"/>
      <c r="K205" s="597"/>
      <c r="L205" s="597"/>
      <c r="M205" s="597"/>
      <c r="N205" s="597"/>
      <c r="O205" s="597"/>
      <c r="P205" s="597"/>
      <c r="Q205" s="597"/>
      <c r="R205" s="597"/>
      <c r="S205" s="718"/>
      <c r="T205" s="91">
        <f>SUM(F205:R205)</f>
        <v>306324</v>
      </c>
      <c r="U205" s="668"/>
      <c r="V205" s="768"/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30"/>
      <c r="C206" s="594" t="s">
        <v>88</v>
      </c>
      <c r="D206" s="462"/>
      <c r="E206" s="495" t="s">
        <v>28</v>
      </c>
      <c r="F206" s="597"/>
      <c r="G206" s="597">
        <v>0.39705882352941174</v>
      </c>
      <c r="H206" s="597">
        <v>0</v>
      </c>
      <c r="I206" s="597"/>
      <c r="J206" s="597"/>
      <c r="K206" s="597"/>
      <c r="L206" s="597"/>
      <c r="M206" s="597"/>
      <c r="N206" s="597"/>
      <c r="O206" s="597"/>
      <c r="P206" s="597"/>
      <c r="Q206" s="597"/>
      <c r="R206" s="597"/>
      <c r="S206" s="718"/>
      <c r="T206" s="91">
        <f>SUM(F206:R206)</f>
        <v>0.39705882352941174</v>
      </c>
      <c r="U206" s="668"/>
      <c r="V206" s="768"/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30"/>
      <c r="C207" s="594" t="s">
        <v>36</v>
      </c>
      <c r="D207" s="462"/>
      <c r="E207" s="495"/>
      <c r="F207" s="597">
        <f>F202*45/1700</f>
        <v>675.71470588235297</v>
      </c>
      <c r="G207" s="597">
        <v>0.03</v>
      </c>
      <c r="H207" s="597">
        <v>0</v>
      </c>
      <c r="I207" s="597"/>
      <c r="J207" s="597"/>
      <c r="K207" s="597"/>
      <c r="L207" s="597"/>
      <c r="M207" s="597"/>
      <c r="N207" s="597"/>
      <c r="O207" s="597"/>
      <c r="P207" s="597"/>
      <c r="Q207" s="597"/>
      <c r="R207" s="597"/>
      <c r="S207" s="718"/>
      <c r="T207" s="91">
        <f>SUM(F207:R207)</f>
        <v>675.74470588235295</v>
      </c>
      <c r="U207" s="668"/>
      <c r="V207" s="768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30"/>
      <c r="C208" s="594" t="s">
        <v>34</v>
      </c>
      <c r="D208" s="462"/>
      <c r="E208" s="495"/>
      <c r="F208" s="597">
        <f>SUM(F202)/500</f>
        <v>51.054000000000002</v>
      </c>
      <c r="G208" s="597"/>
      <c r="H208" s="597">
        <v>0</v>
      </c>
      <c r="I208" s="597"/>
      <c r="J208" s="597"/>
      <c r="K208" s="597"/>
      <c r="L208" s="597"/>
      <c r="M208" s="597"/>
      <c r="N208" s="597"/>
      <c r="O208" s="597"/>
      <c r="P208" s="597"/>
      <c r="Q208" s="597"/>
      <c r="R208" s="597"/>
      <c r="S208" s="718"/>
      <c r="T208" s="91">
        <f>SUM(F208:R208)</f>
        <v>51.054000000000002</v>
      </c>
      <c r="U208" s="668"/>
      <c r="V208" s="768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30"/>
      <c r="C209" s="590" t="s">
        <v>32</v>
      </c>
      <c r="D209" s="591"/>
      <c r="E209" s="587"/>
      <c r="F209" s="592"/>
      <c r="G209" s="592"/>
      <c r="H209" s="592"/>
      <c r="I209" s="592"/>
      <c r="J209" s="592"/>
      <c r="K209" s="592"/>
      <c r="L209" s="592"/>
      <c r="M209" s="592"/>
      <c r="N209" s="592"/>
      <c r="O209" s="592"/>
      <c r="P209" s="592"/>
      <c r="Q209" s="592"/>
      <c r="R209" s="592"/>
      <c r="S209" s="718"/>
      <c r="T209" s="521" t="s">
        <v>131</v>
      </c>
      <c r="U209" s="676" t="s">
        <v>131</v>
      </c>
      <c r="V209" s="775" t="s">
        <v>131</v>
      </c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30"/>
      <c r="C210" s="594" t="s">
        <v>29</v>
      </c>
      <c r="D210" s="462"/>
      <c r="E210" s="495"/>
      <c r="F210" s="439"/>
      <c r="G210" s="439">
        <v>0</v>
      </c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718"/>
      <c r="T210" s="58"/>
      <c r="U210" s="668"/>
      <c r="V210" s="768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30"/>
      <c r="C211" s="594" t="s">
        <v>88</v>
      </c>
      <c r="D211" s="462"/>
      <c r="E211" s="495" t="s">
        <v>31</v>
      </c>
      <c r="F211" s="439">
        <f>'[3]Januari 24'!AL185</f>
        <v>364427.63</v>
      </c>
      <c r="G211" s="438">
        <v>0</v>
      </c>
      <c r="H211" s="438">
        <v>0</v>
      </c>
      <c r="I211" s="438"/>
      <c r="J211" s="438"/>
      <c r="K211" s="438"/>
      <c r="L211" s="438"/>
      <c r="M211" s="439"/>
      <c r="N211" s="439"/>
      <c r="O211" s="439"/>
      <c r="P211" s="439"/>
      <c r="Q211" s="439"/>
      <c r="R211" s="439"/>
      <c r="S211" s="718"/>
      <c r="T211" s="91">
        <f>SUM(F211:R211)</f>
        <v>364427.63</v>
      </c>
      <c r="U211" s="688"/>
      <c r="V211" s="768"/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30"/>
      <c r="C212" s="594" t="s">
        <v>117</v>
      </c>
      <c r="D212" s="462"/>
      <c r="E212" s="495" t="s">
        <v>31</v>
      </c>
      <c r="F212" s="439"/>
      <c r="G212" s="438"/>
      <c r="H212" s="438">
        <v>0</v>
      </c>
      <c r="I212" s="439"/>
      <c r="J212" s="439"/>
      <c r="K212" s="438"/>
      <c r="L212" s="438"/>
      <c r="M212" s="439"/>
      <c r="N212" s="439"/>
      <c r="O212" s="439"/>
      <c r="P212" s="439"/>
      <c r="Q212" s="439"/>
      <c r="R212" s="439"/>
      <c r="S212" s="718"/>
      <c r="T212" s="91">
        <f>SUM(F212:R212)</f>
        <v>0</v>
      </c>
      <c r="U212" s="688"/>
      <c r="V212" s="768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30"/>
      <c r="C213" s="594" t="s">
        <v>28</v>
      </c>
      <c r="D213" s="462"/>
      <c r="E213" s="495"/>
      <c r="F213" s="439"/>
      <c r="G213" s="439">
        <v>0</v>
      </c>
      <c r="H213" s="438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718"/>
      <c r="T213" s="91">
        <f>SUM(F213:R213)</f>
        <v>0</v>
      </c>
      <c r="U213" s="668"/>
      <c r="V213" s="768"/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30"/>
      <c r="C214" s="594" t="s">
        <v>88</v>
      </c>
      <c r="D214" s="462"/>
      <c r="E214" s="495" t="s">
        <v>28</v>
      </c>
      <c r="F214" s="438">
        <f>F211*12</f>
        <v>4373131.5600000005</v>
      </c>
      <c r="G214" s="438">
        <v>0</v>
      </c>
      <c r="H214" s="438">
        <v>0</v>
      </c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718"/>
      <c r="T214" s="91">
        <f>SUM(F214:R214)</f>
        <v>4373131.5600000005</v>
      </c>
      <c r="U214" s="668"/>
      <c r="V214" s="790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30"/>
      <c r="C215" s="594" t="s">
        <v>117</v>
      </c>
      <c r="D215" s="598"/>
      <c r="E215" s="495" t="s">
        <v>28</v>
      </c>
      <c r="F215" s="438">
        <f>F212*6</f>
        <v>0</v>
      </c>
      <c r="G215" s="438"/>
      <c r="H215" s="438">
        <v>0</v>
      </c>
      <c r="I215" s="438"/>
      <c r="J215" s="438"/>
      <c r="K215" s="438"/>
      <c r="L215" s="438"/>
      <c r="M215" s="438"/>
      <c r="N215" s="438"/>
      <c r="O215" s="438"/>
      <c r="P215" s="438"/>
      <c r="Q215" s="438"/>
      <c r="R215" s="438"/>
      <c r="S215" s="718"/>
      <c r="T215" s="91">
        <f>SUM(F215:R215)</f>
        <v>0</v>
      </c>
      <c r="U215" s="668"/>
      <c r="V215" s="768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30"/>
      <c r="C216" s="418" t="s">
        <v>30</v>
      </c>
      <c r="D216" s="599"/>
      <c r="E216" s="587"/>
      <c r="F216" s="592"/>
      <c r="G216" s="592"/>
      <c r="H216" s="592"/>
      <c r="I216" s="592"/>
      <c r="J216" s="592"/>
      <c r="K216" s="592"/>
      <c r="L216" s="592"/>
      <c r="M216" s="592"/>
      <c r="N216" s="592"/>
      <c r="O216" s="592"/>
      <c r="P216" s="592"/>
      <c r="Q216" s="592"/>
      <c r="R216" s="592"/>
      <c r="S216" s="718"/>
      <c r="T216" s="600" t="s">
        <v>30</v>
      </c>
      <c r="U216" s="691" t="s">
        <v>30</v>
      </c>
      <c r="V216" s="791" t="s">
        <v>30</v>
      </c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30"/>
      <c r="C217" s="568" t="s">
        <v>29</v>
      </c>
      <c r="D217" s="598"/>
      <c r="E217" s="495"/>
      <c r="F217" s="439"/>
      <c r="G217" s="439">
        <v>0</v>
      </c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718"/>
      <c r="T217" s="58"/>
      <c r="U217" s="668"/>
      <c r="V217" s="768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30"/>
      <c r="C218" s="594" t="s">
        <v>88</v>
      </c>
      <c r="D218" s="526">
        <v>0.3</v>
      </c>
      <c r="E218" s="495" t="s">
        <v>25</v>
      </c>
      <c r="F218" s="439">
        <f>F211/F202*100</f>
        <v>1427.6163669839777</v>
      </c>
      <c r="G218" s="439" t="e">
        <v>#DIV/0!</v>
      </c>
      <c r="H218" s="439" t="e">
        <v>#DIV/0!</v>
      </c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718"/>
      <c r="T218" s="524">
        <f>T211/T202*100</f>
        <v>1427.6163669839777</v>
      </c>
      <c r="U218" s="668"/>
      <c r="V218" s="768"/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30"/>
      <c r="C219" s="594" t="s">
        <v>117</v>
      </c>
      <c r="D219" s="526">
        <v>0.3</v>
      </c>
      <c r="E219" s="495" t="s">
        <v>25</v>
      </c>
      <c r="F219" s="439">
        <f>F212/F203*100</f>
        <v>0</v>
      </c>
      <c r="G219" s="439"/>
      <c r="H219" s="439" t="e">
        <v>#DIV/0!</v>
      </c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718"/>
      <c r="T219" s="524">
        <f>T212/T203*100</f>
        <v>0</v>
      </c>
      <c r="U219" s="668"/>
      <c r="V219" s="768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30"/>
      <c r="C220" s="568" t="s">
        <v>28</v>
      </c>
      <c r="D220" s="526"/>
      <c r="E220" s="495"/>
      <c r="F220" s="439"/>
      <c r="G220" s="439">
        <v>0</v>
      </c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718"/>
      <c r="T220" s="524"/>
      <c r="U220" s="668"/>
      <c r="V220" s="768"/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30"/>
      <c r="C221" s="594" t="s">
        <v>88</v>
      </c>
      <c r="D221" s="526">
        <v>0.5</v>
      </c>
      <c r="E221" s="495" t="s">
        <v>25</v>
      </c>
      <c r="F221" s="439">
        <f>F214/F202*100</f>
        <v>17131.396403807736</v>
      </c>
      <c r="G221" s="439" t="e">
        <v>#DIV/0!</v>
      </c>
      <c r="H221" s="439" t="e">
        <v>#DIV/0!</v>
      </c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718"/>
      <c r="T221" s="524">
        <f>T214/T202*100</f>
        <v>17131.396403807736</v>
      </c>
      <c r="U221" s="668"/>
      <c r="V221" s="790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30"/>
      <c r="C222" s="594" t="s">
        <v>117</v>
      </c>
      <c r="D222" s="526">
        <v>0.5</v>
      </c>
      <c r="E222" s="495" t="s">
        <v>25</v>
      </c>
      <c r="F222" s="439">
        <f>F215/F203*100</f>
        <v>0</v>
      </c>
      <c r="G222" s="439">
        <v>0</v>
      </c>
      <c r="H222" s="439" t="e">
        <v>#DIV/0!</v>
      </c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718"/>
      <c r="T222" s="527">
        <f>T215/T203*100</f>
        <v>0</v>
      </c>
      <c r="U222" s="668"/>
      <c r="V222" s="790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30"/>
      <c r="C223" s="601" t="s">
        <v>94</v>
      </c>
      <c r="D223" s="602"/>
      <c r="E223" s="603"/>
      <c r="F223" s="604">
        <f>'[3]Januari 24'!AL211</f>
        <v>356139</v>
      </c>
      <c r="G223" s="604">
        <v>542142</v>
      </c>
      <c r="H223" s="604">
        <v>0</v>
      </c>
      <c r="I223" s="604"/>
      <c r="J223" s="604"/>
      <c r="K223" s="604"/>
      <c r="L223" s="604"/>
      <c r="M223" s="604"/>
      <c r="N223" s="604"/>
      <c r="O223" s="604"/>
      <c r="P223" s="604"/>
      <c r="Q223" s="604"/>
      <c r="R223" s="604"/>
      <c r="S223" s="719"/>
      <c r="T223" s="605">
        <f>SUM(F223:R223)</f>
        <v>898281</v>
      </c>
      <c r="U223" s="692">
        <v>22250000</v>
      </c>
      <c r="V223" s="792">
        <f>T223/U223*100</f>
        <v>4.0372179775280896</v>
      </c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30"/>
      <c r="C224" s="601" t="s">
        <v>118</v>
      </c>
      <c r="D224" s="602"/>
      <c r="E224" s="603"/>
      <c r="F224" s="604">
        <f>'[3]Januari 24'!AL212</f>
        <v>534116</v>
      </c>
      <c r="G224" s="604">
        <v>192009</v>
      </c>
      <c r="H224" s="604">
        <v>0</v>
      </c>
      <c r="I224" s="604"/>
      <c r="J224" s="606"/>
      <c r="K224" s="606"/>
      <c r="L224" s="606"/>
      <c r="M224" s="607"/>
      <c r="N224" s="606"/>
      <c r="O224" s="606"/>
      <c r="P224" s="606"/>
      <c r="Q224" s="606"/>
      <c r="R224" s="606"/>
      <c r="S224" s="719"/>
      <c r="T224" s="605">
        <f>SUM(F224:R224)</f>
        <v>726125</v>
      </c>
      <c r="U224" s="692">
        <v>11435000</v>
      </c>
      <c r="V224" s="792">
        <f>T224/U224*100</f>
        <v>6.3500218627022305</v>
      </c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hidden="1" x14ac:dyDescent="0.25">
      <c r="B225" s="730"/>
      <c r="C225" s="608" t="s">
        <v>89</v>
      </c>
      <c r="D225" s="602"/>
      <c r="E225" s="603"/>
      <c r="F225" s="604">
        <f>'[3]Januari 24'!AL213</f>
        <v>845858</v>
      </c>
      <c r="G225" s="604">
        <v>734151</v>
      </c>
      <c r="H225" s="604">
        <v>0</v>
      </c>
      <c r="I225" s="604"/>
      <c r="J225" s="604"/>
      <c r="K225" s="604"/>
      <c r="L225" s="604"/>
      <c r="M225" s="607"/>
      <c r="N225" s="604"/>
      <c r="O225" s="604"/>
      <c r="P225" s="607"/>
      <c r="Q225" s="607"/>
      <c r="R225" s="607"/>
      <c r="S225" s="719"/>
      <c r="T225" s="605">
        <f>SUM(F225:R225)</f>
        <v>1580009</v>
      </c>
      <c r="U225" s="693">
        <v>71709000</v>
      </c>
      <c r="V225" s="792">
        <f>T225/U225*100</f>
        <v>2.2033622000027888</v>
      </c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2"/>
      <c r="BE225" s="142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2"/>
      <c r="DA225" s="1"/>
      <c r="DP225" s="5"/>
      <c r="DQ225" s="142"/>
      <c r="DR225" s="142"/>
      <c r="DS225" s="142"/>
      <c r="DT225" s="142"/>
      <c r="FW225" s="142"/>
      <c r="JR225" s="142"/>
      <c r="JS225" s="142"/>
      <c r="JT225" s="142"/>
      <c r="JU225" s="142"/>
      <c r="OY225" s="142"/>
      <c r="OZ225" s="142"/>
      <c r="PB225" s="142"/>
      <c r="PP225" s="145"/>
      <c r="PT225" s="142"/>
      <c r="RW225" s="145"/>
      <c r="AHF225" s="141"/>
      <c r="AIU225" s="141"/>
      <c r="AIV225" s="141"/>
      <c r="AIW225" s="141"/>
    </row>
    <row r="226" spans="2:933" s="614" customFormat="1" hidden="1" x14ac:dyDescent="0.25">
      <c r="B226" s="727"/>
      <c r="C226" s="609" t="s">
        <v>90</v>
      </c>
      <c r="D226" s="610"/>
      <c r="E226" s="108"/>
      <c r="F226" s="611">
        <f>'[3]Januari 24'!AL214</f>
        <v>1736113</v>
      </c>
      <c r="G226" s="611">
        <v>649233.52999999991</v>
      </c>
      <c r="H226" s="611">
        <v>0</v>
      </c>
      <c r="I226" s="611"/>
      <c r="J226" s="612"/>
      <c r="K226" s="612"/>
      <c r="L226" s="612"/>
      <c r="M226" s="611"/>
      <c r="N226" s="613"/>
      <c r="O226" s="613"/>
      <c r="P226" s="613"/>
      <c r="Q226" s="611"/>
      <c r="R226" s="611"/>
      <c r="S226" s="735"/>
      <c r="T226" s="605">
        <f>SUM(F226:R226)</f>
        <v>2385346.5299999998</v>
      </c>
      <c r="U226" s="684">
        <f>SUM(U223:U225)</f>
        <v>105394000</v>
      </c>
      <c r="V226" s="792">
        <f>T226/U226*100</f>
        <v>2.2632659639068633</v>
      </c>
      <c r="X226" s="2"/>
      <c r="Y226" s="806"/>
      <c r="Z226" s="806"/>
      <c r="AA226" s="806"/>
      <c r="AB226" s="806"/>
      <c r="AC226" s="806"/>
      <c r="AD226" s="806"/>
      <c r="AE226" s="806"/>
      <c r="AF226" s="806"/>
      <c r="AG226" s="806"/>
      <c r="AH226" s="806"/>
      <c r="AI226" s="806"/>
      <c r="AJ226" s="806"/>
      <c r="AK226" s="806"/>
      <c r="AL226" s="806"/>
      <c r="AM226" s="806"/>
      <c r="AN226" s="806"/>
      <c r="AO226" s="806"/>
      <c r="AP226" s="806"/>
      <c r="AR226" s="806"/>
      <c r="AX226" s="1"/>
      <c r="BD226" s="146"/>
      <c r="BE226" s="146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6"/>
      <c r="DA226" s="2"/>
      <c r="DP226" s="434"/>
      <c r="DQ226" s="146"/>
      <c r="DR226" s="146"/>
      <c r="DS226" s="146"/>
      <c r="DT226" s="146"/>
      <c r="FW226" s="146"/>
      <c r="JR226" s="146"/>
      <c r="JS226" s="146"/>
      <c r="JT226" s="146"/>
      <c r="JU226" s="146"/>
      <c r="OY226" s="146"/>
      <c r="OZ226" s="146"/>
      <c r="PB226" s="146"/>
      <c r="PP226" s="562"/>
      <c r="PT226" s="146"/>
      <c r="RW226" s="562"/>
      <c r="AHF226" s="151"/>
      <c r="AIU226" s="151"/>
      <c r="AIV226" s="151"/>
      <c r="AIW226" s="151"/>
    </row>
    <row r="227" spans="2:933" s="614" customFormat="1" hidden="1" x14ac:dyDescent="0.25">
      <c r="B227" s="727"/>
      <c r="C227" s="609" t="s">
        <v>95</v>
      </c>
      <c r="D227" s="610"/>
      <c r="E227" s="108"/>
      <c r="F227" s="611">
        <f>'[3]Januari 24'!AL215</f>
        <v>1749656.7900000003</v>
      </c>
      <c r="G227" s="611"/>
      <c r="H227" s="611">
        <v>0</v>
      </c>
      <c r="I227" s="611"/>
      <c r="J227" s="611"/>
      <c r="K227" s="611"/>
      <c r="L227" s="611"/>
      <c r="M227" s="611"/>
      <c r="N227" s="611"/>
      <c r="O227" s="611"/>
      <c r="P227" s="611"/>
      <c r="Q227" s="611"/>
      <c r="R227" s="611"/>
      <c r="S227" s="735"/>
      <c r="T227" s="615">
        <f>SUM(F227:R227)</f>
        <v>1749656.7900000003</v>
      </c>
      <c r="U227" s="694">
        <f>SUM(U223:U225)</f>
        <v>105394000</v>
      </c>
      <c r="V227" s="792">
        <f>T227/U227*100</f>
        <v>1.6601104332314935</v>
      </c>
      <c r="X227" s="2"/>
      <c r="Y227" s="806"/>
      <c r="Z227" s="806"/>
      <c r="AA227" s="806"/>
      <c r="AB227" s="806"/>
      <c r="AC227" s="806"/>
      <c r="AD227" s="806"/>
      <c r="AE227" s="806"/>
      <c r="AF227" s="806"/>
      <c r="AG227" s="806"/>
      <c r="AH227" s="806"/>
      <c r="AI227" s="806"/>
      <c r="AJ227" s="806"/>
      <c r="AK227" s="806"/>
      <c r="AL227" s="806"/>
      <c r="AM227" s="806"/>
      <c r="AN227" s="806"/>
      <c r="AO227" s="806"/>
      <c r="AP227" s="806"/>
      <c r="AR227" s="806"/>
      <c r="AX227" s="1"/>
      <c r="BD227" s="146"/>
      <c r="BE227" s="146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CH227" s="146"/>
      <c r="DA227" s="2"/>
      <c r="DP227" s="434"/>
      <c r="DQ227" s="146"/>
      <c r="DR227" s="146"/>
      <c r="DS227" s="146"/>
      <c r="DT227" s="146"/>
      <c r="FW227" s="146"/>
      <c r="JR227" s="146"/>
      <c r="JS227" s="146"/>
      <c r="JT227" s="146"/>
      <c r="JU227" s="146"/>
      <c r="OY227" s="146"/>
      <c r="OZ227" s="146"/>
      <c r="PB227" s="146"/>
      <c r="PP227" s="562"/>
      <c r="PT227" s="146"/>
      <c r="RW227" s="562"/>
      <c r="AHF227" s="151"/>
      <c r="AIU227" s="151"/>
      <c r="AIV227" s="151"/>
      <c r="AIW227" s="151"/>
    </row>
    <row r="228" spans="2:933" x14ac:dyDescent="0.25">
      <c r="B228" s="726">
        <v>9</v>
      </c>
      <c r="C228" s="520" t="s">
        <v>24</v>
      </c>
      <c r="D228" s="616"/>
      <c r="E228" s="76"/>
      <c r="F228" s="50"/>
      <c r="G228" s="50">
        <v>0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718"/>
      <c r="T228" s="600" t="s">
        <v>132</v>
      </c>
      <c r="U228" s="677" t="s">
        <v>132</v>
      </c>
      <c r="V228" s="778" t="s">
        <v>132</v>
      </c>
      <c r="X228" s="1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R228" s="62"/>
      <c r="AX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DA228" s="1"/>
    </row>
    <row r="229" spans="2:933" x14ac:dyDescent="0.25">
      <c r="B229" s="727"/>
      <c r="C229" s="461" t="s">
        <v>23</v>
      </c>
      <c r="D229" s="617"/>
      <c r="E229" s="495" t="s">
        <v>19</v>
      </c>
      <c r="F229" s="618">
        <v>0</v>
      </c>
      <c r="G229" s="618">
        <v>12121.8968</v>
      </c>
      <c r="H229" s="618">
        <v>6346.4664999999986</v>
      </c>
      <c r="I229" s="618"/>
      <c r="J229" s="618"/>
      <c r="K229" s="618">
        <v>11483.394299999998</v>
      </c>
      <c r="L229" s="618">
        <f>'JULI 2025'!AM239</f>
        <v>24588.162399999997</v>
      </c>
      <c r="M229" s="618"/>
      <c r="N229" s="618"/>
      <c r="O229" s="618"/>
      <c r="P229" s="115"/>
      <c r="Q229" s="618"/>
      <c r="R229" s="618"/>
      <c r="T229" s="619">
        <f>SUM(F229:Q229)</f>
        <v>54539.92</v>
      </c>
      <c r="U229" s="695">
        <v>316731.03000000003</v>
      </c>
      <c r="V229" s="770">
        <f>T229/U229*100</f>
        <v>17.219632695918676</v>
      </c>
      <c r="X229" s="1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R229" s="62"/>
      <c r="AX229" s="1"/>
      <c r="BD229" s="142"/>
      <c r="BE229" s="142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2"/>
      <c r="DA229" s="1"/>
      <c r="DP229" s="5"/>
      <c r="DQ229" s="142"/>
      <c r="DR229" s="142"/>
      <c r="DS229" s="142"/>
      <c r="DT229" s="142"/>
      <c r="FW229" s="142"/>
      <c r="JR229" s="142"/>
      <c r="JS229" s="142"/>
      <c r="JT229" s="142"/>
      <c r="JU229" s="142"/>
      <c r="OY229" s="142"/>
      <c r="OZ229" s="142"/>
      <c r="PB229" s="142"/>
      <c r="PP229" s="145"/>
      <c r="PT229" s="142"/>
      <c r="RW229" s="145"/>
      <c r="AGG229" s="39"/>
      <c r="AHF229" s="141"/>
      <c r="AIU229" s="141"/>
      <c r="AIV229" s="141"/>
      <c r="AIW229" s="141"/>
    </row>
    <row r="230" spans="2:933" x14ac:dyDescent="0.25">
      <c r="B230" s="724"/>
      <c r="C230" s="522" t="s">
        <v>22</v>
      </c>
      <c r="D230" s="620">
        <f>D234</f>
        <v>1460.001</v>
      </c>
      <c r="E230" s="513" t="s">
        <v>19</v>
      </c>
      <c r="F230" s="618">
        <v>0</v>
      </c>
      <c r="G230" s="618">
        <v>13929.277599999999</v>
      </c>
      <c r="H230" s="621">
        <v>6097.5737999999992</v>
      </c>
      <c r="I230" s="621"/>
      <c r="J230" s="621"/>
      <c r="K230" s="621">
        <v>11153.207300000002</v>
      </c>
      <c r="L230" s="621">
        <f>'JULI 2025'!AM241</f>
        <v>24283.513600000002</v>
      </c>
      <c r="M230" s="618"/>
      <c r="N230" s="618"/>
      <c r="O230" s="618"/>
      <c r="P230" s="115"/>
      <c r="Q230" s="618"/>
      <c r="R230" s="622"/>
      <c r="T230" s="623">
        <f>SUM(F230:Q230)</f>
        <v>55463.5723</v>
      </c>
      <c r="U230" s="696">
        <v>316731.03000000003</v>
      </c>
      <c r="V230" s="783">
        <f>T230/U230*100</f>
        <v>17.511253096988948</v>
      </c>
      <c r="W230" s="817"/>
      <c r="X230" s="1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R230" s="62"/>
      <c r="AX230" s="172" t="e">
        <f>AW230/AW10</f>
        <v>#DIV/0!</v>
      </c>
      <c r="BD230" s="143"/>
      <c r="BE230" s="143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43"/>
      <c r="DA230" s="1"/>
      <c r="DP230" s="515"/>
      <c r="DQ230" s="143"/>
      <c r="DR230" s="143"/>
      <c r="DS230" s="143"/>
      <c r="DT230" s="143"/>
      <c r="FW230" s="143"/>
      <c r="JR230" s="143"/>
      <c r="JS230" s="143"/>
      <c r="JT230" s="143"/>
      <c r="JU230" s="143"/>
      <c r="OY230" s="143"/>
      <c r="OZ230" s="143"/>
      <c r="PB230" s="143"/>
      <c r="PP230" s="152"/>
      <c r="PT230" s="143"/>
      <c r="RW230" s="152"/>
      <c r="AHF230" s="143"/>
      <c r="AIU230" s="143"/>
      <c r="AIV230" s="143"/>
      <c r="AIW230" s="143"/>
    </row>
    <row r="231" spans="2:933" x14ac:dyDescent="0.25">
      <c r="B231" s="730"/>
      <c r="C231" s="578" t="s">
        <v>11</v>
      </c>
      <c r="D231" s="617"/>
      <c r="E231" s="463"/>
      <c r="F231" s="618">
        <v>0</v>
      </c>
      <c r="G231" s="624"/>
      <c r="H231" s="624">
        <v>0</v>
      </c>
      <c r="I231" s="438"/>
      <c r="J231" s="624"/>
      <c r="K231" s="625"/>
      <c r="L231" s="625"/>
      <c r="M231" s="438"/>
      <c r="N231" s="438"/>
      <c r="O231" s="438"/>
      <c r="P231" s="438"/>
      <c r="Q231" s="438"/>
      <c r="R231" s="626"/>
      <c r="S231" s="718"/>
      <c r="T231" s="712" t="s">
        <v>11</v>
      </c>
      <c r="U231" s="697" t="s">
        <v>11</v>
      </c>
      <c r="V231" s="793" t="s">
        <v>11</v>
      </c>
      <c r="X231" s="1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R231" s="62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</row>
    <row r="232" spans="2:933" x14ac:dyDescent="0.25">
      <c r="B232" s="730"/>
      <c r="C232" s="461" t="s">
        <v>21</v>
      </c>
      <c r="D232" s="627">
        <v>292</v>
      </c>
      <c r="E232" s="495" t="s">
        <v>19</v>
      </c>
      <c r="F232" s="618">
        <v>0</v>
      </c>
      <c r="G232" s="618">
        <v>2376.7953608614403</v>
      </c>
      <c r="H232" s="618">
        <v>1058.4719231655602</v>
      </c>
      <c r="I232" s="628"/>
      <c r="J232" s="618"/>
      <c r="K232" s="1527">
        <v>65084.600000000006</v>
      </c>
      <c r="L232" s="618">
        <f>'JULI 2025'!AM244</f>
        <v>4834.8953335169927</v>
      </c>
      <c r="M232" s="618"/>
      <c r="N232" s="618"/>
      <c r="O232" s="618"/>
      <c r="P232" s="115"/>
      <c r="Q232" s="618"/>
      <c r="R232" s="618"/>
      <c r="S232" s="718"/>
      <c r="T232" s="629">
        <f>SUM(F232:Q232)</f>
        <v>73354.762617543995</v>
      </c>
      <c r="U232" s="698">
        <v>47509.77</v>
      </c>
      <c r="V232" s="794">
        <f>T232/U232*100</f>
        <v>154.39932169224139</v>
      </c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XA232" s="39"/>
      <c r="AFR232" s="39"/>
    </row>
    <row r="233" spans="2:933" x14ac:dyDescent="0.25">
      <c r="B233" s="730"/>
      <c r="C233" s="461" t="s">
        <v>20</v>
      </c>
      <c r="D233" s="627">
        <v>1168.001</v>
      </c>
      <c r="E233" s="495" t="s">
        <v>19</v>
      </c>
      <c r="F233" s="618">
        <v>0</v>
      </c>
      <c r="G233" s="618">
        <v>0</v>
      </c>
      <c r="H233" s="618">
        <v>0</v>
      </c>
      <c r="I233" s="618"/>
      <c r="J233" s="618"/>
      <c r="K233" s="618"/>
      <c r="L233" s="618"/>
      <c r="M233" s="618"/>
      <c r="N233" s="618"/>
      <c r="O233" s="618"/>
      <c r="P233" s="115"/>
      <c r="Q233" s="618"/>
      <c r="R233" s="618"/>
      <c r="S233" s="718"/>
      <c r="T233" s="629">
        <f>T232/T11*100</f>
        <v>9.8383566541625056E-2</v>
      </c>
      <c r="U233" s="698">
        <v>269221.26</v>
      </c>
      <c r="V233" s="794">
        <f>T233/U233*100</f>
        <v>3.6543758298146679E-5</v>
      </c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R233" s="62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  <c r="WZ233" s="39"/>
    </row>
    <row r="234" spans="2:933" x14ac:dyDescent="0.25">
      <c r="B234" s="736"/>
      <c r="C234" s="630" t="s">
        <v>1</v>
      </c>
      <c r="D234" s="631">
        <f>SUM(D232:D233)</f>
        <v>1460.001</v>
      </c>
      <c r="E234" s="25" t="s">
        <v>19</v>
      </c>
      <c r="F234" s="632">
        <v>0</v>
      </c>
      <c r="G234" s="632">
        <v>13929.277599999999</v>
      </c>
      <c r="H234" s="632">
        <v>6346.4664999999986</v>
      </c>
      <c r="I234" s="632"/>
      <c r="J234" s="632"/>
      <c r="K234" s="632">
        <v>11483.394299999998</v>
      </c>
      <c r="L234" s="632">
        <f>'JULI 2025'!AM247</f>
        <v>24588.162399999997</v>
      </c>
      <c r="M234" s="632"/>
      <c r="N234" s="632"/>
      <c r="O234" s="632"/>
      <c r="P234" s="117"/>
      <c r="Q234" s="632"/>
      <c r="R234" s="632"/>
      <c r="S234" s="732"/>
      <c r="T234" s="117">
        <f>SUM(T232:T233)</f>
        <v>73354.861001110534</v>
      </c>
      <c r="U234" s="699">
        <f>SUM(U232:U233)</f>
        <v>316731.03000000003</v>
      </c>
      <c r="V234" s="794">
        <f>T234/U234*100</f>
        <v>23.159985619694581</v>
      </c>
      <c r="X234" s="1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R234" s="62"/>
      <c r="AX234" s="2"/>
      <c r="BD234" s="151"/>
      <c r="BE234" s="15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1"/>
      <c r="DA234" s="1"/>
      <c r="DP234" s="434"/>
      <c r="DQ234" s="151"/>
      <c r="DR234" s="151"/>
      <c r="DS234" s="151"/>
      <c r="DT234" s="151"/>
      <c r="FW234" s="151"/>
      <c r="JR234" s="151"/>
      <c r="JS234" s="151"/>
      <c r="JT234" s="151"/>
      <c r="JU234" s="151"/>
      <c r="OY234" s="151"/>
      <c r="OZ234" s="151"/>
      <c r="PB234" s="151"/>
      <c r="PP234" s="633"/>
      <c r="PT234" s="151"/>
      <c r="RW234" s="633"/>
      <c r="AHF234" s="151"/>
      <c r="AIU234" s="151"/>
      <c r="AIV234" s="151"/>
      <c r="AIW234" s="151"/>
    </row>
    <row r="235" spans="2:933" x14ac:dyDescent="0.25">
      <c r="B235" s="727">
        <v>10</v>
      </c>
      <c r="C235" s="634" t="s">
        <v>18</v>
      </c>
      <c r="D235" s="635"/>
      <c r="E235" s="119"/>
      <c r="F235" s="636"/>
      <c r="G235" s="636">
        <v>0</v>
      </c>
      <c r="H235" s="636">
        <v>0</v>
      </c>
      <c r="I235" s="636"/>
      <c r="J235" s="636"/>
      <c r="K235" s="636"/>
      <c r="L235" s="636"/>
      <c r="M235" s="636"/>
      <c r="N235" s="636"/>
      <c r="O235" s="636"/>
      <c r="P235" s="636"/>
      <c r="Q235" s="636"/>
      <c r="R235" s="636"/>
      <c r="S235" s="732"/>
      <c r="T235" s="714" t="s">
        <v>133</v>
      </c>
      <c r="U235" s="700" t="s">
        <v>133</v>
      </c>
      <c r="V235" s="795" t="s">
        <v>133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2"/>
      <c r="BD235" s="151"/>
      <c r="BE235" s="15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51"/>
      <c r="DA235" s="1"/>
      <c r="DP235" s="434"/>
      <c r="DQ235" s="151"/>
      <c r="DR235" s="151"/>
      <c r="DS235" s="151"/>
      <c r="DT235" s="151"/>
      <c r="FW235" s="151"/>
      <c r="JR235" s="151"/>
      <c r="JS235" s="151"/>
      <c r="JT235" s="151"/>
      <c r="JU235" s="151"/>
      <c r="OY235" s="151"/>
      <c r="OZ235" s="151"/>
      <c r="PB235" s="151"/>
      <c r="PP235" s="633"/>
      <c r="PT235" s="151"/>
      <c r="RW235" s="633"/>
      <c r="AHF235" s="151"/>
      <c r="AIU235" s="151"/>
      <c r="AIV235" s="151"/>
      <c r="AIW235" s="151"/>
    </row>
    <row r="236" spans="2:933" x14ac:dyDescent="0.25">
      <c r="B236" s="730"/>
      <c r="C236" s="461" t="s">
        <v>4</v>
      </c>
      <c r="D236" s="638">
        <f>17000*24</f>
        <v>408000</v>
      </c>
      <c r="E236" s="495" t="s">
        <v>14</v>
      </c>
      <c r="F236" s="282">
        <v>0</v>
      </c>
      <c r="G236" s="282">
        <v>990381.245</v>
      </c>
      <c r="H236" s="282">
        <v>141274.74799999999</v>
      </c>
      <c r="I236" s="282"/>
      <c r="J236" s="282"/>
      <c r="K236" s="282">
        <v>1818.779</v>
      </c>
      <c r="L236" s="282">
        <f>'JULI 2025'!AM249</f>
        <v>3165.7069999999999</v>
      </c>
      <c r="M236" s="282"/>
      <c r="N236" s="596"/>
      <c r="O236" s="596"/>
      <c r="P236" s="1739"/>
      <c r="Q236" s="639"/>
      <c r="R236" s="596"/>
      <c r="S236" s="718"/>
      <c r="T236" s="640">
        <f>SUM(F236:Q236)</f>
        <v>1136640.4790000001</v>
      </c>
      <c r="U236" s="701">
        <v>110880000</v>
      </c>
      <c r="V236" s="783">
        <f>T236/U236*100</f>
        <v>1.025108657106782</v>
      </c>
      <c r="W236" s="3"/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2"/>
      <c r="BD236" s="141"/>
      <c r="BE236" s="14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41"/>
      <c r="DA236" s="1"/>
      <c r="DP236" s="5"/>
      <c r="DQ236" s="141"/>
      <c r="DR236" s="141"/>
      <c r="DS236" s="141"/>
      <c r="DT236" s="141"/>
      <c r="FW236" s="141"/>
      <c r="JR236" s="141"/>
      <c r="JS236" s="141"/>
      <c r="JT236" s="141"/>
      <c r="JU236" s="141"/>
      <c r="OY236" s="141"/>
      <c r="OZ236" s="141"/>
      <c r="PB236" s="141"/>
      <c r="PP236" s="480"/>
      <c r="PT236" s="141"/>
      <c r="RW236" s="480"/>
      <c r="AHF236" s="141"/>
      <c r="AIU236" s="141"/>
      <c r="AIV236" s="141"/>
      <c r="AIW236" s="141"/>
    </row>
    <row r="237" spans="2:933" x14ac:dyDescent="0.25">
      <c r="B237" s="727"/>
      <c r="C237" s="568" t="s">
        <v>17</v>
      </c>
      <c r="D237" s="641"/>
      <c r="E237" s="13"/>
      <c r="F237" s="596"/>
      <c r="G237" s="596"/>
      <c r="H237" s="596">
        <v>0</v>
      </c>
      <c r="I237" s="596"/>
      <c r="J237" s="596"/>
      <c r="K237" s="596"/>
      <c r="L237" s="596"/>
      <c r="M237" s="596"/>
      <c r="N237" s="596"/>
      <c r="O237" s="596"/>
      <c r="P237" s="596"/>
      <c r="Q237" s="596"/>
      <c r="R237" s="596"/>
      <c r="S237" s="732"/>
      <c r="T237" s="715" t="s">
        <v>17</v>
      </c>
      <c r="U237" s="702" t="s">
        <v>17</v>
      </c>
      <c r="V237" s="796" t="s">
        <v>17</v>
      </c>
      <c r="W237" s="27"/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2"/>
      <c r="BD237" s="151"/>
      <c r="BE237" s="15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1"/>
      <c r="DA237" s="1"/>
      <c r="DP237" s="434"/>
      <c r="DQ237" s="151"/>
      <c r="DR237" s="151"/>
      <c r="DS237" s="151"/>
      <c r="DT237" s="151"/>
      <c r="FW237" s="151"/>
      <c r="JR237" s="151"/>
      <c r="JS237" s="151"/>
      <c r="JT237" s="151"/>
      <c r="JU237" s="151"/>
      <c r="OY237" s="151"/>
      <c r="OZ237" s="151"/>
      <c r="PB237" s="151"/>
      <c r="PP237" s="633"/>
      <c r="PT237" s="151"/>
      <c r="RW237" s="633"/>
      <c r="AHF237" s="151"/>
      <c r="AIU237" s="151"/>
      <c r="AIV237" s="151"/>
      <c r="AIW237" s="151"/>
    </row>
    <row r="238" spans="2:933" x14ac:dyDescent="0.25">
      <c r="B238" s="730"/>
      <c r="C238" s="461" t="s">
        <v>16</v>
      </c>
      <c r="D238" s="638">
        <v>180000</v>
      </c>
      <c r="E238" s="495" t="s">
        <v>14</v>
      </c>
      <c r="F238" s="33">
        <v>0</v>
      </c>
      <c r="G238" s="33">
        <v>836.87</v>
      </c>
      <c r="H238" s="33">
        <v>383.52</v>
      </c>
      <c r="I238" s="33"/>
      <c r="J238" s="33"/>
      <c r="K238" s="33">
        <v>790.67000000000007</v>
      </c>
      <c r="L238" s="33">
        <f>'JULI 2025'!AM251</f>
        <v>1611.5900000000001</v>
      </c>
      <c r="M238" s="33"/>
      <c r="N238" s="33"/>
      <c r="O238" s="33"/>
      <c r="P238" s="519"/>
      <c r="Q238" s="438"/>
      <c r="R238" s="438"/>
      <c r="S238" s="718"/>
      <c r="T238" s="54">
        <f>SUM(F238:Q238)</f>
        <v>3622.65</v>
      </c>
      <c r="U238" s="665">
        <v>41580000</v>
      </c>
      <c r="V238" s="768">
        <f>T238/U238*100</f>
        <v>8.7124819624819615E-3</v>
      </c>
      <c r="W238" s="496"/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 x14ac:dyDescent="0.25">
      <c r="B239" s="730"/>
      <c r="C239" s="461" t="s">
        <v>15</v>
      </c>
      <c r="D239" s="638">
        <v>122000</v>
      </c>
      <c r="E239" s="495" t="s">
        <v>14</v>
      </c>
      <c r="F239" s="33">
        <v>0</v>
      </c>
      <c r="G239" s="33">
        <v>555.09199999999998</v>
      </c>
      <c r="H239" s="33">
        <v>186.71700000000001</v>
      </c>
      <c r="I239" s="33"/>
      <c r="J239" s="33"/>
      <c r="K239" s="33">
        <v>425.73599999999999</v>
      </c>
      <c r="L239" s="33">
        <f>'JULI 2025'!AM253</f>
        <v>1046.7170000000001</v>
      </c>
      <c r="M239" s="33"/>
      <c r="N239" s="33"/>
      <c r="O239" s="33"/>
      <c r="P239" s="519"/>
      <c r="Q239" s="438"/>
      <c r="R239" s="438"/>
      <c r="S239" s="718"/>
      <c r="T239" s="54">
        <f>SUM(F239:Q239)</f>
        <v>2214.2620000000002</v>
      </c>
      <c r="U239" s="665">
        <v>28182000</v>
      </c>
      <c r="V239" s="768">
        <f>T239/U239*100</f>
        <v>7.8570080193031029E-3</v>
      </c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 x14ac:dyDescent="0.25">
      <c r="B240" s="730"/>
      <c r="C240" s="461" t="s">
        <v>7</v>
      </c>
      <c r="D240" s="638">
        <f>D236-D238-D239</f>
        <v>106000</v>
      </c>
      <c r="E240" s="495" t="s">
        <v>14</v>
      </c>
      <c r="F240" s="438">
        <v>0</v>
      </c>
      <c r="G240" s="438">
        <v>943029.28900000011</v>
      </c>
      <c r="H240" s="438">
        <v>140704.511</v>
      </c>
      <c r="I240" s="438"/>
      <c r="J240" s="438"/>
      <c r="K240" s="438">
        <v>602.37299999999993</v>
      </c>
      <c r="L240" s="33">
        <f>'JULI 2025'!AM255</f>
        <v>507.39999999999992</v>
      </c>
      <c r="M240" s="438"/>
      <c r="N240" s="438"/>
      <c r="O240" s="438"/>
      <c r="P240" s="1186"/>
      <c r="Q240" s="438"/>
      <c r="R240" s="438"/>
      <c r="S240" s="718"/>
      <c r="T240" s="54">
        <f>SUM(F240:Q240)</f>
        <v>1084843.5729999999</v>
      </c>
      <c r="U240" s="665">
        <v>41118000</v>
      </c>
      <c r="V240" s="768">
        <f>T240/U240*100</f>
        <v>2.6383665864098447</v>
      </c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</row>
    <row r="241" spans="2:933" x14ac:dyDescent="0.25">
      <c r="B241" s="727"/>
      <c r="C241" s="578" t="s">
        <v>1</v>
      </c>
      <c r="D241" s="642">
        <f>SUM(D238:D240)</f>
        <v>408000</v>
      </c>
      <c r="E241" s="495" t="s">
        <v>14</v>
      </c>
      <c r="F241" s="596">
        <v>0</v>
      </c>
      <c r="G241" s="596">
        <v>990381.245</v>
      </c>
      <c r="H241" s="596">
        <v>141274.74800000002</v>
      </c>
      <c r="I241" s="596"/>
      <c r="J241" s="596"/>
      <c r="K241" s="596">
        <v>1818.779</v>
      </c>
      <c r="L241" s="596">
        <f>'JULI 2025'!AC257</f>
        <v>148.136</v>
      </c>
      <c r="M241" s="596"/>
      <c r="N241" s="596"/>
      <c r="O241" s="596"/>
      <c r="P241" s="54"/>
      <c r="Q241" s="596"/>
      <c r="R241" s="596"/>
      <c r="S241" s="732"/>
      <c r="T241" s="643">
        <f>SUM(T238:T240)</f>
        <v>1090680.4849999999</v>
      </c>
      <c r="U241" s="703">
        <f>SUM(U238:U240)</f>
        <v>110880000</v>
      </c>
      <c r="V241" s="768">
        <f>T241/U241*100</f>
        <v>0.98365844606782094</v>
      </c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2"/>
      <c r="BD241" s="151"/>
      <c r="BE241" s="15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51"/>
      <c r="DA241" s="1"/>
      <c r="DP241" s="434"/>
      <c r="DQ241" s="151"/>
      <c r="DR241" s="151"/>
      <c r="DS241" s="151"/>
      <c r="DT241" s="151"/>
      <c r="FW241" s="151"/>
      <c r="JR241" s="151"/>
      <c r="JS241" s="151"/>
      <c r="JT241" s="151"/>
      <c r="JU241" s="151"/>
      <c r="OY241" s="151"/>
      <c r="OZ241" s="151"/>
      <c r="PB241" s="151"/>
      <c r="PP241" s="633"/>
      <c r="PT241" s="151"/>
      <c r="RW241" s="633"/>
      <c r="AHF241" s="151"/>
      <c r="AIU241" s="151"/>
      <c r="AIV241" s="151"/>
      <c r="AIW241" s="151"/>
    </row>
    <row r="242" spans="2:933" x14ac:dyDescent="0.25">
      <c r="B242" s="726">
        <v>11</v>
      </c>
      <c r="C242" s="520" t="s">
        <v>13</v>
      </c>
      <c r="D242" s="644"/>
      <c r="E242" s="76"/>
      <c r="F242" s="50"/>
      <c r="G242" s="50">
        <v>0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718"/>
      <c r="T242" s="637" t="s">
        <v>134</v>
      </c>
      <c r="U242" s="700" t="s">
        <v>134</v>
      </c>
      <c r="V242" s="795" t="s">
        <v>134</v>
      </c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ht="16.5" x14ac:dyDescent="0.25">
      <c r="B243" s="731"/>
      <c r="C243" s="571" t="s">
        <v>12</v>
      </c>
      <c r="D243" s="645">
        <v>750</v>
      </c>
      <c r="E243" s="572" t="s">
        <v>350</v>
      </c>
      <c r="F243" s="580">
        <v>0</v>
      </c>
      <c r="G243" s="580">
        <v>12166</v>
      </c>
      <c r="H243" s="580">
        <v>7331</v>
      </c>
      <c r="I243" s="580"/>
      <c r="J243" s="580"/>
      <c r="K243" s="580">
        <v>8141</v>
      </c>
      <c r="L243" s="580">
        <f>'JULI 2025'!AM259</f>
        <v>19684</v>
      </c>
      <c r="M243" s="580"/>
      <c r="N243" s="580"/>
      <c r="O243" s="580"/>
      <c r="P243" s="1739"/>
      <c r="Q243" s="646"/>
      <c r="R243" s="646"/>
      <c r="T243" s="647">
        <f>SUM(F243:Q243)</f>
        <v>47322</v>
      </c>
      <c r="U243" s="704">
        <v>232503.81</v>
      </c>
      <c r="V243" s="783">
        <f>T243/U243*100</f>
        <v>20.353214856995248</v>
      </c>
      <c r="W243" s="818"/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172">
        <f>AW243/4</f>
        <v>0</v>
      </c>
      <c r="BD243" s="144"/>
      <c r="BE243" s="144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4"/>
      <c r="DA243" s="1"/>
      <c r="DP243" s="516"/>
      <c r="DQ243" s="144"/>
      <c r="DR243" s="144"/>
      <c r="DS243" s="144"/>
      <c r="DT243" s="144"/>
      <c r="FW243" s="144"/>
      <c r="JR243" s="144"/>
      <c r="JS243" s="144"/>
      <c r="JT243" s="144"/>
      <c r="JU243" s="144"/>
      <c r="OY243" s="144"/>
      <c r="OZ243" s="144"/>
      <c r="PB243" s="144"/>
      <c r="PP243" s="509"/>
      <c r="PT243" s="144"/>
      <c r="RW243" s="509"/>
      <c r="AHF243" s="144"/>
      <c r="AIU243" s="144"/>
      <c r="AIV243" s="144"/>
      <c r="AIW243" s="144"/>
    </row>
    <row r="244" spans="2:933" x14ac:dyDescent="0.25">
      <c r="B244" s="731"/>
      <c r="C244" s="648" t="s">
        <v>11</v>
      </c>
      <c r="D244" s="649"/>
      <c r="E244" s="437"/>
      <c r="F244" s="274"/>
      <c r="G244" s="274">
        <v>0</v>
      </c>
      <c r="H244" s="274">
        <v>0</v>
      </c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T244" s="710" t="s">
        <v>11</v>
      </c>
      <c r="U244" s="705" t="s">
        <v>11</v>
      </c>
      <c r="V244" s="797" t="s">
        <v>11</v>
      </c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16"/>
      <c r="BD244" s="144"/>
      <c r="BE244" s="144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4"/>
      <c r="DA244" s="1"/>
      <c r="DP244" s="516"/>
      <c r="DQ244" s="144"/>
      <c r="DR244" s="144"/>
      <c r="DS244" s="144"/>
      <c r="DT244" s="144"/>
      <c r="FW244" s="144"/>
      <c r="JR244" s="144"/>
      <c r="JS244" s="144"/>
      <c r="JT244" s="144"/>
      <c r="JU244" s="144"/>
      <c r="OY244" s="144"/>
      <c r="OZ244" s="144"/>
      <c r="PB244" s="144"/>
      <c r="PP244" s="509"/>
      <c r="PT244" s="144"/>
      <c r="RW244" s="509"/>
      <c r="AHF244" s="144"/>
      <c r="AIU244" s="144"/>
      <c r="AIV244" s="144"/>
      <c r="AIW244" s="144"/>
    </row>
    <row r="245" spans="2:933" ht="16.5" x14ac:dyDescent="0.25">
      <c r="B245" s="731"/>
      <c r="C245" s="571" t="s">
        <v>10</v>
      </c>
      <c r="D245" s="650">
        <v>91.5</v>
      </c>
      <c r="E245" s="572" t="s">
        <v>350</v>
      </c>
      <c r="F245" s="29">
        <v>0</v>
      </c>
      <c r="G245" s="29">
        <v>1430</v>
      </c>
      <c r="H245" s="2009">
        <v>777</v>
      </c>
      <c r="I245" s="29"/>
      <c r="J245" s="29"/>
      <c r="K245" s="29">
        <v>1279</v>
      </c>
      <c r="L245" s="29">
        <f>'JULI 2025'!AM261</f>
        <v>4470</v>
      </c>
      <c r="M245" s="29"/>
      <c r="N245" s="29"/>
      <c r="O245" s="29"/>
      <c r="P245" s="519"/>
      <c r="Q245" s="274"/>
      <c r="R245" s="274"/>
      <c r="T245" s="651">
        <f>SUM(F245:Q245)</f>
        <v>7956</v>
      </c>
      <c r="U245" s="706">
        <v>18496.169999999998</v>
      </c>
      <c r="V245" s="798">
        <f>T245/U245*100</f>
        <v>43.014310530234098</v>
      </c>
      <c r="W245" s="652"/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16"/>
      <c r="BD245" s="144"/>
      <c r="BE245" s="144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4"/>
      <c r="DA245" s="1"/>
      <c r="DP245" s="516"/>
      <c r="DQ245" s="144"/>
      <c r="DR245" s="144"/>
      <c r="DS245" s="144"/>
      <c r="DT245" s="144"/>
      <c r="FW245" s="144"/>
      <c r="JR245" s="144"/>
      <c r="JS245" s="144"/>
      <c r="JT245" s="144"/>
      <c r="JU245" s="144"/>
      <c r="OY245" s="144"/>
      <c r="OZ245" s="144"/>
      <c r="PB245" s="144"/>
      <c r="PP245" s="509"/>
      <c r="PT245" s="144"/>
      <c r="RW245" s="509"/>
      <c r="AFR245" s="653" t="e">
        <f>#REF!-T245</f>
        <v>#REF!</v>
      </c>
      <c r="AHF245" s="144"/>
      <c r="AIU245" s="144"/>
      <c r="AIV245" s="144"/>
      <c r="AIW245" s="144"/>
    </row>
    <row r="246" spans="2:933" ht="16.5" x14ac:dyDescent="0.25">
      <c r="B246" s="731"/>
      <c r="C246" s="571" t="s">
        <v>9</v>
      </c>
      <c r="D246" s="650">
        <v>179.63</v>
      </c>
      <c r="E246" s="572" t="s">
        <v>350</v>
      </c>
      <c r="F246" s="29">
        <v>0</v>
      </c>
      <c r="G246" s="29">
        <v>895</v>
      </c>
      <c r="H246" s="2009">
        <v>326</v>
      </c>
      <c r="I246" s="29"/>
      <c r="J246" s="29"/>
      <c r="K246" s="29">
        <v>950</v>
      </c>
      <c r="L246" s="29">
        <f>'JULI 2025'!AM263</f>
        <v>2046</v>
      </c>
      <c r="M246" s="29"/>
      <c r="N246" s="29"/>
      <c r="O246" s="29"/>
      <c r="P246" s="519"/>
      <c r="Q246" s="274"/>
      <c r="R246" s="274"/>
      <c r="T246" s="651">
        <f>SUM(F246:Q246)</f>
        <v>4217</v>
      </c>
      <c r="U246" s="706">
        <v>31949.61</v>
      </c>
      <c r="V246" s="798">
        <f>T246/U246*100</f>
        <v>13.198909157263577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6"/>
      <c r="BD246" s="144"/>
      <c r="BE246" s="144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4"/>
      <c r="DA246" s="1"/>
      <c r="DP246" s="516"/>
      <c r="DQ246" s="144"/>
      <c r="DR246" s="144"/>
      <c r="DS246" s="144"/>
      <c r="DT246" s="144"/>
      <c r="FW246" s="144"/>
      <c r="JR246" s="144"/>
      <c r="JS246" s="144"/>
      <c r="JT246" s="144"/>
      <c r="JU246" s="144"/>
      <c r="OY246" s="144"/>
      <c r="OZ246" s="144"/>
      <c r="PB246" s="144"/>
      <c r="PP246" s="509"/>
      <c r="PT246" s="144"/>
      <c r="RW246" s="509"/>
      <c r="AFR246" s="653" t="e">
        <f>#REF!-T246</f>
        <v>#REF!</v>
      </c>
      <c r="AHF246" s="144"/>
      <c r="AIU246" s="144"/>
      <c r="AIV246" s="144"/>
      <c r="AIW246" s="144"/>
    </row>
    <row r="247" spans="2:933" ht="16.5" x14ac:dyDescent="0.25">
      <c r="B247" s="731"/>
      <c r="C247" s="571" t="s">
        <v>8</v>
      </c>
      <c r="D247" s="645">
        <f>44.69%*D243</f>
        <v>335.17499999999995</v>
      </c>
      <c r="E247" s="572" t="s">
        <v>350</v>
      </c>
      <c r="F247" s="274">
        <v>0</v>
      </c>
      <c r="G247" s="274">
        <v>4089</v>
      </c>
      <c r="H247" s="2008">
        <v>1968</v>
      </c>
      <c r="I247" s="274"/>
      <c r="J247" s="274"/>
      <c r="K247" s="274">
        <v>3200</v>
      </c>
      <c r="L247" s="274">
        <f>'JULI 2025'!AM265</f>
        <v>8302.2000000000007</v>
      </c>
      <c r="M247" s="274"/>
      <c r="N247" s="274"/>
      <c r="O247" s="274"/>
      <c r="P247" s="519"/>
      <c r="Q247" s="274"/>
      <c r="R247" s="274"/>
      <c r="T247" s="651">
        <f>SUM(F247:Q247)</f>
        <v>17559.2</v>
      </c>
      <c r="U247" s="706">
        <v>134857.79999999999</v>
      </c>
      <c r="V247" s="798">
        <f>T247/U247*100</f>
        <v>13.02052977284221</v>
      </c>
      <c r="W247" s="653"/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6"/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6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09"/>
      <c r="PT247" s="144"/>
      <c r="RW247" s="509"/>
      <c r="AHF247" s="144"/>
      <c r="AIU247" s="144"/>
      <c r="AIV247" s="144"/>
      <c r="AIW247" s="144"/>
    </row>
    <row r="248" spans="2:933" ht="16.5" x14ac:dyDescent="0.25">
      <c r="B248" s="731"/>
      <c r="C248" s="571" t="s">
        <v>7</v>
      </c>
      <c r="D248" s="645">
        <f>D243-SUM(D245:D247)</f>
        <v>143.69500000000005</v>
      </c>
      <c r="E248" s="572" t="s">
        <v>350</v>
      </c>
      <c r="F248" s="274">
        <v>0</v>
      </c>
      <c r="G248" s="274">
        <v>5752</v>
      </c>
      <c r="H248" s="2008">
        <v>4260</v>
      </c>
      <c r="I248" s="274"/>
      <c r="J248" s="274"/>
      <c r="K248" s="274">
        <v>2712</v>
      </c>
      <c r="L248" s="274">
        <f>'JULI 2025'!AM267</f>
        <v>5337</v>
      </c>
      <c r="M248" s="274"/>
      <c r="N248" s="274"/>
      <c r="O248" s="274"/>
      <c r="P248" s="519"/>
      <c r="Q248" s="274"/>
      <c r="R248" s="274"/>
      <c r="T248" s="651">
        <f>SUM(F248:Q248)</f>
        <v>18061</v>
      </c>
      <c r="U248" s="706">
        <f>143.7*231</f>
        <v>33194.699999999997</v>
      </c>
      <c r="V248" s="798">
        <f>T248/U248*100</f>
        <v>54.409288229747524</v>
      </c>
      <c r="W248" s="819"/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6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09"/>
      <c r="PT248" s="144"/>
      <c r="RW248" s="509"/>
      <c r="AHF248" s="144"/>
      <c r="AIU248" s="144"/>
      <c r="AIV248" s="144"/>
      <c r="AIW248" s="144"/>
    </row>
    <row r="249" spans="2:933" ht="16.5" x14ac:dyDescent="0.25">
      <c r="B249" s="731"/>
      <c r="C249" s="571" t="s">
        <v>6</v>
      </c>
      <c r="D249" s="645">
        <f>30%*D243</f>
        <v>225</v>
      </c>
      <c r="E249" s="572" t="s">
        <v>350</v>
      </c>
      <c r="F249" s="274">
        <v>0</v>
      </c>
      <c r="G249" s="274">
        <v>1967</v>
      </c>
      <c r="H249" s="274">
        <v>962</v>
      </c>
      <c r="I249" s="274"/>
      <c r="J249" s="274"/>
      <c r="K249" s="274">
        <v>1219</v>
      </c>
      <c r="L249" s="274">
        <f>'JULI 2025'!AC267</f>
        <v>227</v>
      </c>
      <c r="M249" s="274"/>
      <c r="N249" s="274"/>
      <c r="O249" s="274"/>
      <c r="P249" s="1748"/>
      <c r="Q249" s="274"/>
      <c r="R249" s="274"/>
      <c r="T249" s="651">
        <f>SUM(F249:Q249)</f>
        <v>4375</v>
      </c>
      <c r="U249" s="706">
        <v>47200.23</v>
      </c>
      <c r="V249" s="798">
        <f>T249/U249*100</f>
        <v>9.2690226297626097</v>
      </c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6"/>
      <c r="BD249" s="144"/>
      <c r="BE249" s="144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4"/>
      <c r="DA249" s="1"/>
      <c r="DP249" s="516"/>
      <c r="DQ249" s="144"/>
      <c r="DR249" s="144"/>
      <c r="DS249" s="144"/>
      <c r="DT249" s="144"/>
      <c r="FW249" s="144"/>
      <c r="JR249" s="144"/>
      <c r="JS249" s="144"/>
      <c r="JT249" s="144"/>
      <c r="JU249" s="144"/>
      <c r="OY249" s="144"/>
      <c r="OZ249" s="144"/>
      <c r="PB249" s="144"/>
      <c r="PP249" s="509"/>
      <c r="PT249" s="144"/>
      <c r="RW249" s="509"/>
      <c r="AHF249" s="144"/>
      <c r="AIU249" s="144"/>
      <c r="AIV249" s="144"/>
      <c r="AIW249" s="144"/>
    </row>
    <row r="250" spans="2:933" x14ac:dyDescent="0.25">
      <c r="B250" s="2376">
        <v>12</v>
      </c>
      <c r="C250" s="520" t="s">
        <v>5</v>
      </c>
      <c r="D250" s="644"/>
      <c r="E250" s="76"/>
      <c r="F250" s="50"/>
      <c r="G250" s="50"/>
      <c r="H250" s="50">
        <v>0</v>
      </c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718"/>
      <c r="T250" s="654" t="s">
        <v>135</v>
      </c>
      <c r="U250" s="707" t="s">
        <v>135</v>
      </c>
      <c r="V250" s="799" t="s">
        <v>135</v>
      </c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 x14ac:dyDescent="0.25">
      <c r="B251" s="2377"/>
      <c r="C251" s="655" t="s">
        <v>4</v>
      </c>
      <c r="D251" s="656"/>
      <c r="E251" s="657"/>
      <c r="F251" s="438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718"/>
      <c r="T251" s="712" t="s">
        <v>4</v>
      </c>
      <c r="U251" s="697" t="s">
        <v>4</v>
      </c>
      <c r="V251" s="793" t="s">
        <v>4</v>
      </c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x14ac:dyDescent="0.25">
      <c r="B252" s="2377"/>
      <c r="C252" s="522" t="s">
        <v>3</v>
      </c>
      <c r="D252" s="638">
        <v>28770</v>
      </c>
      <c r="E252" s="476" t="s">
        <v>2</v>
      </c>
      <c r="F252" s="438">
        <v>0</v>
      </c>
      <c r="G252" s="438">
        <v>496.29999999999995</v>
      </c>
      <c r="H252" s="597">
        <v>220.3</v>
      </c>
      <c r="I252" s="597"/>
      <c r="J252" s="438"/>
      <c r="K252" s="597">
        <v>447.8</v>
      </c>
      <c r="L252" s="438">
        <f>'JULI 2025'!AM271</f>
        <v>43.223999999999997</v>
      </c>
      <c r="M252" s="597"/>
      <c r="N252" s="438"/>
      <c r="O252" s="438"/>
      <c r="P252" s="1749"/>
      <c r="Q252" s="1734"/>
      <c r="R252" s="438"/>
      <c r="S252" s="718"/>
      <c r="T252" s="449">
        <f>SUM(F252:Q252)</f>
        <v>1207.6239999999998</v>
      </c>
      <c r="U252" s="667">
        <v>6906893</v>
      </c>
      <c r="V252" s="770">
        <f>T252/U252*100</f>
        <v>1.7484330508667208E-2</v>
      </c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72">
        <f>AW252/4</f>
        <v>0</v>
      </c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ht="15.75" thickBot="1" x14ac:dyDescent="0.3">
      <c r="B253" s="2377"/>
      <c r="C253" s="655" t="s">
        <v>1</v>
      </c>
      <c r="D253" s="641"/>
      <c r="E253" s="69" t="s">
        <v>0</v>
      </c>
      <c r="F253" s="596">
        <v>0</v>
      </c>
      <c r="G253" s="596">
        <v>496.29999999999995</v>
      </c>
      <c r="H253" s="596">
        <v>220.3</v>
      </c>
      <c r="I253" s="596"/>
      <c r="J253" s="596"/>
      <c r="K253" s="596">
        <v>447800</v>
      </c>
      <c r="L253" s="596">
        <f>'JULI 2025'!AM272</f>
        <v>1080600</v>
      </c>
      <c r="M253" s="596"/>
      <c r="N253" s="596"/>
      <c r="O253" s="596"/>
      <c r="P253" s="596"/>
      <c r="Q253" s="1735"/>
      <c r="R253" s="596"/>
      <c r="S253" s="719"/>
      <c r="T253" s="643">
        <f>SUM(F253:Q253)</f>
        <v>1529116.6</v>
      </c>
      <c r="U253" s="660">
        <v>9666771</v>
      </c>
      <c r="V253" s="800">
        <f>T253/U253*100</f>
        <v>15.818276857908398</v>
      </c>
      <c r="W253" s="414"/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DA253" s="1"/>
    </row>
    <row r="254" spans="2:933" x14ac:dyDescent="0.25">
      <c r="B254" s="2377"/>
      <c r="C254" s="744" t="s">
        <v>16</v>
      </c>
      <c r="D254" s="750"/>
      <c r="E254" s="750"/>
      <c r="F254" s="751"/>
      <c r="G254" s="751"/>
      <c r="H254" s="751"/>
      <c r="I254" s="532"/>
      <c r="J254" s="751"/>
      <c r="K254" s="751"/>
      <c r="L254" s="532"/>
      <c r="M254" s="532"/>
      <c r="N254" s="751"/>
      <c r="O254" s="751"/>
      <c r="P254" s="751"/>
      <c r="Q254" s="751"/>
      <c r="R254" s="658"/>
      <c r="S254" s="750"/>
      <c r="T254" s="124" t="s">
        <v>16</v>
      </c>
      <c r="AO254" s="62"/>
      <c r="AP254" s="801"/>
      <c r="AQ254" s="62"/>
      <c r="AS254" s="62"/>
      <c r="BX254" s="1"/>
      <c r="BY254" s="1"/>
      <c r="BZ254" s="1"/>
      <c r="DB254" s="1"/>
    </row>
    <row r="255" spans="2:933" ht="15.75" thickBot="1" x14ac:dyDescent="0.3">
      <c r="B255" s="2377"/>
      <c r="C255" s="745" t="s">
        <v>119</v>
      </c>
      <c r="D255" s="748">
        <v>5404.17</v>
      </c>
      <c r="E255" s="749" t="s">
        <v>2</v>
      </c>
      <c r="F255" s="824">
        <v>0</v>
      </c>
      <c r="G255" s="532">
        <v>129287.00000000001</v>
      </c>
      <c r="H255" s="532">
        <v>57279.1</v>
      </c>
      <c r="I255" s="532"/>
      <c r="J255" s="532"/>
      <c r="K255" s="532">
        <v>135763</v>
      </c>
      <c r="L255" s="824">
        <f>'JULI 2025'!AM274</f>
        <v>319944.71999999997</v>
      </c>
      <c r="M255" s="824"/>
      <c r="N255" s="826"/>
      <c r="O255" s="826"/>
      <c r="P255" s="1750"/>
      <c r="Q255" s="532"/>
      <c r="R255" s="658"/>
      <c r="S255" s="750"/>
      <c r="T255" s="643">
        <f>SUM(E255:Q255)</f>
        <v>642273.81999999995</v>
      </c>
      <c r="U255" s="659">
        <f>SUM(F255:S255)</f>
        <v>642273.81999999995</v>
      </c>
    </row>
    <row r="256" spans="2:933" ht="15.75" thickBot="1" x14ac:dyDescent="0.3">
      <c r="B256" s="2377"/>
      <c r="C256" s="745" t="s">
        <v>120</v>
      </c>
      <c r="D256" s="748">
        <v>3850.42</v>
      </c>
      <c r="E256" s="749" t="s">
        <v>2</v>
      </c>
      <c r="F256" s="824">
        <v>0</v>
      </c>
      <c r="G256" s="532">
        <v>150215.03000000003</v>
      </c>
      <c r="H256" s="532">
        <v>71727.399999999994</v>
      </c>
      <c r="I256" s="532"/>
      <c r="J256" s="532"/>
      <c r="K256" s="532">
        <v>99647.499999999985</v>
      </c>
      <c r="L256" s="824">
        <f>'JULI 2025'!AM276</f>
        <v>225833</v>
      </c>
      <c r="M256" s="824"/>
      <c r="N256" s="826"/>
      <c r="O256" s="826"/>
      <c r="P256" s="826"/>
      <c r="Q256" s="532"/>
      <c r="R256" s="658"/>
      <c r="S256" s="750"/>
      <c r="T256" s="643">
        <f>SUM(E256:Q256)</f>
        <v>547422.92999999993</v>
      </c>
      <c r="U256" s="660">
        <f>SUM(F256:S256)</f>
        <v>547422.92999999993</v>
      </c>
    </row>
    <row r="257" spans="2:40" ht="15.75" thickBot="1" x14ac:dyDescent="0.3">
      <c r="B257" s="2377"/>
      <c r="C257" s="746" t="s">
        <v>15</v>
      </c>
      <c r="D257" s="748"/>
      <c r="E257" s="750"/>
      <c r="F257" s="824"/>
      <c r="G257" s="532"/>
      <c r="H257" s="532"/>
      <c r="I257" s="532"/>
      <c r="J257" s="532"/>
      <c r="K257" s="532"/>
      <c r="L257" s="824"/>
      <c r="M257" s="824"/>
      <c r="N257" s="826"/>
      <c r="O257" s="826"/>
      <c r="P257" s="826"/>
      <c r="Q257" s="532"/>
      <c r="R257" s="658"/>
      <c r="S257" s="750"/>
      <c r="T257" s="125" t="s">
        <v>15</v>
      </c>
    </row>
    <row r="258" spans="2:40" ht="15.75" thickBot="1" x14ac:dyDescent="0.3">
      <c r="B258" s="2377"/>
      <c r="C258" s="745" t="s">
        <v>121</v>
      </c>
      <c r="D258" s="748">
        <v>5759.67</v>
      </c>
      <c r="E258" s="749" t="s">
        <v>2</v>
      </c>
      <c r="F258" s="824">
        <v>0</v>
      </c>
      <c r="G258" s="532">
        <v>76079.8</v>
      </c>
      <c r="H258" s="532">
        <v>27300.400000000001</v>
      </c>
      <c r="I258" s="532"/>
      <c r="J258" s="532"/>
      <c r="K258" s="532">
        <v>150240</v>
      </c>
      <c r="L258" s="824">
        <f>'JULI 2025'!AM279</f>
        <v>315504</v>
      </c>
      <c r="M258" s="824"/>
      <c r="N258" s="826"/>
      <c r="O258" s="826"/>
      <c r="P258" s="826"/>
      <c r="Q258" s="532"/>
      <c r="R258" s="658"/>
      <c r="S258" s="750"/>
      <c r="T258" s="643">
        <f>SUM(E258:Q258)</f>
        <v>569124.19999999995</v>
      </c>
      <c r="U258" s="661">
        <f>SUM(F258:S258)</f>
        <v>569124.19999999995</v>
      </c>
    </row>
    <row r="259" spans="2:40" ht="15.75" thickBot="1" x14ac:dyDescent="0.3">
      <c r="B259" s="2377"/>
      <c r="C259" s="745" t="s">
        <v>120</v>
      </c>
      <c r="D259" s="748">
        <v>1308.96</v>
      </c>
      <c r="E259" s="749" t="s">
        <v>2</v>
      </c>
      <c r="F259" s="824">
        <v>0</v>
      </c>
      <c r="G259" s="532">
        <v>108720</v>
      </c>
      <c r="H259" s="532">
        <v>5056.7999999999993</v>
      </c>
      <c r="I259" s="532"/>
      <c r="J259" s="532"/>
      <c r="K259" s="532">
        <v>82129.100000000006</v>
      </c>
      <c r="L259" s="824">
        <f>'JULI 2025'!AM281</f>
        <v>176329.80000000002</v>
      </c>
      <c r="M259" s="824"/>
      <c r="N259" s="826"/>
      <c r="O259" s="826"/>
      <c r="P259" s="826"/>
      <c r="Q259" s="532"/>
      <c r="R259" s="658"/>
      <c r="S259" s="750"/>
      <c r="T259" s="643">
        <f>SUM(E259:Q259)</f>
        <v>372235.70000000007</v>
      </c>
      <c r="U259" s="660">
        <f>SUM(F259:S259)</f>
        <v>372235.70000000007</v>
      </c>
    </row>
    <row r="260" spans="2:40" ht="15.75" thickBot="1" x14ac:dyDescent="0.3">
      <c r="B260" s="2377"/>
      <c r="C260" s="746" t="s">
        <v>7</v>
      </c>
      <c r="D260" s="748"/>
      <c r="E260" s="750"/>
      <c r="F260" s="824"/>
      <c r="G260" s="532"/>
      <c r="H260" s="532"/>
      <c r="I260" s="532"/>
      <c r="J260" s="532"/>
      <c r="K260" s="532"/>
      <c r="L260" s="824"/>
      <c r="M260" s="824"/>
      <c r="N260" s="826"/>
      <c r="O260" s="826"/>
      <c r="P260" s="826"/>
      <c r="Q260" s="532"/>
      <c r="R260" s="658"/>
      <c r="S260" s="750"/>
      <c r="T260" s="125" t="s">
        <v>7</v>
      </c>
      <c r="AL260" s="432"/>
      <c r="AM260" s="432"/>
      <c r="AN260" s="432"/>
    </row>
    <row r="261" spans="2:40" ht="15.75" thickBot="1" x14ac:dyDescent="0.3">
      <c r="B261" s="2377"/>
      <c r="C261" s="745" t="s">
        <v>122</v>
      </c>
      <c r="D261" s="748">
        <v>11.81</v>
      </c>
      <c r="E261" s="749" t="s">
        <v>2</v>
      </c>
      <c r="F261" s="824">
        <v>0</v>
      </c>
      <c r="G261" s="532"/>
      <c r="H261" s="532"/>
      <c r="I261" s="532"/>
      <c r="J261" s="532"/>
      <c r="K261" s="532"/>
      <c r="L261" s="824"/>
      <c r="M261" s="824"/>
      <c r="N261" s="826"/>
      <c r="O261" s="826"/>
      <c r="P261" s="826"/>
      <c r="Q261" s="532"/>
      <c r="R261" s="658"/>
      <c r="S261" s="750"/>
      <c r="T261" s="643">
        <f>SUM(E261:Q261)</f>
        <v>0</v>
      </c>
      <c r="U261" s="661">
        <f>SUM(F261:S261)</f>
        <v>0</v>
      </c>
      <c r="AL261" s="432"/>
      <c r="AM261" s="432"/>
      <c r="AN261" s="432"/>
    </row>
    <row r="262" spans="2:40" ht="15.75" thickBot="1" x14ac:dyDescent="0.3">
      <c r="B262" s="2378"/>
      <c r="C262" s="747" t="s">
        <v>123</v>
      </c>
      <c r="D262" s="754">
        <v>241.12</v>
      </c>
      <c r="E262" s="755" t="s">
        <v>2</v>
      </c>
      <c r="F262" s="825"/>
      <c r="G262" s="737"/>
      <c r="H262" s="737"/>
      <c r="I262" s="737"/>
      <c r="J262" s="737"/>
      <c r="K262" s="737"/>
      <c r="L262" s="825"/>
      <c r="M262" s="825"/>
      <c r="N262" s="827"/>
      <c r="O262" s="827"/>
      <c r="P262" s="827"/>
      <c r="Q262" s="737"/>
      <c r="R262" s="738"/>
      <c r="S262" s="752"/>
      <c r="T262" s="753">
        <f>SUM(E262:Q262)</f>
        <v>0</v>
      </c>
      <c r="U262" s="660">
        <f>SUM(F262:S262)</f>
        <v>0</v>
      </c>
      <c r="AL262" s="432"/>
      <c r="AM262" s="432"/>
      <c r="AN262" s="432"/>
    </row>
    <row r="263" spans="2:40" x14ac:dyDescent="0.25">
      <c r="I263" s="1"/>
      <c r="AK263" s="4"/>
      <c r="AL263" s="4"/>
    </row>
    <row r="264" spans="2:40" x14ac:dyDescent="0.25">
      <c r="I264" s="1"/>
      <c r="P264" s="414"/>
      <c r="AK264" s="4"/>
      <c r="AL264" s="4"/>
    </row>
    <row r="265" spans="2:40" x14ac:dyDescent="0.25">
      <c r="I265" s="1"/>
      <c r="P265" s="414"/>
    </row>
  </sheetData>
  <mergeCells count="13">
    <mergeCell ref="B250:B262"/>
    <mergeCell ref="B6:B68"/>
    <mergeCell ref="AF33:AG33"/>
    <mergeCell ref="AF35:AG35"/>
    <mergeCell ref="AF36:AG36"/>
    <mergeCell ref="AH36:AL36"/>
    <mergeCell ref="B69:B75"/>
    <mergeCell ref="B2:T2"/>
    <mergeCell ref="B4:B5"/>
    <mergeCell ref="C4:C5"/>
    <mergeCell ref="D4:D5"/>
    <mergeCell ref="E4:E5"/>
    <mergeCell ref="F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4"/>
  <sheetViews>
    <sheetView showGridLines="0" topLeftCell="A33" zoomScale="115" zoomScaleNormal="115" workbookViewId="0">
      <selection activeCell="B77" sqref="B77:H77"/>
    </sheetView>
  </sheetViews>
  <sheetFormatPr defaultColWidth="9.42578125" defaultRowHeight="15" x14ac:dyDescent="0.25"/>
  <cols>
    <col min="1" max="1" width="9.42578125" style="1189"/>
    <col min="2" max="2" width="5.5703125" style="1189" customWidth="1"/>
    <col min="3" max="3" width="32.5703125" style="1189" customWidth="1"/>
    <col min="4" max="4" width="9" style="1189" customWidth="1"/>
    <col min="5" max="5" width="15.5703125" style="1189" customWidth="1"/>
    <col min="6" max="6" width="20.5703125" style="1189" customWidth="1"/>
    <col min="7" max="7" width="13.5703125" style="1189" customWidth="1"/>
    <col min="8" max="8" width="21.5703125" style="1190" customWidth="1"/>
    <col min="9" max="9" width="16.42578125" style="1191" customWidth="1"/>
    <col min="10" max="10" width="11.42578125" style="1189" bestFit="1" customWidth="1"/>
    <col min="11" max="11" width="11.5703125" style="1189" bestFit="1" customWidth="1"/>
    <col min="12" max="12" width="13.5703125" style="1189" customWidth="1"/>
    <col min="13" max="13" width="13.42578125" style="1189" bestFit="1" customWidth="1"/>
    <col min="14" max="16384" width="9.42578125" style="1189"/>
  </cols>
  <sheetData>
    <row r="1" spans="2:12" x14ac:dyDescent="0.25">
      <c r="B1" s="1188"/>
    </row>
    <row r="2" spans="2:12" x14ac:dyDescent="0.25">
      <c r="B2" s="2379" t="s">
        <v>732</v>
      </c>
      <c r="C2" s="2379"/>
      <c r="D2" s="2379"/>
      <c r="E2" s="2379"/>
      <c r="F2" s="2379"/>
      <c r="G2" s="2379"/>
      <c r="H2" s="2379"/>
      <c r="I2" s="1193"/>
    </row>
    <row r="3" spans="2:12" x14ac:dyDescent="0.25">
      <c r="B3" s="2379" t="s">
        <v>733</v>
      </c>
      <c r="C3" s="2379"/>
      <c r="D3" s="2379"/>
      <c r="E3" s="2379"/>
      <c r="F3" s="2379"/>
      <c r="G3" s="2379"/>
      <c r="H3" s="2379"/>
      <c r="I3" s="1193"/>
    </row>
    <row r="4" spans="2:12" ht="15.75" thickBot="1" x14ac:dyDescent="0.3">
      <c r="B4" s="2380" t="s">
        <v>1139</v>
      </c>
      <c r="C4" s="2380"/>
      <c r="D4" s="1194"/>
      <c r="E4" s="1194"/>
      <c r="F4" s="1194"/>
      <c r="G4" s="1195"/>
      <c r="H4" s="1196"/>
      <c r="I4" s="1197"/>
    </row>
    <row r="5" spans="2:12" x14ac:dyDescent="0.25">
      <c r="B5" s="2381" t="s">
        <v>175</v>
      </c>
      <c r="C5" s="2383" t="s">
        <v>734</v>
      </c>
      <c r="D5" s="2383" t="s">
        <v>735</v>
      </c>
      <c r="E5" s="2387" t="s">
        <v>1140</v>
      </c>
      <c r="F5" s="2388"/>
      <c r="G5" s="2388"/>
      <c r="H5" s="2385" t="s">
        <v>736</v>
      </c>
      <c r="I5" s="1198"/>
    </row>
    <row r="6" spans="2:12" ht="41.25" customHeight="1" x14ac:dyDescent="0.25">
      <c r="B6" s="2382"/>
      <c r="C6" s="2384"/>
      <c r="D6" s="2384"/>
      <c r="E6" s="1199" t="s">
        <v>737</v>
      </c>
      <c r="F6" s="1199" t="s">
        <v>738</v>
      </c>
      <c r="G6" s="1199" t="s">
        <v>739</v>
      </c>
      <c r="H6" s="2386"/>
      <c r="I6" s="1198"/>
    </row>
    <row r="7" spans="2:12" x14ac:dyDescent="0.25">
      <c r="B7" s="1200" t="s">
        <v>740</v>
      </c>
      <c r="C7" s="1201" t="s">
        <v>85</v>
      </c>
      <c r="D7" s="1202"/>
      <c r="E7" s="1203"/>
      <c r="F7" s="1203"/>
      <c r="G7" s="1203"/>
      <c r="H7" s="1265"/>
      <c r="I7" s="1204"/>
    </row>
    <row r="8" spans="2:12" x14ac:dyDescent="0.25">
      <c r="B8" s="1205"/>
      <c r="C8" s="1206" t="s">
        <v>741</v>
      </c>
      <c r="D8" s="1207"/>
      <c r="E8" s="1208"/>
      <c r="F8" s="1209"/>
      <c r="G8" s="1208"/>
      <c r="H8" s="1235"/>
      <c r="I8" s="1204"/>
      <c r="J8" s="1210"/>
      <c r="K8" s="1210"/>
      <c r="L8" s="1211"/>
    </row>
    <row r="9" spans="2:12" x14ac:dyDescent="0.25">
      <c r="B9" s="1205"/>
      <c r="C9" s="1212" t="s">
        <v>84</v>
      </c>
      <c r="D9" s="1213" t="s">
        <v>228</v>
      </c>
      <c r="E9" s="1214">
        <v>25</v>
      </c>
      <c r="F9" s="1214">
        <f>'JULI 2025'!$AM$6</f>
        <v>25</v>
      </c>
      <c r="G9" s="1215">
        <f>(F9/E9)</f>
        <v>1</v>
      </c>
      <c r="H9" s="1216" t="s">
        <v>742</v>
      </c>
      <c r="I9" s="1204"/>
      <c r="J9" s="1217"/>
      <c r="K9" s="1210"/>
    </row>
    <row r="10" spans="2:12" x14ac:dyDescent="0.25">
      <c r="B10" s="1205"/>
      <c r="C10" s="1212" t="s">
        <v>1143</v>
      </c>
      <c r="D10" s="1213" t="s">
        <v>14</v>
      </c>
      <c r="E10" s="1214"/>
      <c r="F10" s="1214">
        <f>F9*2500</f>
        <v>62500</v>
      </c>
      <c r="G10" s="1215">
        <f>(F12/F10)/1000</f>
        <v>0.55306065599999998</v>
      </c>
      <c r="H10" s="1216"/>
      <c r="I10" s="1204"/>
      <c r="J10" s="1217"/>
      <c r="K10" s="1210"/>
    </row>
    <row r="11" spans="2:12" x14ac:dyDescent="0.25">
      <c r="B11" s="1205"/>
      <c r="C11" s="1218" t="s">
        <v>743</v>
      </c>
      <c r="D11" s="1219" t="s">
        <v>14</v>
      </c>
      <c r="E11" s="1209"/>
      <c r="F11" s="1209">
        <f>'JULI 2025'!AM7</f>
        <v>29011628</v>
      </c>
      <c r="G11" s="1220"/>
      <c r="H11" s="1229"/>
      <c r="I11" s="1221"/>
      <c r="J11" s="1217"/>
      <c r="K11" s="1210"/>
    </row>
    <row r="12" spans="2:12" x14ac:dyDescent="0.25">
      <c r="B12" s="1205"/>
      <c r="C12" s="1212" t="s">
        <v>744</v>
      </c>
      <c r="D12" s="1213" t="s">
        <v>14</v>
      </c>
      <c r="E12" s="2242">
        <v>58971</v>
      </c>
      <c r="F12" s="1214">
        <f>F13+F14</f>
        <v>34566291</v>
      </c>
      <c r="G12" s="1215">
        <f>(F12/E12)/1000</f>
        <v>0.5861574502721677</v>
      </c>
      <c r="H12" s="1222" t="s">
        <v>745</v>
      </c>
      <c r="I12" s="1204"/>
      <c r="J12" s="1223"/>
      <c r="L12" s="1211"/>
    </row>
    <row r="13" spans="2:12" x14ac:dyDescent="0.25">
      <c r="B13" s="1205"/>
      <c r="C13" s="1212" t="s">
        <v>97</v>
      </c>
      <c r="D13" s="1213"/>
      <c r="E13" s="1214"/>
      <c r="F13" s="1214">
        <f>'JULI 2025'!$AM$11</f>
        <v>34566291</v>
      </c>
      <c r="G13" s="1215"/>
      <c r="H13" s="1222"/>
      <c r="I13" s="1204"/>
      <c r="J13" s="1223"/>
      <c r="L13" s="1211"/>
    </row>
    <row r="14" spans="2:12" x14ac:dyDescent="0.25">
      <c r="B14" s="1205"/>
      <c r="C14" s="1212" t="s">
        <v>98</v>
      </c>
      <c r="D14" s="1213"/>
      <c r="E14" s="1214"/>
      <c r="F14" s="1214">
        <f>'JULI 2025'!$AM$12</f>
        <v>0</v>
      </c>
      <c r="G14" s="1215"/>
      <c r="H14" s="1222"/>
      <c r="I14" s="1204"/>
      <c r="J14" s="1223"/>
      <c r="L14" s="1211"/>
    </row>
    <row r="15" spans="2:12" x14ac:dyDescent="0.25">
      <c r="B15" s="1205"/>
      <c r="C15" s="1224" t="s">
        <v>746</v>
      </c>
      <c r="D15" s="1225" t="s">
        <v>25</v>
      </c>
      <c r="E15" s="1226">
        <v>5</v>
      </c>
      <c r="F15" s="1227">
        <f>'JULI 2025'!$AM$13</f>
        <v>3.952</v>
      </c>
      <c r="G15" s="1228">
        <f>(F15/E15)</f>
        <v>0.79039999999999999</v>
      </c>
      <c r="H15" s="1229"/>
      <c r="I15" s="1230"/>
      <c r="J15" s="1231"/>
    </row>
    <row r="16" spans="2:12" x14ac:dyDescent="0.25">
      <c r="B16" s="1205"/>
      <c r="C16" s="1224" t="s">
        <v>747</v>
      </c>
      <c r="D16" s="1225" t="s">
        <v>25</v>
      </c>
      <c r="E16" s="1226">
        <v>0.5</v>
      </c>
      <c r="F16" s="1227">
        <f>'JULI 2025'!$AM$14</f>
        <v>0.43926666666666669</v>
      </c>
      <c r="G16" s="1228">
        <f>(F16/E16)</f>
        <v>0.87853333333333339</v>
      </c>
      <c r="H16" s="1229"/>
      <c r="I16" s="1230"/>
      <c r="J16" s="1231"/>
    </row>
    <row r="17" spans="2:13" x14ac:dyDescent="0.25">
      <c r="B17" s="1205"/>
      <c r="C17" s="1224" t="s">
        <v>748</v>
      </c>
      <c r="D17" s="1225" t="s">
        <v>25</v>
      </c>
      <c r="E17" s="1226">
        <v>2.2000000000000002</v>
      </c>
      <c r="F17" s="1227">
        <f>'JULI 2025'!$O$15</f>
        <v>0</v>
      </c>
      <c r="G17" s="1228">
        <f>(F17/E17)</f>
        <v>0</v>
      </c>
      <c r="H17" s="1229"/>
      <c r="I17" s="1230"/>
    </row>
    <row r="18" spans="2:13" x14ac:dyDescent="0.25">
      <c r="B18" s="1205"/>
      <c r="C18" s="1232" t="s">
        <v>78</v>
      </c>
      <c r="D18" s="1219"/>
      <c r="E18" s="1209"/>
      <c r="F18" s="1209"/>
      <c r="G18" s="1228"/>
      <c r="H18" s="2219"/>
      <c r="I18" s="1230"/>
    </row>
    <row r="19" spans="2:13" x14ac:dyDescent="0.25">
      <c r="B19" s="1205"/>
      <c r="C19" s="1233" t="s">
        <v>193</v>
      </c>
      <c r="D19" s="1234" t="s">
        <v>14</v>
      </c>
      <c r="E19" s="2243">
        <v>55728</v>
      </c>
      <c r="F19" s="1209">
        <f>'JULI 2025'!$AM$20</f>
        <v>32809301</v>
      </c>
      <c r="G19" s="1228">
        <f>(F19/E19)/1000</f>
        <v>0.5887399691358024</v>
      </c>
      <c r="H19" s="1235"/>
      <c r="I19" s="1204"/>
    </row>
    <row r="20" spans="2:13" x14ac:dyDescent="0.25">
      <c r="B20" s="1205"/>
      <c r="C20" s="1236" t="s">
        <v>64</v>
      </c>
      <c r="D20" s="1237" t="s">
        <v>14</v>
      </c>
      <c r="E20" s="2244">
        <v>2831</v>
      </c>
      <c r="F20" s="1209">
        <f>'JULI 2025'!$AM$21</f>
        <v>1487076</v>
      </c>
      <c r="G20" s="1228">
        <f>(F20/E20)/1000</f>
        <v>0.5252829388908512</v>
      </c>
      <c r="H20" s="1239"/>
      <c r="I20" s="1204"/>
    </row>
    <row r="21" spans="2:13" ht="8.25" customHeight="1" x14ac:dyDescent="0.25">
      <c r="B21" s="1205"/>
      <c r="C21" s="1240"/>
      <c r="D21" s="1241"/>
      <c r="E21" s="1208"/>
      <c r="F21" s="1242"/>
      <c r="G21" s="1243"/>
      <c r="H21" s="1235"/>
      <c r="I21" s="1204"/>
    </row>
    <row r="22" spans="2:13" s="1244" customFormat="1" ht="14.25" customHeight="1" x14ac:dyDescent="0.25">
      <c r="B22" s="1205"/>
      <c r="C22" s="1206" t="s">
        <v>749</v>
      </c>
      <c r="D22" s="1241"/>
      <c r="E22" s="1208"/>
      <c r="F22" s="1209"/>
      <c r="G22" s="1220"/>
      <c r="H22" s="1235"/>
      <c r="I22" s="1204"/>
    </row>
    <row r="23" spans="2:13" s="1244" customFormat="1" ht="14.25" customHeight="1" x14ac:dyDescent="0.25">
      <c r="B23" s="1205"/>
      <c r="C23" s="1245" t="s">
        <v>353</v>
      </c>
      <c r="D23" s="1241" t="s">
        <v>14</v>
      </c>
      <c r="E23" s="1208">
        <f>'JULI 2025'!E29</f>
        <v>35501000</v>
      </c>
      <c r="F23" s="1209">
        <f>'JULI 2025'!$AM$29</f>
        <v>31763356</v>
      </c>
      <c r="G23" s="1228">
        <f>(F23/E23)</f>
        <v>0.89471721923326109</v>
      </c>
      <c r="H23" s="1235" t="s">
        <v>745</v>
      </c>
      <c r="I23" s="1204"/>
    </row>
    <row r="24" spans="2:13" s="1244" customFormat="1" ht="20.25" customHeight="1" x14ac:dyDescent="0.25">
      <c r="B24" s="1205"/>
      <c r="C24" s="1245" t="s">
        <v>750</v>
      </c>
      <c r="D24" s="1241" t="s">
        <v>14</v>
      </c>
      <c r="E24" s="1208">
        <v>35501000</v>
      </c>
      <c r="F24" s="1246">
        <f>'JULI 2025'!$AM$25</f>
        <v>32775474</v>
      </c>
      <c r="G24" s="1228">
        <f>(F24/E24)</f>
        <v>0.92322678234415934</v>
      </c>
      <c r="H24" s="1235" t="s">
        <v>745</v>
      </c>
      <c r="I24" s="1204"/>
    </row>
    <row r="25" spans="2:13" x14ac:dyDescent="0.25">
      <c r="B25" s="1205"/>
      <c r="C25" s="1247" t="s">
        <v>751</v>
      </c>
      <c r="D25" s="1248"/>
      <c r="E25" s="1249"/>
      <c r="F25" s="1242"/>
      <c r="G25" s="1243"/>
      <c r="H25" s="1257"/>
      <c r="I25" s="1204"/>
      <c r="J25" s="1210"/>
    </row>
    <row r="26" spans="2:13" x14ac:dyDescent="0.25">
      <c r="B26" s="1205"/>
      <c r="C26" s="1233" t="s">
        <v>75</v>
      </c>
      <c r="D26" s="1234" t="s">
        <v>14</v>
      </c>
      <c r="E26" s="1209">
        <f>E27+E28</f>
        <v>25639000</v>
      </c>
      <c r="F26" s="1209">
        <f>F27+F28</f>
        <v>12309228</v>
      </c>
      <c r="G26" s="1228">
        <f>(F26/E26)</f>
        <v>0.4800978197277585</v>
      </c>
      <c r="H26" s="1235" t="s">
        <v>745</v>
      </c>
      <c r="I26" s="1204"/>
      <c r="J26" s="1231"/>
    </row>
    <row r="27" spans="2:13" x14ac:dyDescent="0.25">
      <c r="B27" s="1205"/>
      <c r="C27" s="1250" t="s">
        <v>63</v>
      </c>
      <c r="D27" s="1251" t="s">
        <v>14</v>
      </c>
      <c r="E27" s="1214">
        <f>'JULI 2025'!E33</f>
        <v>25000000</v>
      </c>
      <c r="F27" s="1214">
        <f>'JULI 2025'!$AM$33</f>
        <v>9895094</v>
      </c>
      <c r="G27" s="1215">
        <f>(F27/E27)</f>
        <v>0.39580376</v>
      </c>
      <c r="H27" s="1216" t="s">
        <v>745</v>
      </c>
      <c r="I27" s="1204"/>
      <c r="J27" s="1231"/>
      <c r="M27" s="1252"/>
    </row>
    <row r="28" spans="2:13" x14ac:dyDescent="0.25">
      <c r="B28" s="1205"/>
      <c r="C28" s="1236" t="s">
        <v>62</v>
      </c>
      <c r="D28" s="1237" t="s">
        <v>14</v>
      </c>
      <c r="E28" s="1238">
        <f>'JULI 2025'!E34</f>
        <v>639000</v>
      </c>
      <c r="F28" s="1246">
        <f>'JULI 2025'!$AM$34</f>
        <v>2414134</v>
      </c>
      <c r="G28" s="1228">
        <f>(F28/E28)</f>
        <v>3.7779874804381848</v>
      </c>
      <c r="H28" s="2220" t="s">
        <v>742</v>
      </c>
      <c r="I28" s="1204"/>
      <c r="J28" s="1231"/>
      <c r="M28" s="1252"/>
    </row>
    <row r="29" spans="2:13" hidden="1" x14ac:dyDescent="0.25">
      <c r="B29" s="1205"/>
      <c r="C29" s="1247" t="s">
        <v>752</v>
      </c>
      <c r="D29" s="1253"/>
      <c r="E29" s="1249"/>
      <c r="F29" s="1242"/>
      <c r="G29" s="1243"/>
      <c r="H29" s="1235"/>
      <c r="I29" s="1204"/>
      <c r="M29" s="1252"/>
    </row>
    <row r="30" spans="2:13" hidden="1" x14ac:dyDescent="0.25">
      <c r="B30" s="1205"/>
      <c r="C30" s="1218" t="s">
        <v>75</v>
      </c>
      <c r="D30" s="1219" t="s">
        <v>14</v>
      </c>
      <c r="E30" s="1208">
        <v>0</v>
      </c>
      <c r="F30" s="1209"/>
      <c r="G30" s="1220"/>
      <c r="H30" s="1235"/>
      <c r="I30" s="1204"/>
      <c r="J30" s="1231"/>
    </row>
    <row r="31" spans="2:13" hidden="1" x14ac:dyDescent="0.25">
      <c r="B31" s="1205"/>
      <c r="C31" s="1212" t="s">
        <v>753</v>
      </c>
      <c r="D31" s="1213" t="s">
        <v>14</v>
      </c>
      <c r="E31" s="1214">
        <v>0</v>
      </c>
      <c r="F31" s="1214">
        <v>0</v>
      </c>
      <c r="G31" s="1214">
        <v>0</v>
      </c>
      <c r="H31" s="1222"/>
      <c r="I31" s="1204"/>
      <c r="J31" s="1231"/>
    </row>
    <row r="32" spans="2:13" hidden="1" x14ac:dyDescent="0.25">
      <c r="B32" s="1205"/>
      <c r="C32" s="1240" t="s">
        <v>62</v>
      </c>
      <c r="D32" s="1254" t="s">
        <v>14</v>
      </c>
      <c r="E32" s="1208">
        <v>0</v>
      </c>
      <c r="F32" s="1209"/>
      <c r="G32" s="1255"/>
      <c r="H32" s="1235"/>
      <c r="I32" s="1204"/>
      <c r="J32" s="1231"/>
    </row>
    <row r="33" spans="2:13" x14ac:dyDescent="0.25">
      <c r="B33" s="1256"/>
      <c r="C33" s="1247" t="s">
        <v>1066</v>
      </c>
      <c r="D33" s="1248"/>
      <c r="E33" s="1249"/>
      <c r="F33" s="1242"/>
      <c r="G33" s="1243"/>
      <c r="H33" s="1257"/>
      <c r="I33" s="1204"/>
    </row>
    <row r="34" spans="2:13" hidden="1" x14ac:dyDescent="0.25">
      <c r="B34" s="1256"/>
      <c r="C34" s="1258" t="s">
        <v>192</v>
      </c>
      <c r="D34" s="1207" t="s">
        <v>14</v>
      </c>
      <c r="E34" s="1208">
        <v>1812101.9108280253</v>
      </c>
      <c r="F34" s="1209"/>
      <c r="G34" s="1259">
        <f t="shared" ref="G34:G69" si="0">(F34/E34)*100</f>
        <v>0</v>
      </c>
      <c r="H34" s="1235"/>
      <c r="I34" s="1204"/>
      <c r="M34" s="1210"/>
    </row>
    <row r="35" spans="2:13" x14ac:dyDescent="0.25">
      <c r="B35" s="1256"/>
      <c r="C35" s="1218" t="s">
        <v>75</v>
      </c>
      <c r="D35" s="1219" t="s">
        <v>14</v>
      </c>
      <c r="E35" s="1209">
        <f>E36+E37</f>
        <v>12514300</v>
      </c>
      <c r="F35" s="1209">
        <f>F36+F37</f>
        <v>19454128</v>
      </c>
      <c r="G35" s="1228">
        <f>(F35/E35)</f>
        <v>1.5545518327033874</v>
      </c>
      <c r="H35" s="1235" t="s">
        <v>742</v>
      </c>
      <c r="I35" s="1204"/>
      <c r="J35" s="1231"/>
    </row>
    <row r="36" spans="2:13" x14ac:dyDescent="0.25">
      <c r="B36" s="1256"/>
      <c r="C36" s="1212" t="s">
        <v>330</v>
      </c>
      <c r="D36" s="1213" t="s">
        <v>14</v>
      </c>
      <c r="E36" s="1214">
        <f>'JULI 2025'!E46</f>
        <v>12000000</v>
      </c>
      <c r="F36" s="1214">
        <f>'JULI 2025'!AM46</f>
        <v>13698839</v>
      </c>
      <c r="G36" s="1215">
        <f>(F36/E36)</f>
        <v>1.1415699166666666</v>
      </c>
      <c r="H36" s="1222" t="s">
        <v>742</v>
      </c>
      <c r="I36" s="1204"/>
      <c r="J36" s="1231"/>
    </row>
    <row r="37" spans="2:13" x14ac:dyDescent="0.25">
      <c r="B37" s="1256"/>
      <c r="C37" s="1240" t="s">
        <v>62</v>
      </c>
      <c r="D37" s="1207" t="s">
        <v>14</v>
      </c>
      <c r="E37" s="1208">
        <f>'JULI 2025'!E47</f>
        <v>514300</v>
      </c>
      <c r="F37" s="1209">
        <f>'JULI 2025'!AM47</f>
        <v>5755289</v>
      </c>
      <c r="G37" s="1228">
        <f>(F37/E37)</f>
        <v>11.190528874197939</v>
      </c>
      <c r="H37" s="1235" t="s">
        <v>742</v>
      </c>
      <c r="I37" s="1204"/>
      <c r="J37" s="1231"/>
    </row>
    <row r="38" spans="2:13" hidden="1" x14ac:dyDescent="0.25">
      <c r="B38" s="1205"/>
      <c r="C38" s="1247" t="s">
        <v>754</v>
      </c>
      <c r="D38" s="1248"/>
      <c r="E38" s="1249"/>
      <c r="F38" s="1242"/>
      <c r="G38" s="1243"/>
      <c r="H38" s="1257"/>
      <c r="I38" s="1204"/>
    </row>
    <row r="39" spans="2:13" hidden="1" x14ac:dyDescent="0.25">
      <c r="B39" s="1205"/>
      <c r="C39" s="1233" t="s">
        <v>75</v>
      </c>
      <c r="D39" s="1234" t="s">
        <v>14</v>
      </c>
      <c r="E39" s="1209">
        <v>21429000</v>
      </c>
      <c r="F39" s="1209">
        <f>F40+F41</f>
        <v>19454128</v>
      </c>
      <c r="G39" s="1220">
        <f t="shared" si="0"/>
        <v>90.78411498436698</v>
      </c>
      <c r="H39" s="1235" t="s">
        <v>745</v>
      </c>
      <c r="I39" s="1204"/>
      <c r="J39" s="1231"/>
    </row>
    <row r="40" spans="2:13" hidden="1" x14ac:dyDescent="0.25">
      <c r="B40" s="1205"/>
      <c r="C40" s="1250" t="s">
        <v>330</v>
      </c>
      <c r="D40" s="1251" t="s">
        <v>14</v>
      </c>
      <c r="E40" s="1214">
        <v>15000000</v>
      </c>
      <c r="F40" s="1214">
        <f>'JULI 2025'!$AM$46</f>
        <v>13698839</v>
      </c>
      <c r="G40" s="1259">
        <f t="shared" si="0"/>
        <v>91.32559333333333</v>
      </c>
      <c r="H40" s="1222" t="s">
        <v>745</v>
      </c>
      <c r="I40" s="1204"/>
      <c r="J40" s="1231"/>
    </row>
    <row r="41" spans="2:13" hidden="1" x14ac:dyDescent="0.25">
      <c r="B41" s="1205"/>
      <c r="C41" s="1240" t="s">
        <v>62</v>
      </c>
      <c r="D41" s="1241" t="s">
        <v>14</v>
      </c>
      <c r="E41" s="1208">
        <v>6429000</v>
      </c>
      <c r="F41" s="1209">
        <f>'JULI 2025'!$AM$47</f>
        <v>5755289</v>
      </c>
      <c r="G41" s="1255">
        <f t="shared" si="0"/>
        <v>89.520749727795916</v>
      </c>
      <c r="H41" s="1235" t="s">
        <v>745</v>
      </c>
      <c r="I41" s="1204"/>
      <c r="J41" s="1231"/>
    </row>
    <row r="42" spans="2:13" hidden="1" x14ac:dyDescent="0.25">
      <c r="B42" s="1256"/>
      <c r="C42" s="1247" t="s">
        <v>755</v>
      </c>
      <c r="D42" s="1248"/>
      <c r="E42" s="1249"/>
      <c r="F42" s="1242"/>
      <c r="G42" s="1243"/>
      <c r="H42" s="1257"/>
      <c r="I42" s="1204"/>
    </row>
    <row r="43" spans="2:13" hidden="1" x14ac:dyDescent="0.25">
      <c r="B43" s="1256"/>
      <c r="C43" s="1258" t="s">
        <v>192</v>
      </c>
      <c r="D43" s="1260"/>
      <c r="E43" s="1208">
        <v>2234607.2186836516</v>
      </c>
      <c r="F43" s="1209">
        <v>0</v>
      </c>
      <c r="G43" s="1220">
        <f t="shared" si="0"/>
        <v>0</v>
      </c>
      <c r="H43" s="1235"/>
      <c r="I43" s="1204"/>
    </row>
    <row r="44" spans="2:13" hidden="1" x14ac:dyDescent="0.25">
      <c r="B44" s="1256"/>
      <c r="C44" s="1218" t="s">
        <v>75</v>
      </c>
      <c r="D44" s="1219" t="s">
        <v>14</v>
      </c>
      <c r="E44" s="1209">
        <f>E45+E46</f>
        <v>1333300</v>
      </c>
      <c r="F44" s="1209">
        <v>0</v>
      </c>
      <c r="G44" s="1220">
        <f t="shared" si="0"/>
        <v>0</v>
      </c>
      <c r="H44" s="1235" t="s">
        <v>745</v>
      </c>
      <c r="I44" s="1204"/>
      <c r="J44" s="1231"/>
    </row>
    <row r="45" spans="2:13" hidden="1" x14ac:dyDescent="0.25">
      <c r="B45" s="1256"/>
      <c r="C45" s="1212" t="s">
        <v>756</v>
      </c>
      <c r="D45" s="1213" t="s">
        <v>14</v>
      </c>
      <c r="E45" s="1214">
        <f>'JULI 2025'!E56</f>
        <v>1250000</v>
      </c>
      <c r="F45" s="1214">
        <f>'JULI 2025'!AM56</f>
        <v>0</v>
      </c>
      <c r="G45" s="1259">
        <f t="shared" si="0"/>
        <v>0</v>
      </c>
      <c r="H45" s="1222" t="s">
        <v>745</v>
      </c>
      <c r="I45" s="1204"/>
      <c r="J45" s="1231"/>
    </row>
    <row r="46" spans="2:13" hidden="1" x14ac:dyDescent="0.25">
      <c r="B46" s="1256"/>
      <c r="C46" s="1261" t="s">
        <v>60</v>
      </c>
      <c r="D46" s="1254" t="s">
        <v>14</v>
      </c>
      <c r="E46" s="1238">
        <f>'JULI 2025'!E57</f>
        <v>83300</v>
      </c>
      <c r="F46" s="1209">
        <f>'JULI 2025'!AM57</f>
        <v>0</v>
      </c>
      <c r="G46" s="1255">
        <f t="shared" si="0"/>
        <v>0</v>
      </c>
      <c r="H46" s="1235" t="s">
        <v>745</v>
      </c>
      <c r="I46" s="1204"/>
      <c r="J46" s="1231"/>
    </row>
    <row r="47" spans="2:13" x14ac:dyDescent="0.25">
      <c r="B47" s="1262" t="s">
        <v>757</v>
      </c>
      <c r="C47" s="1263" t="s">
        <v>758</v>
      </c>
      <c r="D47" s="1202"/>
      <c r="E47" s="1203"/>
      <c r="F47" s="1203"/>
      <c r="G47" s="1264"/>
      <c r="H47" s="1265"/>
      <c r="I47" s="1204"/>
    </row>
    <row r="48" spans="2:13" x14ac:dyDescent="0.25">
      <c r="B48" s="1266"/>
      <c r="C48" s="1233" t="s">
        <v>65</v>
      </c>
      <c r="D48" s="1234" t="s">
        <v>25</v>
      </c>
      <c r="E48" s="1227">
        <v>94.77</v>
      </c>
      <c r="F48" s="274">
        <f>(F19/F12)*100</f>
        <v>94.917042155318313</v>
      </c>
      <c r="G48" s="1228">
        <f>(F48/E48)</f>
        <v>1.0015515685904646</v>
      </c>
      <c r="H48" s="1235" t="s">
        <v>742</v>
      </c>
      <c r="I48" s="1230"/>
    </row>
    <row r="49" spans="2:9" x14ac:dyDescent="0.25">
      <c r="B49" s="1266"/>
      <c r="C49" s="1233" t="s">
        <v>64</v>
      </c>
      <c r="D49" s="1234" t="s">
        <v>25</v>
      </c>
      <c r="E49" s="1227">
        <v>4.5</v>
      </c>
      <c r="F49" s="274">
        <f>(F20/(F12))*100</f>
        <v>4.302098828017157</v>
      </c>
      <c r="G49" s="2223">
        <f>(F49/E49)</f>
        <v>0.95602196178159049</v>
      </c>
      <c r="H49" s="1235" t="s">
        <v>745</v>
      </c>
      <c r="I49" s="1230"/>
    </row>
    <row r="50" spans="2:9" x14ac:dyDescent="0.25">
      <c r="B50" s="1266"/>
      <c r="C50" s="1267" t="s">
        <v>63</v>
      </c>
      <c r="D50" s="1268" t="s">
        <v>25</v>
      </c>
      <c r="E50" s="1269">
        <v>82</v>
      </c>
      <c r="F50" s="1270">
        <f>F27/(F27+F28)*100</f>
        <v>80.387608386163606</v>
      </c>
      <c r="G50" s="1228">
        <f>(F50/E50)</f>
        <v>0.98033668763614157</v>
      </c>
      <c r="H50" s="2221" t="s">
        <v>745</v>
      </c>
      <c r="I50" s="1230"/>
    </row>
    <row r="51" spans="2:9" x14ac:dyDescent="0.25">
      <c r="B51" s="1266"/>
      <c r="C51" s="1233" t="s">
        <v>62</v>
      </c>
      <c r="D51" s="1234" t="s">
        <v>25</v>
      </c>
      <c r="E51" s="1227">
        <v>18</v>
      </c>
      <c r="F51" s="1271">
        <f>(F28/F26)*100</f>
        <v>19.612391613836383</v>
      </c>
      <c r="G51" s="2223">
        <f>(F51/E51)</f>
        <v>1.0895773118797991</v>
      </c>
      <c r="H51" s="2220" t="s">
        <v>742</v>
      </c>
      <c r="I51" s="1230"/>
    </row>
    <row r="52" spans="2:9" hidden="1" x14ac:dyDescent="0.25">
      <c r="B52" s="1266"/>
      <c r="C52" s="1272" t="s">
        <v>106</v>
      </c>
      <c r="D52" s="1268" t="s">
        <v>25</v>
      </c>
      <c r="E52" s="1269">
        <v>75</v>
      </c>
      <c r="F52" s="1273">
        <v>0</v>
      </c>
      <c r="G52" s="2225">
        <f t="shared" si="0"/>
        <v>0</v>
      </c>
      <c r="H52" s="2222"/>
      <c r="I52" s="1230"/>
    </row>
    <row r="53" spans="2:9" hidden="1" x14ac:dyDescent="0.25">
      <c r="B53" s="1266"/>
      <c r="C53" s="1233" t="s">
        <v>62</v>
      </c>
      <c r="D53" s="1234" t="s">
        <v>25</v>
      </c>
      <c r="E53" s="1227">
        <v>25</v>
      </c>
      <c r="F53" s="1274">
        <v>0</v>
      </c>
      <c r="G53" s="2224">
        <f t="shared" si="0"/>
        <v>0</v>
      </c>
      <c r="H53" s="1279"/>
      <c r="I53" s="1230"/>
    </row>
    <row r="54" spans="2:9" hidden="1" x14ac:dyDescent="0.25">
      <c r="B54" s="1266"/>
      <c r="C54" s="1272" t="s">
        <v>108</v>
      </c>
      <c r="D54" s="1268" t="s">
        <v>25</v>
      </c>
      <c r="E54" s="1269">
        <v>75</v>
      </c>
      <c r="F54" s="1273">
        <v>0</v>
      </c>
      <c r="G54" s="2225">
        <f t="shared" si="0"/>
        <v>0</v>
      </c>
      <c r="H54" s="2222"/>
      <c r="I54" s="1230"/>
    </row>
    <row r="55" spans="2:9" hidden="1" x14ac:dyDescent="0.25">
      <c r="B55" s="1266"/>
      <c r="C55" s="1233" t="s">
        <v>62</v>
      </c>
      <c r="D55" s="1234" t="s">
        <v>25</v>
      </c>
      <c r="E55" s="1227">
        <v>25</v>
      </c>
      <c r="F55" s="1274">
        <v>0</v>
      </c>
      <c r="G55" s="2224">
        <f t="shared" si="0"/>
        <v>0</v>
      </c>
      <c r="H55" s="1279"/>
      <c r="I55" s="1230"/>
    </row>
    <row r="56" spans="2:9" x14ac:dyDescent="0.25">
      <c r="B56" s="1266"/>
      <c r="C56" s="1272" t="s">
        <v>111</v>
      </c>
      <c r="D56" s="1268" t="s">
        <v>25</v>
      </c>
      <c r="E56" s="1269">
        <v>70</v>
      </c>
      <c r="F56" s="1270">
        <f>F40/(F40+F41)*100</f>
        <v>70.41610397546475</v>
      </c>
      <c r="G56" s="1228">
        <f>(F56/E56)</f>
        <v>1.0059443425066392</v>
      </c>
      <c r="H56" s="2221" t="s">
        <v>742</v>
      </c>
      <c r="I56" s="1230"/>
    </row>
    <row r="57" spans="2:9" x14ac:dyDescent="0.25">
      <c r="B57" s="1266"/>
      <c r="C57" s="1233" t="s">
        <v>62</v>
      </c>
      <c r="D57" s="1234" t="s">
        <v>25</v>
      </c>
      <c r="E57" s="1227">
        <v>30</v>
      </c>
      <c r="F57" s="1271">
        <f>(F41/F39)*100</f>
        <v>29.583896024535257</v>
      </c>
      <c r="G57" s="1228">
        <f>(F57/E57)</f>
        <v>0.98612986748450859</v>
      </c>
      <c r="H57" s="2220" t="s">
        <v>745</v>
      </c>
      <c r="I57" s="1230"/>
    </row>
    <row r="58" spans="2:9" hidden="1" x14ac:dyDescent="0.25">
      <c r="B58" s="1266"/>
      <c r="C58" s="1267" t="s">
        <v>61</v>
      </c>
      <c r="D58" s="1268" t="s">
        <v>25</v>
      </c>
      <c r="E58" s="1269">
        <v>60</v>
      </c>
      <c r="F58" s="274">
        <v>0</v>
      </c>
      <c r="G58" s="1243">
        <f t="shared" si="0"/>
        <v>0</v>
      </c>
      <c r="H58" s="1276"/>
      <c r="I58" s="1230"/>
    </row>
    <row r="59" spans="2:9" hidden="1" x14ac:dyDescent="0.25">
      <c r="B59" s="1266"/>
      <c r="C59" s="1277" t="s">
        <v>60</v>
      </c>
      <c r="D59" s="1278" t="s">
        <v>25</v>
      </c>
      <c r="E59" s="1274">
        <v>40</v>
      </c>
      <c r="F59" s="274">
        <v>0</v>
      </c>
      <c r="G59" s="1255">
        <f t="shared" si="0"/>
        <v>0</v>
      </c>
      <c r="H59" s="1279"/>
      <c r="I59" s="1230"/>
    </row>
    <row r="60" spans="2:9" x14ac:dyDescent="0.25">
      <c r="B60" s="1200" t="s">
        <v>759</v>
      </c>
      <c r="C60" s="1201" t="s">
        <v>59</v>
      </c>
      <c r="D60" s="1202"/>
      <c r="E60" s="1203"/>
      <c r="F60" s="1203"/>
      <c r="G60" s="1264"/>
      <c r="H60" s="1265"/>
      <c r="I60" s="1204"/>
    </row>
    <row r="61" spans="2:9" x14ac:dyDescent="0.25">
      <c r="B61" s="1280"/>
      <c r="C61" s="1281" t="s">
        <v>760</v>
      </c>
      <c r="D61" s="1207" t="s">
        <v>14</v>
      </c>
      <c r="E61" s="1991">
        <v>530100</v>
      </c>
      <c r="F61" s="1209">
        <f>'JULI 2025'!$AM$75</f>
        <v>271394.19999999995</v>
      </c>
      <c r="G61" s="1228">
        <f>(F61/E61)</f>
        <v>0.51196793057913592</v>
      </c>
      <c r="H61" s="1235"/>
      <c r="I61" s="1204"/>
    </row>
    <row r="62" spans="2:9" x14ac:dyDescent="0.25">
      <c r="B62" s="1280"/>
      <c r="C62" s="1218"/>
      <c r="D62" s="1234" t="s">
        <v>324</v>
      </c>
      <c r="E62" s="1282">
        <f>'JULI 2025'!E75</f>
        <v>9</v>
      </c>
      <c r="F62" s="1282">
        <f>(F61/F13)*1000</f>
        <v>7.8514122328021827</v>
      </c>
      <c r="G62" s="2226">
        <f>(F62/E62)</f>
        <v>0.87237913697802028</v>
      </c>
      <c r="H62" s="1216" t="s">
        <v>742</v>
      </c>
      <c r="I62" s="1230"/>
    </row>
    <row r="63" spans="2:9" x14ac:dyDescent="0.25">
      <c r="B63" s="1280"/>
      <c r="C63" s="1281" t="s">
        <v>761</v>
      </c>
      <c r="D63" s="1207" t="s">
        <v>14</v>
      </c>
      <c r="E63" s="1208">
        <v>106326</v>
      </c>
      <c r="F63" s="1209">
        <f>'JULI 2025'!AM12</f>
        <v>0</v>
      </c>
      <c r="G63" s="1228">
        <f t="shared" ref="G63:G66" si="1">(F63/E63)</f>
        <v>0</v>
      </c>
      <c r="H63" s="1275"/>
      <c r="I63" s="1204"/>
    </row>
    <row r="64" spans="2:9" x14ac:dyDescent="0.25">
      <c r="B64" s="1280"/>
      <c r="C64" s="1218"/>
      <c r="D64" s="1234" t="s">
        <v>324</v>
      </c>
      <c r="E64" s="1282">
        <v>1060</v>
      </c>
      <c r="F64" s="1282"/>
      <c r="G64" s="2226">
        <f t="shared" si="1"/>
        <v>0</v>
      </c>
      <c r="H64" s="1283"/>
      <c r="I64" s="1230"/>
    </row>
    <row r="65" spans="1:9" x14ac:dyDescent="0.25">
      <c r="B65" s="1280"/>
      <c r="C65" s="1233" t="s">
        <v>762</v>
      </c>
      <c r="D65" s="1234" t="s">
        <v>14</v>
      </c>
      <c r="E65" s="1209">
        <v>35340</v>
      </c>
      <c r="F65" s="1209">
        <f>'JULI 2025'!$AM$83</f>
        <v>16506.73</v>
      </c>
      <c r="G65" s="1228">
        <f t="shared" si="1"/>
        <v>0.46708347481607243</v>
      </c>
      <c r="H65" s="1275"/>
      <c r="I65" s="1204"/>
    </row>
    <row r="66" spans="1:9" x14ac:dyDescent="0.25">
      <c r="B66" s="1280"/>
      <c r="C66" s="1281"/>
      <c r="D66" s="1241" t="s">
        <v>324</v>
      </c>
      <c r="E66" s="1284">
        <v>0.6</v>
      </c>
      <c r="F66" s="1284">
        <f>(F65/F12)*1000</f>
        <v>0.47753836244681269</v>
      </c>
      <c r="G66" s="2226">
        <f t="shared" si="1"/>
        <v>0.79589727074468786</v>
      </c>
      <c r="H66" s="1216" t="s">
        <v>742</v>
      </c>
      <c r="I66" s="1230"/>
    </row>
    <row r="67" spans="1:9" x14ac:dyDescent="0.25">
      <c r="B67" s="1200" t="s">
        <v>763</v>
      </c>
      <c r="C67" s="1263" t="s">
        <v>168</v>
      </c>
      <c r="D67" s="1202"/>
      <c r="E67" s="1203"/>
      <c r="F67" s="1203"/>
      <c r="G67" s="1264"/>
      <c r="H67" s="1265"/>
      <c r="I67" s="1204"/>
    </row>
    <row r="68" spans="1:9" x14ac:dyDescent="0.25">
      <c r="B68" s="1285"/>
      <c r="C68" s="1233" t="s">
        <v>764</v>
      </c>
      <c r="D68" s="2229" t="s">
        <v>25</v>
      </c>
      <c r="E68" s="2228">
        <v>-0.8</v>
      </c>
      <c r="F68" s="2228">
        <v>-0.78085901666452995</v>
      </c>
      <c r="G68" s="2227">
        <f t="shared" si="0"/>
        <v>97.60737708306624</v>
      </c>
      <c r="H68" s="1222" t="s">
        <v>742</v>
      </c>
      <c r="I68" s="1230"/>
    </row>
    <row r="69" spans="1:9" x14ac:dyDescent="0.25">
      <c r="B69" s="1285"/>
      <c r="C69" s="1233" t="s">
        <v>54</v>
      </c>
      <c r="D69" s="1234" t="s">
        <v>25</v>
      </c>
      <c r="E69" s="1227">
        <v>22</v>
      </c>
      <c r="F69" s="1227">
        <f>'JULI 2025'!$AM$87</f>
        <v>21.640833333333333</v>
      </c>
      <c r="G69" s="1220">
        <f t="shared" si="0"/>
        <v>98.367424242424235</v>
      </c>
      <c r="H69" s="1229" t="s">
        <v>742</v>
      </c>
      <c r="I69" s="1230"/>
    </row>
    <row r="70" spans="1:9" ht="15.75" thickBot="1" x14ac:dyDescent="0.3">
      <c r="B70" s="1286"/>
      <c r="C70" s="1287" t="s">
        <v>53</v>
      </c>
      <c r="D70" s="1288" t="s">
        <v>14</v>
      </c>
      <c r="E70" s="1289">
        <v>413199.35999999999</v>
      </c>
      <c r="F70" s="1289">
        <f>'JULI 2025'!$AM$88</f>
        <v>273743.47865993326</v>
      </c>
      <c r="G70" s="1290">
        <f>(F70/E70)*100</f>
        <v>66.249734428420524</v>
      </c>
      <c r="H70" s="1291"/>
      <c r="I70" s="1230"/>
    </row>
    <row r="71" spans="1:9" x14ac:dyDescent="0.25">
      <c r="B71" s="1189" t="s">
        <v>765</v>
      </c>
      <c r="C71" s="1292"/>
      <c r="D71" s="1293"/>
      <c r="E71" s="1230"/>
      <c r="F71" s="1230"/>
      <c r="G71" s="1230"/>
      <c r="H71" s="1294"/>
      <c r="I71" s="1230"/>
    </row>
    <row r="72" spans="1:9" x14ac:dyDescent="0.25">
      <c r="B72" s="2391" t="s">
        <v>1144</v>
      </c>
      <c r="C72" s="2391"/>
      <c r="D72" s="2391"/>
      <c r="E72" s="2391"/>
      <c r="F72" s="2391"/>
      <c r="G72" s="2391"/>
      <c r="H72" s="2391"/>
      <c r="I72" s="1295"/>
    </row>
    <row r="73" spans="1:9" ht="14.45" customHeight="1" x14ac:dyDescent="0.25">
      <c r="B73" s="2392" t="s">
        <v>1151</v>
      </c>
      <c r="C73" s="2392"/>
      <c r="D73" s="2392"/>
      <c r="E73" s="2392"/>
      <c r="F73" s="2392"/>
      <c r="G73" s="2392"/>
      <c r="H73" s="2392"/>
      <c r="I73" s="1295"/>
    </row>
    <row r="74" spans="1:9" x14ac:dyDescent="0.25">
      <c r="B74" s="2393" t="s">
        <v>1152</v>
      </c>
      <c r="C74" s="2393"/>
      <c r="D74" s="2393"/>
      <c r="E74" s="2393"/>
      <c r="F74" s="2393"/>
      <c r="G74" s="2393"/>
      <c r="H74" s="2393"/>
      <c r="I74" s="1295"/>
    </row>
    <row r="75" spans="1:9" x14ac:dyDescent="0.25">
      <c r="B75" s="2391" t="s">
        <v>1146</v>
      </c>
      <c r="C75" s="2391"/>
      <c r="D75" s="2391"/>
      <c r="E75" s="2391"/>
      <c r="F75" s="2391"/>
      <c r="G75" s="2391"/>
      <c r="H75" s="2391"/>
      <c r="I75" s="1295"/>
    </row>
    <row r="76" spans="1:9" x14ac:dyDescent="0.25">
      <c r="B76" s="2391" t="s">
        <v>1145</v>
      </c>
      <c r="C76" s="2391"/>
      <c r="D76" s="2391"/>
      <c r="E76" s="2391"/>
      <c r="F76" s="2391"/>
      <c r="G76" s="2391"/>
      <c r="H76" s="2391"/>
      <c r="I76" s="1295"/>
    </row>
    <row r="77" spans="1:9" x14ac:dyDescent="0.25">
      <c r="B77" s="2391" t="s">
        <v>1159</v>
      </c>
      <c r="C77" s="2391"/>
      <c r="D77" s="2391"/>
      <c r="E77" s="2391"/>
      <c r="F77" s="2391"/>
      <c r="G77" s="2391"/>
      <c r="H77" s="2391"/>
      <c r="I77" s="1295"/>
    </row>
    <row r="78" spans="1:9" x14ac:dyDescent="0.25">
      <c r="B78" s="1295"/>
      <c r="C78" s="1295"/>
      <c r="D78" s="1295"/>
      <c r="E78" s="1295"/>
      <c r="F78" s="1295"/>
      <c r="G78" s="1295"/>
      <c r="H78" s="1296"/>
      <c r="I78" s="1295"/>
    </row>
    <row r="79" spans="1:9" s="1298" customFormat="1" x14ac:dyDescent="0.25">
      <c r="A79" s="2379" t="s">
        <v>766</v>
      </c>
      <c r="B79" s="2379"/>
      <c r="C79" s="2379"/>
      <c r="D79" s="2379" t="s">
        <v>767</v>
      </c>
      <c r="E79" s="2379"/>
      <c r="F79" s="2379"/>
      <c r="G79" s="1297"/>
      <c r="H79" s="1192" t="s">
        <v>768</v>
      </c>
      <c r="I79" s="1193"/>
    </row>
    <row r="80" spans="1:9" x14ac:dyDescent="0.25">
      <c r="B80" s="1299"/>
      <c r="C80" s="1299"/>
      <c r="D80" s="1299"/>
      <c r="E80" s="1299"/>
      <c r="G80" s="1299"/>
      <c r="H80" s="1299"/>
      <c r="I80" s="1300"/>
    </row>
    <row r="81" spans="1:9" x14ac:dyDescent="0.25">
      <c r="B81" s="1299"/>
      <c r="C81" s="1299"/>
      <c r="D81" s="1299"/>
      <c r="E81" s="1299"/>
      <c r="G81" s="1299"/>
      <c r="H81" s="1299"/>
      <c r="I81" s="1300"/>
    </row>
    <row r="82" spans="1:9" x14ac:dyDescent="0.25">
      <c r="B82" s="1299"/>
      <c r="C82" s="1299"/>
      <c r="D82" s="1299"/>
      <c r="E82" s="1299"/>
      <c r="G82" s="1299"/>
      <c r="H82" s="1299"/>
      <c r="I82" s="1300"/>
    </row>
    <row r="83" spans="1:9" x14ac:dyDescent="0.25">
      <c r="A83" s="2389" t="s">
        <v>1138</v>
      </c>
      <c r="B83" s="2389"/>
      <c r="C83" s="2389"/>
      <c r="D83" s="2389" t="s">
        <v>769</v>
      </c>
      <c r="E83" s="2389"/>
      <c r="F83" s="1301" t="s">
        <v>770</v>
      </c>
      <c r="G83" s="1302"/>
      <c r="H83" s="1301" t="s">
        <v>771</v>
      </c>
      <c r="I83" s="1303"/>
    </row>
    <row r="84" spans="1:9" ht="20.85" customHeight="1" x14ac:dyDescent="0.25">
      <c r="A84" s="2390" t="s">
        <v>1141</v>
      </c>
      <c r="B84" s="2390"/>
      <c r="C84" s="2390"/>
      <c r="D84" s="2390" t="s">
        <v>773</v>
      </c>
      <c r="E84" s="2390"/>
      <c r="F84" s="1299" t="s">
        <v>774</v>
      </c>
      <c r="G84" s="1304"/>
      <c r="H84" s="1299" t="s">
        <v>775</v>
      </c>
      <c r="I84" s="1300"/>
    </row>
  </sheetData>
  <mergeCells count="20">
    <mergeCell ref="A83:C83"/>
    <mergeCell ref="D83:E83"/>
    <mergeCell ref="A84:C84"/>
    <mergeCell ref="D84:E84"/>
    <mergeCell ref="B72:H72"/>
    <mergeCell ref="B75:H75"/>
    <mergeCell ref="B76:H76"/>
    <mergeCell ref="A79:C79"/>
    <mergeCell ref="D79:F79"/>
    <mergeCell ref="B73:H73"/>
    <mergeCell ref="B74:H74"/>
    <mergeCell ref="B77:H77"/>
    <mergeCell ref="B2:H2"/>
    <mergeCell ref="B3:H3"/>
    <mergeCell ref="B4:C4"/>
    <mergeCell ref="B5:B6"/>
    <mergeCell ref="C5:C6"/>
    <mergeCell ref="D5:D6"/>
    <mergeCell ref="H5:H6"/>
    <mergeCell ref="E5:G5"/>
  </mergeCells>
  <printOptions horizontalCentered="1" verticalCentered="1"/>
  <pageMargins left="0" right="0" top="0" bottom="0" header="0" footer="0"/>
  <pageSetup paperSize="9"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6"/>
  <sheetViews>
    <sheetView showGridLines="0" topLeftCell="B16" zoomScale="130" zoomScaleNormal="130" zoomScaleSheetLayoutView="115" workbookViewId="0">
      <selection activeCell="I62" sqref="I62"/>
    </sheetView>
  </sheetViews>
  <sheetFormatPr defaultColWidth="9" defaultRowHeight="14.25" x14ac:dyDescent="0.2"/>
  <cols>
    <col min="1" max="2" width="9" style="1306"/>
    <col min="3" max="3" width="1.5703125" style="1306" customWidth="1"/>
    <col min="4" max="4" width="4.42578125" style="1309" customWidth="1"/>
    <col min="5" max="5" width="42.5703125" style="1306" customWidth="1"/>
    <col min="6" max="6" width="10" style="1307" bestFit="1" customWidth="1"/>
    <col min="7" max="7" width="9" style="1306" customWidth="1"/>
    <col min="8" max="8" width="15.42578125" style="1306" customWidth="1"/>
    <col min="9" max="9" width="15.5703125" style="1306" customWidth="1"/>
    <col min="10" max="10" width="16.42578125" style="1308" customWidth="1"/>
    <col min="11" max="11" width="13.5703125" style="1308" customWidth="1"/>
    <col min="12" max="12" width="14" style="1308" customWidth="1"/>
    <col min="13" max="13" width="9" style="1306"/>
    <col min="14" max="14" width="16.42578125" style="1306" bestFit="1" customWidth="1"/>
    <col min="15" max="16384" width="9" style="1306"/>
  </cols>
  <sheetData>
    <row r="1" spans="4:14" x14ac:dyDescent="0.2">
      <c r="D1" s="1305"/>
    </row>
    <row r="2" spans="4:14" ht="17.100000000000001" customHeight="1" x14ac:dyDescent="0.25">
      <c r="D2" s="2395" t="s">
        <v>776</v>
      </c>
      <c r="E2" s="2395"/>
      <c r="F2" s="2395"/>
      <c r="G2" s="2395"/>
      <c r="H2" s="2395"/>
      <c r="I2" s="2395"/>
      <c r="J2" s="2396"/>
      <c r="K2" s="2395"/>
      <c r="L2" s="2395"/>
    </row>
    <row r="3" spans="4:14" ht="17.100000000000001" customHeight="1" x14ac:dyDescent="0.25">
      <c r="D3" s="2395" t="s">
        <v>733</v>
      </c>
      <c r="E3" s="2395"/>
      <c r="F3" s="2395"/>
      <c r="G3" s="2395"/>
      <c r="H3" s="2395"/>
      <c r="I3" s="2395"/>
      <c r="J3" s="2396"/>
      <c r="K3" s="2395"/>
      <c r="L3" s="2395"/>
    </row>
    <row r="4" spans="4:14" ht="10.5" customHeight="1" x14ac:dyDescent="0.2"/>
    <row r="5" spans="4:14" ht="13.35" customHeight="1" thickBot="1" x14ac:dyDescent="0.25">
      <c r="D5" s="2380" t="s">
        <v>1139</v>
      </c>
      <c r="E5" s="2380"/>
    </row>
    <row r="6" spans="4:14" ht="15" customHeight="1" x14ac:dyDescent="0.25">
      <c r="D6" s="2397" t="s">
        <v>99</v>
      </c>
      <c r="E6" s="2397" t="s">
        <v>734</v>
      </c>
      <c r="F6" s="2398" t="s">
        <v>777</v>
      </c>
      <c r="G6" s="2398" t="s">
        <v>102</v>
      </c>
      <c r="H6" s="2401" t="s">
        <v>1140</v>
      </c>
      <c r="I6" s="2401"/>
      <c r="J6" s="2402"/>
      <c r="K6" s="2403" t="s">
        <v>778</v>
      </c>
      <c r="L6" s="2406" t="s">
        <v>736</v>
      </c>
    </row>
    <row r="7" spans="4:14" ht="15" customHeight="1" x14ac:dyDescent="0.2">
      <c r="D7" s="2397"/>
      <c r="E7" s="2397"/>
      <c r="F7" s="2399"/>
      <c r="G7" s="2399"/>
      <c r="H7" s="2409" t="s">
        <v>737</v>
      </c>
      <c r="I7" s="2411" t="s">
        <v>738</v>
      </c>
      <c r="J7" s="2413" t="s">
        <v>739</v>
      </c>
      <c r="K7" s="2404"/>
      <c r="L7" s="2407"/>
    </row>
    <row r="8" spans="4:14" ht="24" customHeight="1" x14ac:dyDescent="0.2">
      <c r="D8" s="2397"/>
      <c r="E8" s="2397"/>
      <c r="F8" s="2400"/>
      <c r="G8" s="2400"/>
      <c r="H8" s="2410"/>
      <c r="I8" s="2412"/>
      <c r="J8" s="2414"/>
      <c r="K8" s="2405"/>
      <c r="L8" s="2408"/>
    </row>
    <row r="9" spans="4:14" ht="15" x14ac:dyDescent="0.2">
      <c r="D9" s="1310"/>
      <c r="E9" s="1310" t="s">
        <v>779</v>
      </c>
      <c r="F9" s="1310"/>
      <c r="G9" s="1310"/>
      <c r="H9" s="1312"/>
      <c r="I9" s="1313"/>
      <c r="J9" s="1314"/>
      <c r="K9" s="2216">
        <v>34566291</v>
      </c>
      <c r="L9" s="1311"/>
    </row>
    <row r="10" spans="4:14" ht="15" x14ac:dyDescent="0.2">
      <c r="D10" s="1310"/>
      <c r="E10" s="2234" t="s">
        <v>353</v>
      </c>
      <c r="F10" s="1310"/>
      <c r="G10" s="1310"/>
      <c r="H10" s="1312"/>
      <c r="I10" s="1313"/>
      <c r="J10" s="1314"/>
      <c r="K10" s="2216">
        <f>'JULI 2025'!AM29</f>
        <v>31763356</v>
      </c>
      <c r="L10" s="1311"/>
    </row>
    <row r="11" spans="4:14" ht="15" x14ac:dyDescent="0.25">
      <c r="D11" s="1315" t="s">
        <v>740</v>
      </c>
      <c r="E11" s="1316" t="s">
        <v>24</v>
      </c>
      <c r="F11" s="1317"/>
      <c r="G11" s="1318"/>
      <c r="H11" s="1319"/>
      <c r="I11" s="1319"/>
      <c r="J11" s="1320"/>
      <c r="K11" s="1320"/>
      <c r="L11" s="1321"/>
    </row>
    <row r="12" spans="4:14" ht="15" x14ac:dyDescent="0.25">
      <c r="D12" s="1322"/>
      <c r="E12" s="1323" t="s">
        <v>780</v>
      </c>
      <c r="F12" s="1324"/>
      <c r="G12" s="1325" t="s">
        <v>19</v>
      </c>
      <c r="H12" s="1326"/>
      <c r="I12" s="1327">
        <f>'JULI 2025'!$AM$241</f>
        <v>24283.513600000002</v>
      </c>
      <c r="J12" s="1328"/>
      <c r="K12" s="1329"/>
      <c r="L12" s="1330"/>
    </row>
    <row r="13" spans="4:14" s="1340" customFormat="1" ht="15" x14ac:dyDescent="0.25">
      <c r="D13" s="1331"/>
      <c r="E13" s="1332" t="s">
        <v>781</v>
      </c>
      <c r="F13" s="1333">
        <v>1460.001</v>
      </c>
      <c r="G13" s="1334" t="s">
        <v>19</v>
      </c>
      <c r="H13" s="1335">
        <v>26051.47</v>
      </c>
      <c r="I13" s="1336">
        <f>'JULI 2025'!$AM$239</f>
        <v>24588.162399999997</v>
      </c>
      <c r="J13" s="1337">
        <f>I13/H13</f>
        <v>0.94383013319401921</v>
      </c>
      <c r="K13" s="1338">
        <f>I13/K9*1000</f>
        <v>0.71133354747259392</v>
      </c>
      <c r="L13" s="1339"/>
      <c r="N13" s="1341"/>
    </row>
    <row r="14" spans="4:14" x14ac:dyDescent="0.2">
      <c r="D14" s="1331"/>
      <c r="E14" s="1342" t="s">
        <v>17</v>
      </c>
      <c r="F14" s="1343"/>
      <c r="G14" s="1331"/>
      <c r="H14" s="1344"/>
      <c r="I14" s="1345"/>
      <c r="J14" s="1346"/>
      <c r="K14" s="1347"/>
      <c r="L14" s="1348"/>
    </row>
    <row r="15" spans="4:14" x14ac:dyDescent="0.2">
      <c r="D15" s="1331"/>
      <c r="E15" s="1332" t="s">
        <v>21</v>
      </c>
      <c r="F15" s="1333"/>
      <c r="G15" s="1334" t="s">
        <v>19</v>
      </c>
      <c r="H15" s="1344">
        <v>5907.73</v>
      </c>
      <c r="I15" s="1349">
        <f>'JULI 2025'!AM244</f>
        <v>4834.8953335169927</v>
      </c>
      <c r="J15" s="1346">
        <f>I15/H15</f>
        <v>0.81840154061153658</v>
      </c>
      <c r="K15" s="1347">
        <f>I15/K9*1000</f>
        <v>0.13987313054550726</v>
      </c>
      <c r="L15" s="1348"/>
      <c r="N15" s="1350"/>
    </row>
    <row r="16" spans="4:14" x14ac:dyDescent="0.2">
      <c r="D16" s="1331"/>
      <c r="E16" s="1332" t="s">
        <v>782</v>
      </c>
      <c r="F16" s="1333"/>
      <c r="G16" s="1334" t="s">
        <v>19</v>
      </c>
      <c r="H16" s="1344">
        <v>20143.740000000002</v>
      </c>
      <c r="I16" s="2231">
        <f>'JULI 2025'!AM246</f>
        <v>19753.267066483008</v>
      </c>
      <c r="J16" s="1346">
        <f>I16/H16</f>
        <v>0.9806156685145363</v>
      </c>
      <c r="K16" s="1347">
        <f>I16/K9*1000</f>
        <v>0.57146041692708682</v>
      </c>
      <c r="L16" s="1351"/>
      <c r="N16" s="1352"/>
    </row>
    <row r="17" spans="4:14" s="1362" customFormat="1" ht="15" x14ac:dyDescent="0.25">
      <c r="D17" s="1353"/>
      <c r="E17" s="1354" t="s">
        <v>1</v>
      </c>
      <c r="F17" s="1355"/>
      <c r="G17" s="1356" t="s">
        <v>19</v>
      </c>
      <c r="H17" s="1357">
        <f>H15+H16</f>
        <v>26051.47</v>
      </c>
      <c r="I17" s="1358">
        <f>I16+I15</f>
        <v>24588.162400000001</v>
      </c>
      <c r="J17" s="1359">
        <f t="shared" ref="J17:J33" si="0">I17/H17</f>
        <v>0.94383013319401943</v>
      </c>
      <c r="K17" s="1360">
        <f>SUM(K15+K16)</f>
        <v>0.71133354747259414</v>
      </c>
      <c r="L17" s="1361"/>
    </row>
    <row r="18" spans="4:14" s="1362" customFormat="1" ht="15" x14ac:dyDescent="0.25">
      <c r="D18" s="1363" t="s">
        <v>757</v>
      </c>
      <c r="E18" s="1364" t="s">
        <v>18</v>
      </c>
      <c r="F18" s="1365"/>
      <c r="G18" s="1363"/>
      <c r="H18" s="1366"/>
      <c r="I18" s="1366"/>
      <c r="J18" s="1367"/>
      <c r="K18" s="1368"/>
      <c r="L18" s="1369"/>
    </row>
    <row r="19" spans="4:14" s="1362" customFormat="1" ht="15" x14ac:dyDescent="0.25">
      <c r="D19" s="1370"/>
      <c r="E19" s="1371" t="s">
        <v>4</v>
      </c>
      <c r="F19" s="1372"/>
      <c r="G19" s="1373" t="s">
        <v>14</v>
      </c>
      <c r="H19" s="1374">
        <v>11424000</v>
      </c>
      <c r="I19" s="1374">
        <f>'JULI 2025'!$AM$249</f>
        <v>3165.7069999999999</v>
      </c>
      <c r="J19" s="2239">
        <f>I19/H19*100</f>
        <v>2.7711020658263308E-2</v>
      </c>
      <c r="K19" s="2235">
        <f>I19/K9*1000000</f>
        <v>91.583647201257421</v>
      </c>
      <c r="L19" s="1375"/>
      <c r="N19" s="1341"/>
    </row>
    <row r="20" spans="4:14" s="1362" customFormat="1" ht="15" x14ac:dyDescent="0.25">
      <c r="D20" s="1370"/>
      <c r="E20" s="1376" t="s">
        <v>17</v>
      </c>
      <c r="F20" s="1377"/>
      <c r="G20" s="1370"/>
      <c r="H20" s="1378"/>
      <c r="I20" s="1378"/>
      <c r="J20" s="1346"/>
      <c r="K20" s="1347"/>
      <c r="L20" s="1375"/>
    </row>
    <row r="21" spans="4:14" s="1362" customFormat="1" ht="15" x14ac:dyDescent="0.25">
      <c r="D21" s="1370"/>
      <c r="E21" s="1371" t="s">
        <v>16</v>
      </c>
      <c r="F21" s="1372" t="s">
        <v>1149</v>
      </c>
      <c r="G21" s="1373" t="s">
        <v>14</v>
      </c>
      <c r="H21" s="1374">
        <v>3420000</v>
      </c>
      <c r="I21" s="1374">
        <f>'JULI 2025'!$AM$251</f>
        <v>1611.5900000000001</v>
      </c>
      <c r="J21" s="2239">
        <f t="shared" ref="J21:J24" si="1">I21/H21*100</f>
        <v>4.7122514619883045E-2</v>
      </c>
      <c r="K21" s="1329">
        <f>I21/$K$9*1000000</f>
        <v>46.623168219002729</v>
      </c>
      <c r="L21" s="1330"/>
    </row>
    <row r="22" spans="4:14" s="1362" customFormat="1" ht="15" x14ac:dyDescent="0.25">
      <c r="D22" s="1370"/>
      <c r="E22" s="1371" t="s">
        <v>15</v>
      </c>
      <c r="F22" s="1372" t="s">
        <v>1150</v>
      </c>
      <c r="G22" s="1373" t="s">
        <v>14</v>
      </c>
      <c r="H22" s="1374">
        <v>2318000</v>
      </c>
      <c r="I22" s="1374">
        <f>'JULI 2025'!$AM$253</f>
        <v>1046.7170000000001</v>
      </c>
      <c r="J22" s="2239">
        <f t="shared" si="1"/>
        <v>4.515603968938741E-2</v>
      </c>
      <c r="K22" s="1329">
        <f>I22/$K$10*1000000</f>
        <v>32.953602257897437</v>
      </c>
      <c r="L22" s="1330"/>
    </row>
    <row r="23" spans="4:14" s="1362" customFormat="1" ht="15" x14ac:dyDescent="0.25">
      <c r="D23" s="1370"/>
      <c r="E23" s="1371" t="s">
        <v>7</v>
      </c>
      <c r="F23" s="1379">
        <v>106000</v>
      </c>
      <c r="G23" s="1373" t="s">
        <v>14</v>
      </c>
      <c r="H23" s="1380">
        <v>5686000</v>
      </c>
      <c r="I23" s="1390">
        <f>'JULI 2025'!AM255</f>
        <v>507.39999999999992</v>
      </c>
      <c r="J23" s="2239">
        <f>I23/H23*100</f>
        <v>8.9236721772775231E-3</v>
      </c>
      <c r="K23" s="1329">
        <f>I23/$K$9*1000000</f>
        <v>14.67904091879571</v>
      </c>
      <c r="L23" s="1330"/>
    </row>
    <row r="24" spans="4:14" s="1362" customFormat="1" ht="15" x14ac:dyDescent="0.25">
      <c r="D24" s="1322"/>
      <c r="E24" s="1381" t="s">
        <v>1</v>
      </c>
      <c r="F24" s="1382"/>
      <c r="G24" s="1383" t="s">
        <v>14</v>
      </c>
      <c r="H24" s="1384">
        <f>SUM(H21:H23)</f>
        <v>11424000</v>
      </c>
      <c r="I24" s="1384">
        <f>SUM(I21:I23)</f>
        <v>3165.7070000000003</v>
      </c>
      <c r="J24" s="2239">
        <f t="shared" si="1"/>
        <v>2.7711020658263308E-2</v>
      </c>
      <c r="K24" s="1329">
        <f>I24/$K$9*1000000</f>
        <v>91.583647201257435</v>
      </c>
      <c r="L24" s="1375"/>
    </row>
    <row r="25" spans="4:14" ht="15" x14ac:dyDescent="0.25">
      <c r="D25" s="1315" t="s">
        <v>759</v>
      </c>
      <c r="E25" s="1316" t="s">
        <v>13</v>
      </c>
      <c r="F25" s="1317"/>
      <c r="G25" s="1318"/>
      <c r="H25" s="1319"/>
      <c r="I25" s="1319"/>
      <c r="J25" s="1367"/>
      <c r="K25" s="1385"/>
      <c r="L25" s="1386"/>
    </row>
    <row r="26" spans="4:14" ht="15" x14ac:dyDescent="0.25">
      <c r="D26" s="1331"/>
      <c r="E26" s="1323" t="s">
        <v>783</v>
      </c>
      <c r="F26" s="1324"/>
      <c r="G26" s="1325" t="s">
        <v>124</v>
      </c>
      <c r="H26" s="1387">
        <f>SUM(H30:H32)</f>
        <v>41253</v>
      </c>
      <c r="I26" s="1388">
        <f>SUM(I27:$I$28)</f>
        <v>19684</v>
      </c>
      <c r="J26" s="1337">
        <f>I26/H26</f>
        <v>0.47715317673866142</v>
      </c>
      <c r="K26" s="1338">
        <f>I26/$K$9*1000</f>
        <v>0.56945652630188182</v>
      </c>
      <c r="L26" s="1389"/>
      <c r="N26" s="1341"/>
    </row>
    <row r="27" spans="4:14" ht="15" x14ac:dyDescent="0.25">
      <c r="D27" s="1331"/>
      <c r="E27" s="1323" t="s">
        <v>784</v>
      </c>
      <c r="F27" s="1324"/>
      <c r="G27" s="1325"/>
      <c r="H27" s="1390"/>
      <c r="I27" s="1391">
        <f>'JULI 2025'!$AM$265</f>
        <v>8302.2000000000007</v>
      </c>
      <c r="J27" s="1346"/>
      <c r="K27" s="1391">
        <f>I27/$K$9*1000</f>
        <v>0.24018197381952264</v>
      </c>
      <c r="L27" s="1392"/>
      <c r="N27" s="1341"/>
    </row>
    <row r="28" spans="4:14" ht="15" x14ac:dyDescent="0.25">
      <c r="D28" s="1331"/>
      <c r="E28" s="1323" t="s">
        <v>785</v>
      </c>
      <c r="F28" s="1324"/>
      <c r="G28" s="1325"/>
      <c r="H28" s="1390"/>
      <c r="I28" s="1391">
        <f>SUM(I30:$I$32)</f>
        <v>11381.8</v>
      </c>
      <c r="J28" s="1346"/>
      <c r="K28" s="1391">
        <f>I28/$K$9*1000</f>
        <v>0.32927455248235921</v>
      </c>
      <c r="L28" s="1392"/>
      <c r="N28" s="1341"/>
    </row>
    <row r="29" spans="4:14" x14ac:dyDescent="0.2">
      <c r="D29" s="1331"/>
      <c r="E29" s="1342" t="s">
        <v>786</v>
      </c>
      <c r="F29" s="1343"/>
      <c r="G29" s="1331"/>
      <c r="H29" s="1345"/>
      <c r="I29" s="1345"/>
      <c r="J29" s="1346"/>
      <c r="K29" s="1391">
        <f>I29/$K$9</f>
        <v>0</v>
      </c>
      <c r="L29" s="1393"/>
    </row>
    <row r="30" spans="4:14" x14ac:dyDescent="0.2">
      <c r="D30" s="1331"/>
      <c r="E30" s="1332" t="s">
        <v>10</v>
      </c>
      <c r="F30" s="1333" t="s">
        <v>1147</v>
      </c>
      <c r="G30" s="1334" t="s">
        <v>124</v>
      </c>
      <c r="H30" s="2241">
        <v>11745</v>
      </c>
      <c r="I30" s="1345">
        <f>'JULI 2025'!$AM$261</f>
        <v>4470</v>
      </c>
      <c r="J30" s="1346">
        <f>I30/H30</f>
        <v>0.38058748403575987</v>
      </c>
      <c r="K30" s="1391">
        <f>I30/$K$9*1000</f>
        <v>0.12931673809029728</v>
      </c>
      <c r="L30" s="1393"/>
    </row>
    <row r="31" spans="4:14" x14ac:dyDescent="0.2">
      <c r="D31" s="1331"/>
      <c r="E31" s="1332" t="s">
        <v>9</v>
      </c>
      <c r="F31" s="1333" t="s">
        <v>1148</v>
      </c>
      <c r="G31" s="1334" t="s">
        <v>124</v>
      </c>
      <c r="H31" s="2241">
        <v>20895</v>
      </c>
      <c r="I31" s="1345">
        <f>'JULI 2025'!$AM$263</f>
        <v>2046</v>
      </c>
      <c r="J31" s="1346">
        <f>I31/H31</f>
        <v>9.7918162239770276E-2</v>
      </c>
      <c r="K31" s="1391">
        <f>I31/$K$10*1000</f>
        <v>6.4413848461100903E-2</v>
      </c>
      <c r="L31" s="1393"/>
    </row>
    <row r="32" spans="4:14" x14ac:dyDescent="0.2">
      <c r="D32" s="1331"/>
      <c r="E32" s="1332" t="s">
        <v>7</v>
      </c>
      <c r="F32" s="1333"/>
      <c r="G32" s="1334" t="s">
        <v>124</v>
      </c>
      <c r="H32" s="2241">
        <v>8613</v>
      </c>
      <c r="I32" s="1345">
        <f>'JULI 2025'!$AM$266</f>
        <v>4865.8</v>
      </c>
      <c r="J32" s="1346">
        <f t="shared" si="0"/>
        <v>0.5649367235574132</v>
      </c>
      <c r="K32" s="1391">
        <f>I32/$K$9*1000</f>
        <v>0.14076720004469093</v>
      </c>
      <c r="L32" s="1393"/>
    </row>
    <row r="33" spans="4:15" s="1362" customFormat="1" ht="15" x14ac:dyDescent="0.25">
      <c r="D33" s="1322"/>
      <c r="E33" s="1381" t="s">
        <v>1</v>
      </c>
      <c r="F33" s="1382"/>
      <c r="G33" s="1394" t="s">
        <v>124</v>
      </c>
      <c r="H33" s="1395">
        <f>H26</f>
        <v>41253</v>
      </c>
      <c r="I33" s="1395">
        <f>SUM(I27:I28)</f>
        <v>19684</v>
      </c>
      <c r="J33" s="1359">
        <f t="shared" si="0"/>
        <v>0.47715317673866142</v>
      </c>
      <c r="K33" s="1396">
        <f>I33/$K$9*1000</f>
        <v>0.56945652630188182</v>
      </c>
      <c r="L33" s="1392"/>
    </row>
    <row r="34" spans="4:15" ht="15" x14ac:dyDescent="0.25">
      <c r="D34" s="1315">
        <v>4</v>
      </c>
      <c r="E34" s="1316" t="s">
        <v>5</v>
      </c>
      <c r="F34" s="1317"/>
      <c r="G34" s="1318"/>
      <c r="H34" s="1319"/>
      <c r="I34" s="1319"/>
      <c r="J34" s="1367"/>
      <c r="K34" s="1320"/>
      <c r="L34" s="1321"/>
    </row>
    <row r="35" spans="4:15" ht="15" x14ac:dyDescent="0.25">
      <c r="D35" s="1322"/>
      <c r="E35" s="1381" t="s">
        <v>4</v>
      </c>
      <c r="F35" s="1382"/>
      <c r="G35" s="1397"/>
      <c r="H35" s="1326"/>
      <c r="I35" s="1326"/>
      <c r="J35" s="1346"/>
      <c r="K35" s="1329"/>
      <c r="L35" s="1330"/>
    </row>
    <row r="36" spans="4:15" ht="15" x14ac:dyDescent="0.25">
      <c r="D36" s="1398"/>
      <c r="E36" s="1332" t="s">
        <v>787</v>
      </c>
      <c r="F36" s="1333"/>
      <c r="G36" s="1334" t="s">
        <v>2</v>
      </c>
      <c r="H36" s="1387">
        <f>H38+H39+H41+H42</f>
        <v>704938</v>
      </c>
      <c r="I36" s="1388">
        <f>'JULI 2025'!$AM$271</f>
        <v>43.223999999999997</v>
      </c>
      <c r="J36" s="1337">
        <f>I36/H36*1000</f>
        <v>6.1316030629644025E-2</v>
      </c>
      <c r="K36" s="2236">
        <f>I36/$K$9*100000</f>
        <v>0.12504668204060423</v>
      </c>
      <c r="L36" s="1399"/>
      <c r="N36" s="1400"/>
    </row>
    <row r="37" spans="4:15" x14ac:dyDescent="0.2">
      <c r="D37" s="1331"/>
      <c r="E37" s="1401" t="s">
        <v>11</v>
      </c>
      <c r="F37" s="1402"/>
      <c r="G37" s="1331"/>
      <c r="H37" s="1345"/>
      <c r="I37" s="1345"/>
      <c r="J37" s="1346"/>
      <c r="K37" s="1391">
        <f>I37/$K$9</f>
        <v>0</v>
      </c>
      <c r="L37" s="1403"/>
    </row>
    <row r="38" spans="4:15" ht="15" x14ac:dyDescent="0.25">
      <c r="D38" s="1404"/>
      <c r="E38" s="1405" t="s">
        <v>788</v>
      </c>
      <c r="F38" s="1324">
        <v>4.4000000000000004</v>
      </c>
      <c r="G38" s="1334" t="s">
        <v>2</v>
      </c>
      <c r="H38" s="1345">
        <v>162973</v>
      </c>
      <c r="I38" s="1345">
        <f>'JULI 2025'!$AM$276</f>
        <v>225833</v>
      </c>
      <c r="J38" s="2239">
        <f>I38/H38/10</f>
        <v>0.13857080620716317</v>
      </c>
      <c r="K38" s="2237">
        <f>I38/$K$9*1000</f>
        <v>6.5333304056255264</v>
      </c>
      <c r="L38" s="1406"/>
      <c r="N38" s="1407"/>
      <c r="O38" s="1408"/>
    </row>
    <row r="39" spans="4:15" ht="15" x14ac:dyDescent="0.25">
      <c r="D39" s="1404"/>
      <c r="E39" s="1405" t="s">
        <v>789</v>
      </c>
      <c r="F39" s="1324">
        <v>7.3</v>
      </c>
      <c r="G39" s="1334" t="s">
        <v>2</v>
      </c>
      <c r="H39" s="1345">
        <v>100660</v>
      </c>
      <c r="I39" s="1345">
        <f>'JULI 2025'!$AM$274</f>
        <v>319944.71999999997</v>
      </c>
      <c r="J39" s="2239">
        <f t="shared" ref="J39:J42" si="2">I39/H39/10</f>
        <v>0.3178469302602821</v>
      </c>
      <c r="K39" s="2237">
        <f>I39/$K$9*1000</f>
        <v>9.2559748455511173</v>
      </c>
      <c r="L39" s="1406"/>
      <c r="N39" s="1407"/>
      <c r="O39" s="1408"/>
    </row>
    <row r="40" spans="4:15" ht="15" hidden="1" x14ac:dyDescent="0.25">
      <c r="D40" s="1404"/>
      <c r="E40" s="1405" t="s">
        <v>790</v>
      </c>
      <c r="F40" s="1324">
        <v>11.81</v>
      </c>
      <c r="G40" s="1334" t="s">
        <v>2</v>
      </c>
      <c r="H40" s="1345">
        <v>0</v>
      </c>
      <c r="I40" s="1345">
        <f>'JULI 2025'!$AM$284</f>
        <v>0</v>
      </c>
      <c r="J40" s="2239" t="e">
        <f t="shared" si="2"/>
        <v>#DIV/0!</v>
      </c>
      <c r="K40" s="1391">
        <f t="shared" ref="K40" si="3">I40/$K$9*1000</f>
        <v>0</v>
      </c>
      <c r="L40" s="1406"/>
      <c r="N40" s="1407"/>
      <c r="O40" s="1408"/>
    </row>
    <row r="41" spans="4:15" ht="15" x14ac:dyDescent="0.25">
      <c r="D41" s="1404"/>
      <c r="E41" s="1405" t="s">
        <v>791</v>
      </c>
      <c r="F41" s="1324">
        <v>4.5</v>
      </c>
      <c r="G41" s="1334" t="s">
        <v>2</v>
      </c>
      <c r="H41" s="1345">
        <v>287808</v>
      </c>
      <c r="I41" s="1345">
        <f>'JULI 2025'!$AM$281</f>
        <v>176329.80000000002</v>
      </c>
      <c r="J41" s="2239">
        <f t="shared" si="2"/>
        <v>6.1266469312875257E-2</v>
      </c>
      <c r="K41" s="2237">
        <f>I41/$K$10*1000</f>
        <v>5.5513592455406791</v>
      </c>
      <c r="L41" s="1406"/>
      <c r="N41" s="1407"/>
      <c r="O41" s="1408"/>
    </row>
    <row r="42" spans="4:15" ht="15" x14ac:dyDescent="0.25">
      <c r="D42" s="1404"/>
      <c r="E42" s="1410" t="s">
        <v>792</v>
      </c>
      <c r="F42" s="1411">
        <v>4.0999999999999996</v>
      </c>
      <c r="G42" s="1412" t="s">
        <v>2</v>
      </c>
      <c r="H42" s="1413">
        <v>153497</v>
      </c>
      <c r="I42" s="1413">
        <f>'JULI 2025'!$AM$279</f>
        <v>315504</v>
      </c>
      <c r="J42" s="2240">
        <f t="shared" si="2"/>
        <v>0.20554408229476798</v>
      </c>
      <c r="K42" s="2238">
        <f>I42/$K$10*1000</f>
        <v>9.9329554471511141</v>
      </c>
      <c r="L42" s="1414"/>
      <c r="N42" s="1407"/>
      <c r="O42" s="1408"/>
    </row>
    <row r="43" spans="4:15" ht="15" hidden="1" x14ac:dyDescent="0.25">
      <c r="D43" s="1409"/>
      <c r="E43" s="1410" t="s">
        <v>793</v>
      </c>
      <c r="F43" s="1411">
        <v>241.12</v>
      </c>
      <c r="G43" s="1412" t="s">
        <v>2</v>
      </c>
      <c r="H43" s="1413">
        <v>4581</v>
      </c>
      <c r="I43" s="1413">
        <f>'JULI 2025'!$AM$285</f>
        <v>0</v>
      </c>
      <c r="J43" s="1359">
        <f t="shared" ref="J43" si="4">I43/H43</f>
        <v>0</v>
      </c>
      <c r="K43" s="2233">
        <f t="shared" ref="K43" si="5">I43/$K$9*1000</f>
        <v>0</v>
      </c>
      <c r="L43" s="1414"/>
      <c r="N43" s="1407"/>
      <c r="O43" s="1408"/>
    </row>
    <row r="44" spans="4:15" ht="15" x14ac:dyDescent="0.25">
      <c r="D44" s="1415"/>
      <c r="E44" s="1416"/>
      <c r="F44" s="1417"/>
      <c r="G44" s="1418"/>
      <c r="H44" s="1419"/>
      <c r="I44" s="1419"/>
      <c r="J44" s="1420"/>
      <c r="K44" s="1421"/>
      <c r="L44" s="1422"/>
      <c r="N44" s="1407"/>
      <c r="O44" s="1408"/>
    </row>
    <row r="45" spans="4:15" s="1308" customFormat="1" x14ac:dyDescent="0.2">
      <c r="D45" s="1423"/>
      <c r="F45" s="1299"/>
    </row>
    <row r="46" spans="4:15" s="1308" customFormat="1" x14ac:dyDescent="0.2">
      <c r="F46" s="1299"/>
      <c r="H46" s="1424"/>
      <c r="J46" s="1424"/>
      <c r="K46" s="1424"/>
      <c r="L46" s="1424"/>
    </row>
    <row r="47" spans="4:15" s="1308" customFormat="1" hidden="1" x14ac:dyDescent="0.2">
      <c r="D47" s="1425"/>
      <c r="F47" s="1299"/>
      <c r="H47" s="1421"/>
      <c r="J47" s="1421"/>
      <c r="K47" s="1421"/>
      <c r="L47" s="1421"/>
    </row>
    <row r="48" spans="4:15" s="1308" customFormat="1" x14ac:dyDescent="0.2">
      <c r="D48" s="2415"/>
      <c r="E48" s="2415"/>
      <c r="F48" s="2415"/>
      <c r="G48" s="2415"/>
      <c r="H48" s="2415"/>
      <c r="I48" s="2415"/>
      <c r="J48" s="2415"/>
      <c r="K48" s="2415"/>
      <c r="L48" s="2415"/>
    </row>
    <row r="49" spans="4:12" ht="15" x14ac:dyDescent="0.2">
      <c r="D49" s="2394"/>
      <c r="E49" s="2394"/>
      <c r="F49" s="1426"/>
      <c r="G49" s="1427"/>
      <c r="J49" s="1421"/>
      <c r="K49" s="1421"/>
      <c r="L49" s="1421"/>
    </row>
    <row r="50" spans="4:12" ht="15" x14ac:dyDescent="0.2">
      <c r="D50" s="2394"/>
      <c r="E50" s="2394"/>
      <c r="F50" s="1426"/>
      <c r="G50" s="1427"/>
      <c r="H50" s="1428"/>
      <c r="J50" s="1421"/>
      <c r="K50" s="1421"/>
      <c r="L50" s="1421"/>
    </row>
    <row r="51" spans="4:12" ht="15" x14ac:dyDescent="0.2">
      <c r="D51" s="1306"/>
      <c r="E51" s="1297" t="s">
        <v>766</v>
      </c>
      <c r="F51" s="2379" t="s">
        <v>767</v>
      </c>
      <c r="G51" s="2379"/>
      <c r="H51" s="2379"/>
      <c r="I51" s="2379"/>
      <c r="K51" s="2379" t="s">
        <v>768</v>
      </c>
      <c r="L51" s="2379"/>
    </row>
    <row r="52" spans="4:12" ht="15" x14ac:dyDescent="0.25">
      <c r="D52" s="1306"/>
      <c r="E52" s="1189"/>
      <c r="F52" s="1299"/>
      <c r="G52" s="1299"/>
      <c r="H52" s="1189"/>
      <c r="I52" s="1299"/>
      <c r="L52" s="1299"/>
    </row>
    <row r="53" spans="4:12" ht="15" x14ac:dyDescent="0.25">
      <c r="D53" s="1306"/>
      <c r="E53" s="1189"/>
      <c r="F53" s="1189"/>
      <c r="G53" s="1189"/>
      <c r="H53" s="1189"/>
      <c r="I53" s="1189"/>
      <c r="L53" s="1189"/>
    </row>
    <row r="54" spans="4:12" ht="15" x14ac:dyDescent="0.25">
      <c r="D54" s="1306"/>
      <c r="E54" s="1189"/>
      <c r="F54" s="1189"/>
      <c r="G54" s="1189"/>
      <c r="H54" s="1189"/>
      <c r="I54" s="1189"/>
      <c r="L54" s="1189"/>
    </row>
    <row r="55" spans="4:12" ht="15" x14ac:dyDescent="0.2">
      <c r="D55" s="1306"/>
      <c r="E55" s="1302" t="s">
        <v>1138</v>
      </c>
      <c r="F55" s="2389" t="s">
        <v>769</v>
      </c>
      <c r="G55" s="2389"/>
      <c r="I55" s="1301" t="s">
        <v>770</v>
      </c>
      <c r="K55" s="2389" t="s">
        <v>771</v>
      </c>
      <c r="L55" s="2389"/>
    </row>
    <row r="56" spans="4:12" ht="19.5" customHeight="1" x14ac:dyDescent="0.2">
      <c r="E56" s="1304" t="s">
        <v>1141</v>
      </c>
      <c r="F56" s="2390" t="s">
        <v>773</v>
      </c>
      <c r="G56" s="2390"/>
      <c r="I56" s="1299" t="s">
        <v>774</v>
      </c>
      <c r="K56" s="2390" t="s">
        <v>775</v>
      </c>
      <c r="L56" s="2390"/>
    </row>
  </sheetData>
  <mergeCells count="22">
    <mergeCell ref="F51:I51"/>
    <mergeCell ref="K51:L51"/>
    <mergeCell ref="F55:G55"/>
    <mergeCell ref="K55:L55"/>
    <mergeCell ref="F56:G56"/>
    <mergeCell ref="K56:L56"/>
    <mergeCell ref="D50:E50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8:L48"/>
    <mergeCell ref="D49:E49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zoomScale="80" zoomScaleNormal="80" workbookViewId="0">
      <selection activeCell="I62" sqref="I62"/>
    </sheetView>
  </sheetViews>
  <sheetFormatPr defaultColWidth="9.42578125" defaultRowHeight="15" x14ac:dyDescent="0.25"/>
  <cols>
    <col min="1" max="3" width="9.42578125" style="1429"/>
    <col min="4" max="4" width="33.5703125" style="1429" customWidth="1"/>
    <col min="5" max="5" width="12.42578125" style="1429" customWidth="1"/>
    <col min="6" max="8" width="14.42578125" style="1429" customWidth="1"/>
    <col min="9" max="9" width="55.5703125" style="1429" customWidth="1"/>
    <col min="10" max="10" width="9.42578125" style="1429"/>
    <col min="11" max="11" width="10.42578125" style="1429" bestFit="1" customWidth="1"/>
    <col min="12" max="16384" width="9.42578125" style="1429"/>
  </cols>
  <sheetData>
    <row r="2" spans="4:11" ht="18" x14ac:dyDescent="0.25">
      <c r="D2" s="2417" t="s">
        <v>794</v>
      </c>
      <c r="E2" s="2417"/>
      <c r="F2" s="2417"/>
      <c r="G2" s="2417"/>
      <c r="H2" s="2417"/>
      <c r="I2" s="2417"/>
    </row>
    <row r="3" spans="4:11" ht="18" x14ac:dyDescent="0.25">
      <c r="D3" s="2418" t="s">
        <v>795</v>
      </c>
      <c r="E3" s="2418"/>
      <c r="F3" s="2418"/>
      <c r="G3" s="2418"/>
      <c r="H3" s="2418"/>
      <c r="I3" s="2418"/>
    </row>
    <row r="4" spans="4:11" ht="15.75" thickBot="1" x14ac:dyDescent="0.3">
      <c r="D4" s="2380" t="s">
        <v>1139</v>
      </c>
      <c r="E4" s="2380"/>
      <c r="F4" s="1430"/>
      <c r="G4" s="1431"/>
      <c r="H4" s="1432"/>
      <c r="I4" s="1432"/>
    </row>
    <row r="5" spans="4:11" ht="26.25" thickBot="1" x14ac:dyDescent="0.3">
      <c r="D5" s="1433" t="s">
        <v>796</v>
      </c>
      <c r="E5" s="1434" t="s">
        <v>102</v>
      </c>
      <c r="F5" s="1435" t="s">
        <v>797</v>
      </c>
      <c r="G5" s="1435" t="s">
        <v>738</v>
      </c>
      <c r="H5" s="1436" t="s">
        <v>798</v>
      </c>
      <c r="I5" s="1437" t="s">
        <v>799</v>
      </c>
    </row>
    <row r="6" spans="4:11" ht="17.25" customHeight="1" x14ac:dyDescent="0.25">
      <c r="D6" s="1438" t="s">
        <v>71</v>
      </c>
      <c r="E6" s="1439" t="s">
        <v>14</v>
      </c>
      <c r="F6" s="1440">
        <f>'JULI 2025'!E9</f>
        <v>58900000</v>
      </c>
      <c r="G6" s="1441">
        <f>'JULI 2025'!$AM$9</f>
        <v>34566291</v>
      </c>
      <c r="H6" s="1442">
        <f>G6/F6</f>
        <v>0.58686402376910018</v>
      </c>
      <c r="I6" s="1443"/>
      <c r="J6" s="1444"/>
      <c r="K6" s="1445"/>
    </row>
    <row r="7" spans="4:11" ht="17.25" customHeight="1" x14ac:dyDescent="0.25">
      <c r="D7" s="1446" t="s">
        <v>800</v>
      </c>
      <c r="E7" s="1447" t="s">
        <v>14</v>
      </c>
      <c r="F7" s="1448">
        <f>'JULI 2025'!E20</f>
        <v>55661000</v>
      </c>
      <c r="G7" s="1449">
        <f>'JULI 2025'!$AM$25</f>
        <v>32775474</v>
      </c>
      <c r="H7" s="1450">
        <f>G7/F7</f>
        <v>0.58884091194912058</v>
      </c>
      <c r="I7" s="1451"/>
      <c r="J7" s="1444"/>
      <c r="K7" s="1445"/>
    </row>
    <row r="8" spans="4:11" x14ac:dyDescent="0.25">
      <c r="D8" s="2419" t="s">
        <v>801</v>
      </c>
      <c r="E8" s="2420"/>
      <c r="F8" s="2420"/>
      <c r="G8" s="2420"/>
      <c r="H8" s="2420"/>
      <c r="I8" s="2421"/>
    </row>
    <row r="9" spans="4:11" x14ac:dyDescent="0.25">
      <c r="D9" s="1452" t="s">
        <v>16</v>
      </c>
      <c r="E9" s="1453"/>
      <c r="F9" s="1454"/>
      <c r="G9" s="1455"/>
      <c r="H9" s="1456"/>
      <c r="I9" s="1457"/>
    </row>
    <row r="10" spans="4:11" x14ac:dyDescent="0.25">
      <c r="D10" s="1458" t="s">
        <v>760</v>
      </c>
      <c r="E10" s="1459" t="s">
        <v>14</v>
      </c>
      <c r="F10" s="1460">
        <v>232362</v>
      </c>
      <c r="G10" s="1461">
        <f>'JULI 2025'!$AM$75</f>
        <v>271394.19999999995</v>
      </c>
      <c r="H10" s="1462">
        <f>F10-G10</f>
        <v>-39032.199999999953</v>
      </c>
      <c r="I10" s="1463" t="s">
        <v>1157</v>
      </c>
    </row>
    <row r="11" spans="4:11" x14ac:dyDescent="0.25">
      <c r="D11" s="1458" t="s">
        <v>761</v>
      </c>
      <c r="E11" s="1459" t="s">
        <v>14</v>
      </c>
      <c r="F11" s="1460">
        <v>106326</v>
      </c>
      <c r="G11" s="1461">
        <v>0</v>
      </c>
      <c r="H11" s="1462">
        <v>0</v>
      </c>
      <c r="I11" s="1463"/>
    </row>
    <row r="12" spans="4:11" x14ac:dyDescent="0.25">
      <c r="D12" s="1458" t="s">
        <v>762</v>
      </c>
      <c r="E12" s="1459" t="s">
        <v>14</v>
      </c>
      <c r="F12" s="1460">
        <v>20971</v>
      </c>
      <c r="G12" s="1461">
        <f>'JULI 2025'!$AM$83</f>
        <v>16506.73</v>
      </c>
      <c r="H12" s="1462">
        <f t="shared" ref="H12:H23" si="0">F12-G12</f>
        <v>4464.2700000000004</v>
      </c>
      <c r="I12" s="1463" t="s">
        <v>1158</v>
      </c>
    </row>
    <row r="13" spans="4:11" x14ac:dyDescent="0.25">
      <c r="D13" s="1458" t="s">
        <v>816</v>
      </c>
      <c r="E13" s="1459" t="s">
        <v>19</v>
      </c>
      <c r="F13" s="1460">
        <v>22143.74</v>
      </c>
      <c r="G13" s="1461">
        <f>'JULI 2025'!$AM$246+'JULI 2025'!$AM$245</f>
        <v>19753.406939613553</v>
      </c>
      <c r="H13" s="1462">
        <f t="shared" si="0"/>
        <v>2390.3330603864488</v>
      </c>
      <c r="I13" s="1463" t="s">
        <v>1158</v>
      </c>
    </row>
    <row r="14" spans="4:11" x14ac:dyDescent="0.25">
      <c r="D14" s="1458" t="s">
        <v>802</v>
      </c>
      <c r="E14" s="1459" t="s">
        <v>19</v>
      </c>
      <c r="F14" s="1460">
        <v>3907.73</v>
      </c>
      <c r="G14" s="1461">
        <f>'JULI 2025'!AM244</f>
        <v>4834.8953335169927</v>
      </c>
      <c r="H14" s="1462">
        <f t="shared" si="0"/>
        <v>-927.16533351699263</v>
      </c>
      <c r="I14" s="1463" t="s">
        <v>1157</v>
      </c>
    </row>
    <row r="15" spans="4:11" x14ac:dyDescent="0.25">
      <c r="D15" s="1464" t="s">
        <v>803</v>
      </c>
      <c r="E15" s="1465" t="s">
        <v>124</v>
      </c>
      <c r="F15" s="1460">
        <v>1521.33</v>
      </c>
      <c r="G15" s="1461">
        <f>'JULI 2025'!$AM$261</f>
        <v>4470</v>
      </c>
      <c r="H15" s="1462">
        <f t="shared" si="0"/>
        <v>-2948.67</v>
      </c>
      <c r="I15" s="1463" t="s">
        <v>1157</v>
      </c>
    </row>
    <row r="16" spans="4:11" x14ac:dyDescent="0.25">
      <c r="D16" s="1458" t="s">
        <v>133</v>
      </c>
      <c r="E16" s="1459" t="s">
        <v>14</v>
      </c>
      <c r="F16" s="1460">
        <v>11424000</v>
      </c>
      <c r="G16" s="1461">
        <f>'JULI 2025'!AM251</f>
        <v>1611.5900000000001</v>
      </c>
      <c r="H16" s="1462">
        <f>F16-G16</f>
        <v>11422388.41</v>
      </c>
      <c r="I16" s="1463" t="s">
        <v>1158</v>
      </c>
    </row>
    <row r="17" spans="4:10" x14ac:dyDescent="0.25">
      <c r="D17" s="1458" t="s">
        <v>804</v>
      </c>
      <c r="E17" s="1459" t="s">
        <v>2</v>
      </c>
      <c r="F17" s="1460">
        <v>102679</v>
      </c>
      <c r="G17" s="1461">
        <f>'JULI 2025'!AM276</f>
        <v>225833</v>
      </c>
      <c r="H17" s="1462">
        <f t="shared" si="0"/>
        <v>-123154</v>
      </c>
      <c r="I17" s="1463" t="s">
        <v>1157</v>
      </c>
    </row>
    <row r="18" spans="4:10" x14ac:dyDescent="0.25">
      <c r="D18" s="1458" t="s">
        <v>805</v>
      </c>
      <c r="E18" s="1459" t="s">
        <v>2</v>
      </c>
      <c r="F18" s="1460">
        <v>73158</v>
      </c>
      <c r="G18" s="1461">
        <f>'JULI 2025'!AM274</f>
        <v>319944.71999999997</v>
      </c>
      <c r="H18" s="1462">
        <f t="shared" si="0"/>
        <v>-246786.71999999997</v>
      </c>
      <c r="I18" s="1463" t="s">
        <v>1157</v>
      </c>
    </row>
    <row r="19" spans="4:10" x14ac:dyDescent="0.25">
      <c r="D19" s="1466" t="s">
        <v>15</v>
      </c>
      <c r="E19" s="1467"/>
      <c r="F19" s="1468"/>
      <c r="G19" s="1469"/>
      <c r="H19" s="1470"/>
      <c r="I19" s="1471"/>
    </row>
    <row r="20" spans="4:10" x14ac:dyDescent="0.25">
      <c r="D20" s="1464" t="s">
        <v>803</v>
      </c>
      <c r="E20" s="1465" t="s">
        <v>124</v>
      </c>
      <c r="F20" s="1472">
        <v>2622</v>
      </c>
      <c r="G20" s="1473">
        <f>'JULI 2025'!AM263</f>
        <v>2046</v>
      </c>
      <c r="H20" s="1462">
        <f t="shared" si="0"/>
        <v>576</v>
      </c>
      <c r="I20" s="1474" t="s">
        <v>1158</v>
      </c>
    </row>
    <row r="21" spans="4:10" x14ac:dyDescent="0.25">
      <c r="D21" s="1464" t="s">
        <v>133</v>
      </c>
      <c r="E21" s="1465" t="s">
        <v>14</v>
      </c>
      <c r="F21" s="1472">
        <v>2318000</v>
      </c>
      <c r="G21" s="1473">
        <f>'JULI 2025'!AM253</f>
        <v>1046.7170000000001</v>
      </c>
      <c r="H21" s="1462">
        <f t="shared" si="0"/>
        <v>2316953.2829999998</v>
      </c>
      <c r="I21" s="1474" t="s">
        <v>1158</v>
      </c>
    </row>
    <row r="22" spans="4:10" x14ac:dyDescent="0.25">
      <c r="D22" s="1464" t="s">
        <v>804</v>
      </c>
      <c r="E22" s="1465" t="s">
        <v>2</v>
      </c>
      <c r="F22" s="1472">
        <v>109440</v>
      </c>
      <c r="G22" s="1473">
        <f>'JULI 2025'!$AM$281</f>
        <v>176329.80000000002</v>
      </c>
      <c r="H22" s="1462">
        <f t="shared" si="0"/>
        <v>-66889.800000000017</v>
      </c>
      <c r="I22" s="1474" t="s">
        <v>1158</v>
      </c>
    </row>
    <row r="23" spans="4:10" x14ac:dyDescent="0.25">
      <c r="D23" s="1446" t="s">
        <v>805</v>
      </c>
      <c r="E23" s="1447" t="s">
        <v>2</v>
      </c>
      <c r="F23" s="1475">
        <v>28747</v>
      </c>
      <c r="G23" s="1476">
        <f>'JULI 2025'!$AM$279</f>
        <v>315504</v>
      </c>
      <c r="H23" s="1462">
        <f t="shared" si="0"/>
        <v>-286757</v>
      </c>
      <c r="I23" s="1477" t="s">
        <v>1157</v>
      </c>
    </row>
    <row r="24" spans="4:10" x14ac:dyDescent="0.25">
      <c r="D24" s="2419" t="s">
        <v>806</v>
      </c>
      <c r="E24" s="2420"/>
      <c r="F24" s="2420"/>
      <c r="G24" s="2420"/>
      <c r="H24" s="2420"/>
      <c r="I24" s="2421"/>
    </row>
    <row r="25" spans="4:10" x14ac:dyDescent="0.25">
      <c r="D25" s="1452" t="s">
        <v>16</v>
      </c>
      <c r="E25" s="1478"/>
      <c r="F25" s="1479"/>
      <c r="G25" s="1480"/>
      <c r="H25" s="1481"/>
      <c r="I25" s="1482"/>
    </row>
    <row r="26" spans="4:10" x14ac:dyDescent="0.25">
      <c r="D26" s="1464" t="s">
        <v>760</v>
      </c>
      <c r="E26" s="1465" t="s">
        <v>324</v>
      </c>
      <c r="F26" s="1483">
        <v>9</v>
      </c>
      <c r="G26" s="1484">
        <f>(G10/$G$6)*1000</f>
        <v>7.8514122328021827</v>
      </c>
      <c r="H26" s="1485">
        <f>F26-G26</f>
        <v>1.1485877671978173</v>
      </c>
      <c r="I26" s="2246" t="s">
        <v>1158</v>
      </c>
    </row>
    <row r="27" spans="4:10" x14ac:dyDescent="0.25">
      <c r="D27" s="1464" t="s">
        <v>761</v>
      </c>
      <c r="E27" s="1465" t="s">
        <v>324</v>
      </c>
      <c r="F27" s="1483">
        <v>18</v>
      </c>
      <c r="G27" s="1461">
        <v>0</v>
      </c>
      <c r="H27" s="1485">
        <v>0</v>
      </c>
      <c r="I27" s="2246"/>
      <c r="J27" s="1429" t="s">
        <v>216</v>
      </c>
    </row>
    <row r="28" spans="4:10" x14ac:dyDescent="0.25">
      <c r="D28" s="1464" t="s">
        <v>762</v>
      </c>
      <c r="E28" s="1465" t="s">
        <v>324</v>
      </c>
      <c r="F28" s="1483">
        <v>0.6</v>
      </c>
      <c r="G28" s="1484">
        <f t="shared" ref="G28" si="1">(G12/$G$6)*1000</f>
        <v>0.47753836244681269</v>
      </c>
      <c r="H28" s="1485">
        <f t="shared" ref="H28:H39" si="2">F28-G28</f>
        <v>0.12246163755318729</v>
      </c>
      <c r="I28" s="2246" t="s">
        <v>1158</v>
      </c>
    </row>
    <row r="29" spans="4:10" x14ac:dyDescent="0.25">
      <c r="D29" s="1464" t="s">
        <v>802</v>
      </c>
      <c r="E29" s="1465" t="s">
        <v>807</v>
      </c>
      <c r="F29" s="1486">
        <v>4.2</v>
      </c>
      <c r="G29" s="1484">
        <f t="shared" ref="G29:G34" si="3">(G13/$G$6)*1000</f>
        <v>0.57146446344542878</v>
      </c>
      <c r="H29" s="1485">
        <f t="shared" si="2"/>
        <v>3.6285355365545713</v>
      </c>
      <c r="I29" s="2246" t="s">
        <v>1158</v>
      </c>
    </row>
    <row r="30" spans="4:10" x14ac:dyDescent="0.25">
      <c r="D30" s="1464" t="s">
        <v>808</v>
      </c>
      <c r="E30" s="1465" t="s">
        <v>809</v>
      </c>
      <c r="F30" s="1486">
        <v>0.2</v>
      </c>
      <c r="G30" s="1484">
        <f t="shared" si="3"/>
        <v>0.13987313054550726</v>
      </c>
      <c r="H30" s="1485">
        <f t="shared" si="2"/>
        <v>6.0126869454492748E-2</v>
      </c>
      <c r="I30" s="2246" t="s">
        <v>1158</v>
      </c>
    </row>
    <row r="31" spans="4:10" x14ac:dyDescent="0.25">
      <c r="D31" s="1464" t="s">
        <v>803</v>
      </c>
      <c r="E31" s="1465" t="s">
        <v>810</v>
      </c>
      <c r="F31" s="1486">
        <v>0.04</v>
      </c>
      <c r="G31" s="1484">
        <f t="shared" si="3"/>
        <v>0.12931673809029728</v>
      </c>
      <c r="H31" s="1485">
        <f t="shared" si="2"/>
        <v>-8.9316738090297276E-2</v>
      </c>
      <c r="I31" s="2247" t="s">
        <v>1157</v>
      </c>
    </row>
    <row r="32" spans="4:10" x14ac:dyDescent="0.25">
      <c r="D32" s="1464" t="s">
        <v>811</v>
      </c>
      <c r="E32" s="1465" t="s">
        <v>324</v>
      </c>
      <c r="F32" s="1486">
        <v>28</v>
      </c>
      <c r="G32" s="1484">
        <f t="shared" si="3"/>
        <v>4.6623168219002732E-2</v>
      </c>
      <c r="H32" s="1485">
        <f t="shared" si="2"/>
        <v>27.953376831780997</v>
      </c>
      <c r="I32" s="2246" t="s">
        <v>1158</v>
      </c>
    </row>
    <row r="33" spans="3:10" x14ac:dyDescent="0.25">
      <c r="D33" s="1464" t="s">
        <v>804</v>
      </c>
      <c r="E33" s="1465" t="s">
        <v>812</v>
      </c>
      <c r="F33" s="1486">
        <v>4.4000000000000004</v>
      </c>
      <c r="G33" s="1484">
        <f t="shared" si="3"/>
        <v>6.5333304056255264</v>
      </c>
      <c r="H33" s="1485">
        <f t="shared" si="2"/>
        <v>-2.133330405625526</v>
      </c>
      <c r="I33" s="2247" t="s">
        <v>1157</v>
      </c>
    </row>
    <row r="34" spans="3:10" x14ac:dyDescent="0.25">
      <c r="D34" s="1464" t="s">
        <v>1067</v>
      </c>
      <c r="E34" s="1465" t="s">
        <v>812</v>
      </c>
      <c r="F34" s="1486">
        <v>7.3</v>
      </c>
      <c r="G34" s="1484">
        <f t="shared" si="3"/>
        <v>9.2559748455511173</v>
      </c>
      <c r="H34" s="1485">
        <f t="shared" si="2"/>
        <v>-1.9559748455511174</v>
      </c>
      <c r="I34" s="2246" t="s">
        <v>1157</v>
      </c>
    </row>
    <row r="35" spans="3:10" x14ac:dyDescent="0.25">
      <c r="D35" s="1487" t="s">
        <v>15</v>
      </c>
      <c r="E35" s="1488"/>
      <c r="F35" s="1489"/>
      <c r="G35" s="1490"/>
      <c r="H35" s="1491"/>
      <c r="I35" s="1492"/>
    </row>
    <row r="36" spans="3:10" x14ac:dyDescent="0.25">
      <c r="D36" s="1464" t="s">
        <v>803</v>
      </c>
      <c r="E36" s="1465" t="s">
        <v>810</v>
      </c>
      <c r="F36" s="1486">
        <v>0.13</v>
      </c>
      <c r="G36" s="1484">
        <f>(G20/$G$6)*1000</f>
        <v>5.9190614347370968E-2</v>
      </c>
      <c r="H36" s="1485">
        <f t="shared" si="2"/>
        <v>7.0809385652629037E-2</v>
      </c>
      <c r="I36" s="2247" t="s">
        <v>1158</v>
      </c>
    </row>
    <row r="37" spans="3:10" x14ac:dyDescent="0.25">
      <c r="D37" s="1464" t="s">
        <v>811</v>
      </c>
      <c r="E37" s="1465" t="s">
        <v>324</v>
      </c>
      <c r="F37" s="1493">
        <v>45</v>
      </c>
      <c r="G37" s="1484">
        <f>(G21/$G$6)*1000</f>
        <v>3.0281438063458996E-2</v>
      </c>
      <c r="H37" s="1485">
        <f t="shared" si="2"/>
        <v>44.969718561936538</v>
      </c>
      <c r="I37" s="2246" t="s">
        <v>1158</v>
      </c>
    </row>
    <row r="38" spans="3:10" x14ac:dyDescent="0.25">
      <c r="D38" s="1464" t="s">
        <v>804</v>
      </c>
      <c r="E38" s="1465" t="s">
        <v>812</v>
      </c>
      <c r="F38" s="1486">
        <v>4.0999999999999996</v>
      </c>
      <c r="G38" s="1484">
        <f>(G22/$G$6)*1000</f>
        <v>5.1012068376095083</v>
      </c>
      <c r="H38" s="1485">
        <f t="shared" si="2"/>
        <v>-1.0012068376095087</v>
      </c>
      <c r="I38" s="2247" t="s">
        <v>1157</v>
      </c>
    </row>
    <row r="39" spans="3:10" x14ac:dyDescent="0.25">
      <c r="D39" s="1464" t="s">
        <v>1067</v>
      </c>
      <c r="E39" s="1465" t="s">
        <v>812</v>
      </c>
      <c r="F39" s="1486">
        <v>4.5</v>
      </c>
      <c r="G39" s="1484">
        <f>(G23/$G$6)*1000</f>
        <v>9.1275051754901906</v>
      </c>
      <c r="H39" s="1485">
        <f t="shared" si="2"/>
        <v>-4.6275051754901906</v>
      </c>
      <c r="I39" s="2246" t="s">
        <v>1157</v>
      </c>
    </row>
    <row r="40" spans="3:10" ht="15.75" thickBot="1" x14ac:dyDescent="0.3">
      <c r="D40" s="1494"/>
      <c r="E40" s="1495"/>
      <c r="F40" s="1496"/>
      <c r="G40" s="1496"/>
      <c r="H40" s="1497"/>
      <c r="I40" s="1498"/>
    </row>
    <row r="41" spans="3:10" x14ac:dyDescent="0.25">
      <c r="E41" s="1499"/>
      <c r="F41" s="1499"/>
      <c r="H41" s="1500"/>
      <c r="I41" s="1500"/>
    </row>
    <row r="42" spans="3:10" x14ac:dyDescent="0.25">
      <c r="D42" s="2422" t="s">
        <v>1144</v>
      </c>
      <c r="E42" s="2422"/>
      <c r="F42" s="2422"/>
      <c r="G42" s="2422"/>
    </row>
    <row r="43" spans="3:10" x14ac:dyDescent="0.25">
      <c r="D43" s="2416" t="s">
        <v>1153</v>
      </c>
      <c r="E43" s="2416"/>
      <c r="F43" s="2416"/>
    </row>
    <row r="44" spans="3:10" x14ac:dyDescent="0.25">
      <c r="D44" s="2416"/>
      <c r="E44" s="2416"/>
      <c r="F44" s="2416"/>
      <c r="H44" s="1500"/>
      <c r="I44" s="1500"/>
    </row>
    <row r="45" spans="3:10" x14ac:dyDescent="0.25">
      <c r="D45" s="2416"/>
      <c r="E45" s="2416"/>
      <c r="F45" s="2416"/>
      <c r="H45" s="1500"/>
      <c r="I45" s="1500"/>
    </row>
    <row r="46" spans="3:10" x14ac:dyDescent="0.25">
      <c r="H46" s="1500"/>
      <c r="I46" s="1500"/>
    </row>
    <row r="47" spans="3:10" s="1306" customFormat="1" x14ac:dyDescent="0.2">
      <c r="D47" s="1192" t="s">
        <v>766</v>
      </c>
      <c r="E47" s="1192"/>
      <c r="F47" s="1192"/>
      <c r="G47" s="1192" t="s">
        <v>767</v>
      </c>
      <c r="H47" s="1308"/>
      <c r="I47" s="1192" t="s">
        <v>813</v>
      </c>
      <c r="J47" s="1297"/>
    </row>
    <row r="48" spans="3:10" s="1306" customFormat="1" x14ac:dyDescent="0.25">
      <c r="C48" s="1189"/>
      <c r="D48" s="1299"/>
      <c r="E48" s="1299"/>
      <c r="F48" s="1189"/>
      <c r="G48" s="1299"/>
      <c r="H48" s="1308"/>
      <c r="I48" s="1308"/>
      <c r="J48" s="1299"/>
    </row>
    <row r="49" spans="3:10" s="1306" customFormat="1" x14ac:dyDescent="0.25">
      <c r="C49" s="1189"/>
      <c r="D49" s="1189"/>
      <c r="E49" s="1189"/>
      <c r="F49" s="1189"/>
      <c r="G49" s="1189"/>
      <c r="H49" s="1308"/>
      <c r="I49" s="1308"/>
      <c r="J49" s="1189"/>
    </row>
    <row r="50" spans="3:10" s="1306" customFormat="1" x14ac:dyDescent="0.25">
      <c r="C50" s="1189"/>
      <c r="D50" s="1189"/>
      <c r="E50" s="1189"/>
      <c r="F50" s="1189"/>
      <c r="G50" s="1189"/>
      <c r="H50" s="1308"/>
      <c r="I50" s="1308"/>
      <c r="J50" s="1189"/>
    </row>
    <row r="51" spans="3:10" s="1306" customFormat="1" x14ac:dyDescent="0.2">
      <c r="D51" s="1301" t="s">
        <v>1142</v>
      </c>
      <c r="E51" s="1301"/>
      <c r="F51" s="1301" t="s">
        <v>769</v>
      </c>
      <c r="H51" s="1301" t="s">
        <v>770</v>
      </c>
      <c r="I51" s="1301" t="s">
        <v>814</v>
      </c>
      <c r="J51" s="1302"/>
    </row>
    <row r="52" spans="3:10" s="1306" customFormat="1" ht="15" customHeight="1" x14ac:dyDescent="0.2">
      <c r="D52" s="1299" t="s">
        <v>1141</v>
      </c>
      <c r="E52" s="1299"/>
      <c r="F52" s="1299" t="s">
        <v>773</v>
      </c>
      <c r="H52" s="1299" t="s">
        <v>774</v>
      </c>
      <c r="I52" s="1299" t="s">
        <v>815</v>
      </c>
      <c r="J52" s="1304"/>
    </row>
  </sheetData>
  <mergeCells count="9">
    <mergeCell ref="D45:F45"/>
    <mergeCell ref="D2:I2"/>
    <mergeCell ref="D3:I3"/>
    <mergeCell ref="D4:E4"/>
    <mergeCell ref="D8:I8"/>
    <mergeCell ref="D24:I24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K67"/>
  <sheetViews>
    <sheetView view="pageBreakPreview" topLeftCell="A50" zoomScale="130" zoomScaleNormal="55" zoomScaleSheetLayoutView="130" workbookViewId="0">
      <selection activeCell="F64" sqref="F64"/>
    </sheetView>
  </sheetViews>
  <sheetFormatPr defaultRowHeight="15" x14ac:dyDescent="0.25"/>
  <cols>
    <col min="4" max="4" width="11.7109375" customWidth="1"/>
    <col min="5" max="5" width="16.42578125" customWidth="1"/>
    <col min="6" max="6" width="48.140625" customWidth="1"/>
    <col min="7" max="11" width="9.42578125" customWidth="1"/>
  </cols>
  <sheetData>
    <row r="2" spans="4:11" ht="20.25" customHeight="1" x14ac:dyDescent="0.25"/>
    <row r="3" spans="4:11" x14ac:dyDescent="0.25">
      <c r="D3" s="2424" t="s">
        <v>821</v>
      </c>
      <c r="E3" s="2424"/>
      <c r="F3" s="2424"/>
      <c r="G3" s="2424"/>
      <c r="H3" s="2424"/>
      <c r="I3" s="1528"/>
      <c r="J3" s="1528"/>
      <c r="K3" s="1528"/>
    </row>
    <row r="4" spans="4:11" x14ac:dyDescent="0.25">
      <c r="D4" s="1529"/>
      <c r="E4" s="1530"/>
      <c r="F4" s="1531"/>
      <c r="G4" s="16"/>
      <c r="H4" s="16"/>
      <c r="I4" s="16"/>
      <c r="J4" s="16"/>
      <c r="K4" s="16"/>
    </row>
    <row r="5" spans="4:11" ht="15.75" thickBot="1" x14ac:dyDescent="0.3">
      <c r="D5" s="1532" t="s">
        <v>1137</v>
      </c>
      <c r="E5" s="1530"/>
      <c r="F5" s="1531"/>
      <c r="G5" s="16"/>
      <c r="H5" s="16"/>
      <c r="I5" s="16"/>
      <c r="J5" s="16"/>
      <c r="K5" s="16"/>
    </row>
    <row r="6" spans="4:11" ht="16.5" thickTop="1" thickBot="1" x14ac:dyDescent="0.3">
      <c r="D6" s="2425" t="s">
        <v>174</v>
      </c>
      <c r="E6" s="2427" t="s">
        <v>822</v>
      </c>
      <c r="F6" s="2429" t="s">
        <v>823</v>
      </c>
      <c r="G6" s="2431" t="s">
        <v>824</v>
      </c>
      <c r="H6" s="2432"/>
      <c r="I6" s="2433"/>
      <c r="J6" s="1534"/>
      <c r="K6" s="516" t="s">
        <v>825</v>
      </c>
    </row>
    <row r="7" spans="4:11" ht="16.5" thickTop="1" thickBot="1" x14ac:dyDescent="0.3">
      <c r="D7" s="2426"/>
      <c r="E7" s="2428"/>
      <c r="F7" s="2430"/>
      <c r="G7" s="1535" t="s">
        <v>826</v>
      </c>
      <c r="H7" s="1536" t="s">
        <v>827</v>
      </c>
      <c r="I7" s="1535" t="s">
        <v>25</v>
      </c>
      <c r="J7" s="1534"/>
      <c r="K7" s="1534"/>
    </row>
    <row r="8" spans="4:11" s="2203" customFormat="1" ht="16.5" thickTop="1" thickBot="1" x14ac:dyDescent="0.3">
      <c r="D8" s="2204">
        <v>1</v>
      </c>
      <c r="E8" s="2205">
        <v>0</v>
      </c>
      <c r="F8" s="2206" t="s">
        <v>1114</v>
      </c>
      <c r="G8" s="2207"/>
      <c r="H8" s="2207">
        <f>(2500-(E8/1000))/105</f>
        <v>23.80952380952381</v>
      </c>
      <c r="I8" s="2208">
        <f>E8/2500/1000</f>
        <v>0</v>
      </c>
      <c r="J8" s="2209"/>
      <c r="K8" s="2210">
        <f>(E8/1000)/24</f>
        <v>0</v>
      </c>
    </row>
    <row r="9" spans="4:11" s="2203" customFormat="1" ht="16.5" thickTop="1" thickBot="1" x14ac:dyDescent="0.3">
      <c r="D9" s="2211">
        <v>2</v>
      </c>
      <c r="E9" s="2212">
        <v>0</v>
      </c>
      <c r="F9" s="2206" t="s">
        <v>1114</v>
      </c>
      <c r="G9" s="2213"/>
      <c r="H9" s="2207">
        <f t="shared" ref="H9:H38" si="0">(2500-(E9/1000))/105</f>
        <v>23.80952380952381</v>
      </c>
      <c r="I9" s="2208">
        <f t="shared" ref="I9:I38" si="1">E9/2500/1000</f>
        <v>0</v>
      </c>
      <c r="J9" s="2209"/>
      <c r="K9" s="2210">
        <f t="shared" ref="K9:K38" si="2">(E9/1000)/24</f>
        <v>0</v>
      </c>
    </row>
    <row r="10" spans="4:11" s="2203" customFormat="1" ht="16.5" thickTop="1" thickBot="1" x14ac:dyDescent="0.3">
      <c r="D10" s="1546">
        <v>3</v>
      </c>
      <c r="E10" s="2212">
        <v>0</v>
      </c>
      <c r="F10" s="2206" t="s">
        <v>1114</v>
      </c>
      <c r="G10" s="2213"/>
      <c r="H10" s="2207">
        <f t="shared" si="0"/>
        <v>23.80952380952381</v>
      </c>
      <c r="I10" s="2208">
        <f t="shared" si="1"/>
        <v>0</v>
      </c>
      <c r="J10" s="2209"/>
      <c r="K10" s="2210">
        <f t="shared" si="2"/>
        <v>0</v>
      </c>
    </row>
    <row r="11" spans="4:11" s="2203" customFormat="1" ht="16.5" thickTop="1" thickBot="1" x14ac:dyDescent="0.3">
      <c r="D11" s="1546">
        <v>4</v>
      </c>
      <c r="E11" s="2212">
        <v>0</v>
      </c>
      <c r="F11" s="2206" t="s">
        <v>1114</v>
      </c>
      <c r="G11" s="2213"/>
      <c r="H11" s="2207">
        <f t="shared" si="0"/>
        <v>23.80952380952381</v>
      </c>
      <c r="I11" s="2208">
        <f t="shared" si="1"/>
        <v>0</v>
      </c>
      <c r="J11" s="2209"/>
      <c r="K11" s="2210">
        <f t="shared" si="2"/>
        <v>0</v>
      </c>
    </row>
    <row r="12" spans="4:11" s="2203" customFormat="1" ht="16.5" thickTop="1" thickBot="1" x14ac:dyDescent="0.3">
      <c r="D12" s="1546">
        <v>5</v>
      </c>
      <c r="E12" s="2212">
        <v>0</v>
      </c>
      <c r="F12" s="2206" t="s">
        <v>1114</v>
      </c>
      <c r="G12" s="2213"/>
      <c r="H12" s="2207">
        <f t="shared" si="0"/>
        <v>23.80952380952381</v>
      </c>
      <c r="I12" s="2208">
        <f t="shared" si="1"/>
        <v>0</v>
      </c>
      <c r="J12" s="2209"/>
      <c r="K12" s="2210">
        <f t="shared" si="2"/>
        <v>0</v>
      </c>
    </row>
    <row r="13" spans="4:11" s="2203" customFormat="1" ht="16.5" thickTop="1" thickBot="1" x14ac:dyDescent="0.3">
      <c r="D13" s="1546">
        <v>6</v>
      </c>
      <c r="E13" s="2212">
        <v>0</v>
      </c>
      <c r="F13" s="2206" t="s">
        <v>1114</v>
      </c>
      <c r="G13" s="2213"/>
      <c r="H13" s="2207">
        <f t="shared" si="0"/>
        <v>23.80952380952381</v>
      </c>
      <c r="I13" s="2208">
        <f t="shared" si="1"/>
        <v>0</v>
      </c>
      <c r="J13" s="2209"/>
      <c r="K13" s="2210">
        <f t="shared" si="2"/>
        <v>0</v>
      </c>
    </row>
    <row r="14" spans="4:11" s="2203" customFormat="1" ht="16.5" thickTop="1" thickBot="1" x14ac:dyDescent="0.3">
      <c r="D14" s="1546">
        <v>7</v>
      </c>
      <c r="E14" s="2212">
        <v>297079</v>
      </c>
      <c r="F14" s="2206" t="s">
        <v>1115</v>
      </c>
      <c r="G14" s="2213"/>
      <c r="H14" s="2207">
        <f t="shared" si="0"/>
        <v>20.9802</v>
      </c>
      <c r="I14" s="2208">
        <f t="shared" si="1"/>
        <v>0.1188316</v>
      </c>
      <c r="J14" s="2209"/>
      <c r="K14" s="2210">
        <f t="shared" si="2"/>
        <v>12.378291666666668</v>
      </c>
    </row>
    <row r="15" spans="4:11" s="2203" customFormat="1" ht="16.5" thickTop="1" thickBot="1" x14ac:dyDescent="0.3">
      <c r="D15" s="1546">
        <v>8</v>
      </c>
      <c r="E15" s="2212">
        <v>1517541</v>
      </c>
      <c r="F15" s="2206" t="s">
        <v>1154</v>
      </c>
      <c r="G15" s="2213"/>
      <c r="H15" s="2207">
        <f t="shared" si="0"/>
        <v>9.3567523809523809</v>
      </c>
      <c r="I15" s="2208">
        <f t="shared" si="1"/>
        <v>0.60701640000000001</v>
      </c>
      <c r="J15" s="2209"/>
      <c r="K15" s="2210">
        <f t="shared" si="2"/>
        <v>63.230874999999997</v>
      </c>
    </row>
    <row r="16" spans="4:11" s="2203" customFormat="1" ht="16.5" thickTop="1" thickBot="1" x14ac:dyDescent="0.3">
      <c r="D16" s="1546">
        <v>9</v>
      </c>
      <c r="E16" s="2212">
        <v>1497201</v>
      </c>
      <c r="F16" s="2206" t="s">
        <v>1156</v>
      </c>
      <c r="G16" s="2213"/>
      <c r="H16" s="2207">
        <f t="shared" si="0"/>
        <v>9.5504666666666669</v>
      </c>
      <c r="I16" s="2208">
        <f t="shared" si="1"/>
        <v>0.59888039999999998</v>
      </c>
      <c r="J16" s="2209"/>
      <c r="K16" s="2210">
        <f t="shared" si="2"/>
        <v>62.383375000000001</v>
      </c>
    </row>
    <row r="17" spans="4:11" s="2203" customFormat="1" ht="16.5" thickTop="1" thickBot="1" x14ac:dyDescent="0.3">
      <c r="D17" s="1546">
        <v>10</v>
      </c>
      <c r="E17" s="2212">
        <v>1850610</v>
      </c>
      <c r="F17" s="2206" t="s">
        <v>1156</v>
      </c>
      <c r="G17" s="2213"/>
      <c r="H17" s="2207">
        <f t="shared" si="0"/>
        <v>6.1846666666666676</v>
      </c>
      <c r="I17" s="2208">
        <f t="shared" si="1"/>
        <v>0.74024400000000001</v>
      </c>
      <c r="J17" s="2209"/>
      <c r="K17" s="2210">
        <f t="shared" si="2"/>
        <v>77.108750000000001</v>
      </c>
    </row>
    <row r="18" spans="4:11" s="2203" customFormat="1" ht="16.5" thickTop="1" thickBot="1" x14ac:dyDescent="0.3">
      <c r="D18" s="1546">
        <v>11</v>
      </c>
      <c r="E18" s="2212">
        <v>1679451</v>
      </c>
      <c r="F18" s="2206" t="s">
        <v>1156</v>
      </c>
      <c r="G18" s="2213"/>
      <c r="H18" s="2207">
        <f t="shared" si="0"/>
        <v>7.8147523809523811</v>
      </c>
      <c r="I18" s="2208">
        <f t="shared" si="1"/>
        <v>0.67178039999999994</v>
      </c>
      <c r="J18" s="2209"/>
      <c r="K18" s="2210">
        <f t="shared" si="2"/>
        <v>69.977125000000001</v>
      </c>
    </row>
    <row r="19" spans="4:11" s="2203" customFormat="1" ht="16.5" thickTop="1" thickBot="1" x14ac:dyDescent="0.3">
      <c r="D19" s="1546">
        <v>12</v>
      </c>
      <c r="E19" s="2212">
        <v>1385322</v>
      </c>
      <c r="F19" s="2206" t="s">
        <v>1116</v>
      </c>
      <c r="G19" s="2213"/>
      <c r="H19" s="2207">
        <f t="shared" si="0"/>
        <v>10.615980952380953</v>
      </c>
      <c r="I19" s="2208">
        <f t="shared" si="1"/>
        <v>0.55412879999999998</v>
      </c>
      <c r="J19" s="2209"/>
      <c r="K19" s="2210">
        <f t="shared" si="2"/>
        <v>57.721749999999993</v>
      </c>
    </row>
    <row r="20" spans="4:11" ht="16.5" thickTop="1" thickBot="1" x14ac:dyDescent="0.3">
      <c r="D20" s="1546">
        <v>13</v>
      </c>
      <c r="E20" s="2212">
        <v>1619561</v>
      </c>
      <c r="F20" s="2206" t="s">
        <v>1155</v>
      </c>
      <c r="G20" s="2213"/>
      <c r="H20" s="2207">
        <f t="shared" si="0"/>
        <v>8.385133333333334</v>
      </c>
      <c r="I20" s="2208">
        <f t="shared" si="1"/>
        <v>0.64782439999999997</v>
      </c>
      <c r="J20" s="2209"/>
      <c r="K20" s="2210">
        <f t="shared" si="2"/>
        <v>67.48170833333333</v>
      </c>
    </row>
    <row r="21" spans="4:11" s="2203" customFormat="1" ht="16.5" thickTop="1" thickBot="1" x14ac:dyDescent="0.3">
      <c r="D21" s="1546">
        <v>14</v>
      </c>
      <c r="E21" s="2212">
        <v>1975653</v>
      </c>
      <c r="F21" s="2206" t="s">
        <v>828</v>
      </c>
      <c r="G21" s="2213"/>
      <c r="H21" s="2207">
        <f t="shared" si="0"/>
        <v>4.993780952380952</v>
      </c>
      <c r="I21" s="2208">
        <f t="shared" si="1"/>
        <v>0.7902612</v>
      </c>
      <c r="J21" s="2209"/>
      <c r="K21" s="2210">
        <f t="shared" si="2"/>
        <v>82.318875000000006</v>
      </c>
    </row>
    <row r="22" spans="4:11" s="2203" customFormat="1" ht="16.5" thickTop="1" thickBot="1" x14ac:dyDescent="0.3">
      <c r="D22" s="1546">
        <v>15</v>
      </c>
      <c r="E22" s="2212">
        <v>1913887</v>
      </c>
      <c r="F22" s="2206" t="s">
        <v>828</v>
      </c>
      <c r="G22" s="2213"/>
      <c r="H22" s="2207">
        <f t="shared" si="0"/>
        <v>5.5820285714285722</v>
      </c>
      <c r="I22" s="2208">
        <f t="shared" si="1"/>
        <v>0.76555479999999998</v>
      </c>
      <c r="J22" s="2209"/>
      <c r="K22" s="2210">
        <f t="shared" si="2"/>
        <v>79.74529166666666</v>
      </c>
    </row>
    <row r="23" spans="4:11" s="2203" customFormat="1" ht="16.5" thickTop="1" thickBot="1" x14ac:dyDescent="0.3">
      <c r="D23" s="1546">
        <v>16</v>
      </c>
      <c r="E23" s="2212">
        <v>1413326</v>
      </c>
      <c r="F23" s="2206" t="s">
        <v>828</v>
      </c>
      <c r="G23" s="2213"/>
      <c r="H23" s="2207">
        <f t="shared" si="0"/>
        <v>10.349276190476191</v>
      </c>
      <c r="I23" s="2208">
        <f t="shared" si="1"/>
        <v>0.56533040000000001</v>
      </c>
      <c r="J23" s="2209"/>
      <c r="K23" s="2210">
        <f t="shared" si="2"/>
        <v>58.888583333333337</v>
      </c>
    </row>
    <row r="24" spans="4:11" s="2203" customFormat="1" ht="16.5" thickTop="1" thickBot="1" x14ac:dyDescent="0.3">
      <c r="D24" s="1546">
        <v>17</v>
      </c>
      <c r="E24" s="2212">
        <v>1333197</v>
      </c>
      <c r="F24" s="2206" t="s">
        <v>1117</v>
      </c>
      <c r="G24" s="2213"/>
      <c r="H24" s="2207">
        <f t="shared" si="0"/>
        <v>11.112409523809525</v>
      </c>
      <c r="I24" s="2208">
        <f t="shared" si="1"/>
        <v>0.53327880000000005</v>
      </c>
      <c r="J24" s="2209"/>
      <c r="K24" s="2210">
        <f t="shared" si="2"/>
        <v>55.549874999999993</v>
      </c>
    </row>
    <row r="25" spans="4:11" s="2203" customFormat="1" ht="16.5" thickTop="1" thickBot="1" x14ac:dyDescent="0.3">
      <c r="D25" s="1546">
        <v>18</v>
      </c>
      <c r="E25" s="2212">
        <v>893602</v>
      </c>
      <c r="F25" s="2206" t="s">
        <v>1118</v>
      </c>
      <c r="G25" s="2213"/>
      <c r="H25" s="2207">
        <f t="shared" si="0"/>
        <v>15.299028571428572</v>
      </c>
      <c r="I25" s="2208">
        <f t="shared" si="1"/>
        <v>0.3574408</v>
      </c>
      <c r="J25" s="2209"/>
      <c r="K25" s="2210">
        <f t="shared" si="2"/>
        <v>37.233416666666663</v>
      </c>
    </row>
    <row r="26" spans="4:11" s="2203" customFormat="1" ht="16.5" thickTop="1" thickBot="1" x14ac:dyDescent="0.3">
      <c r="D26" s="1546">
        <v>19</v>
      </c>
      <c r="E26" s="2212">
        <v>1829017</v>
      </c>
      <c r="F26" s="2206" t="s">
        <v>828</v>
      </c>
      <c r="G26" s="2213"/>
      <c r="H26" s="2207">
        <f t="shared" si="0"/>
        <v>6.3903142857142852</v>
      </c>
      <c r="I26" s="2208">
        <f t="shared" si="1"/>
        <v>0.7316068</v>
      </c>
      <c r="J26" s="2209"/>
      <c r="K26" s="2210">
        <f t="shared" si="2"/>
        <v>76.209041666666664</v>
      </c>
    </row>
    <row r="27" spans="4:11" s="2203" customFormat="1" ht="16.5" thickTop="1" thickBot="1" x14ac:dyDescent="0.3">
      <c r="D27" s="1546">
        <v>20</v>
      </c>
      <c r="E27" s="2212">
        <v>1891143</v>
      </c>
      <c r="F27" s="2206" t="s">
        <v>1116</v>
      </c>
      <c r="G27" s="2213"/>
      <c r="H27" s="2207">
        <f t="shared" si="0"/>
        <v>5.7986380952380951</v>
      </c>
      <c r="I27" s="2208">
        <f t="shared" si="1"/>
        <v>0.75645719999999994</v>
      </c>
      <c r="J27" s="2209"/>
      <c r="K27" s="2210">
        <f t="shared" si="2"/>
        <v>78.797624999999996</v>
      </c>
    </row>
    <row r="28" spans="4:11" s="2203" customFormat="1" ht="16.5" thickTop="1" thickBot="1" x14ac:dyDescent="0.3">
      <c r="D28" s="1546">
        <v>21</v>
      </c>
      <c r="E28" s="2212">
        <v>1688128</v>
      </c>
      <c r="F28" s="2206" t="s">
        <v>1119</v>
      </c>
      <c r="G28" s="2213"/>
      <c r="H28" s="2207">
        <f t="shared" si="0"/>
        <v>7.7321142857142862</v>
      </c>
      <c r="I28" s="2208">
        <f t="shared" si="1"/>
        <v>0.67525120000000005</v>
      </c>
      <c r="J28" s="2209"/>
      <c r="K28" s="2210">
        <f t="shared" si="2"/>
        <v>70.338666666666668</v>
      </c>
    </row>
    <row r="29" spans="4:11" s="2203" customFormat="1" ht="16.5" thickTop="1" thickBot="1" x14ac:dyDescent="0.3">
      <c r="D29" s="1546">
        <v>22</v>
      </c>
      <c r="E29" s="2212">
        <v>1851980</v>
      </c>
      <c r="F29" s="2206" t="s">
        <v>1119</v>
      </c>
      <c r="G29" s="2213"/>
      <c r="H29" s="2207">
        <f t="shared" si="0"/>
        <v>6.1716190476190471</v>
      </c>
      <c r="I29" s="2208">
        <f t="shared" si="1"/>
        <v>0.74079200000000001</v>
      </c>
      <c r="J29" s="2209"/>
      <c r="K29" s="2210">
        <f t="shared" si="2"/>
        <v>77.165833333333339</v>
      </c>
    </row>
    <row r="30" spans="4:11" s="2203" customFormat="1" ht="16.5" thickTop="1" thickBot="1" x14ac:dyDescent="0.3">
      <c r="D30" s="1546">
        <v>23</v>
      </c>
      <c r="E30" s="2212">
        <v>1315345</v>
      </c>
      <c r="F30" s="2206" t="s">
        <v>1119</v>
      </c>
      <c r="G30" s="2213"/>
      <c r="H30" s="2207">
        <f t="shared" si="0"/>
        <v>11.282428571428571</v>
      </c>
      <c r="I30" s="2208">
        <f t="shared" si="1"/>
        <v>0.52613799999999999</v>
      </c>
      <c r="J30" s="2209"/>
      <c r="K30" s="2210">
        <f t="shared" si="2"/>
        <v>54.806041666666665</v>
      </c>
    </row>
    <row r="31" spans="4:11" s="2203" customFormat="1" ht="16.5" thickTop="1" thickBot="1" x14ac:dyDescent="0.3">
      <c r="D31" s="1546">
        <v>24</v>
      </c>
      <c r="E31" s="2212">
        <v>1314009</v>
      </c>
      <c r="F31" s="2206" t="s">
        <v>1119</v>
      </c>
      <c r="G31" s="2213"/>
      <c r="H31" s="2207">
        <f t="shared" si="0"/>
        <v>11.295152380952381</v>
      </c>
      <c r="I31" s="2208">
        <f t="shared" si="1"/>
        <v>0.52560360000000006</v>
      </c>
      <c r="J31" s="2209"/>
      <c r="K31" s="2210">
        <f t="shared" si="2"/>
        <v>54.750374999999998</v>
      </c>
    </row>
    <row r="32" spans="4:11" s="2203" customFormat="1" ht="16.5" thickTop="1" thickBot="1" x14ac:dyDescent="0.3">
      <c r="D32" s="1546">
        <v>25</v>
      </c>
      <c r="E32" s="2212">
        <v>1008924</v>
      </c>
      <c r="F32" s="2206" t="s">
        <v>1119</v>
      </c>
      <c r="G32" s="2213"/>
      <c r="H32" s="2207">
        <f t="shared" si="0"/>
        <v>14.20072380952381</v>
      </c>
      <c r="I32" s="2208">
        <f t="shared" si="1"/>
        <v>0.40356959999999997</v>
      </c>
      <c r="J32" s="2209"/>
      <c r="K32" s="2210">
        <f t="shared" si="2"/>
        <v>42.038499999999999</v>
      </c>
    </row>
    <row r="33" spans="4:11" s="2203" customFormat="1" ht="16.5" thickTop="1" thickBot="1" x14ac:dyDescent="0.3">
      <c r="D33" s="1546">
        <v>26</v>
      </c>
      <c r="E33" s="2212">
        <v>1905928</v>
      </c>
      <c r="F33" s="2206" t="s">
        <v>1119</v>
      </c>
      <c r="G33" s="2213"/>
      <c r="H33" s="2207">
        <f t="shared" si="0"/>
        <v>5.6578285714285705</v>
      </c>
      <c r="I33" s="2208">
        <f t="shared" si="1"/>
        <v>0.76237120000000003</v>
      </c>
      <c r="J33" s="2209"/>
      <c r="K33" s="2210">
        <f t="shared" si="2"/>
        <v>79.413666666666671</v>
      </c>
    </row>
    <row r="34" spans="4:11" s="2203" customFormat="1" ht="16.5" thickTop="1" thickBot="1" x14ac:dyDescent="0.3">
      <c r="D34" s="1546">
        <v>27</v>
      </c>
      <c r="E34" s="2212">
        <v>853654</v>
      </c>
      <c r="F34" s="2206" t="s">
        <v>1119</v>
      </c>
      <c r="G34" s="2213"/>
      <c r="H34" s="2207">
        <f t="shared" si="0"/>
        <v>15.679485714285715</v>
      </c>
      <c r="I34" s="2208">
        <f t="shared" si="1"/>
        <v>0.34146159999999998</v>
      </c>
      <c r="J34" s="2209"/>
      <c r="K34" s="2210">
        <f t="shared" si="2"/>
        <v>35.568916666666667</v>
      </c>
    </row>
    <row r="35" spans="4:11" s="2203" customFormat="1" ht="16.5" thickTop="1" thickBot="1" x14ac:dyDescent="0.3">
      <c r="D35" s="1546">
        <v>28</v>
      </c>
      <c r="E35" s="2212">
        <v>707016</v>
      </c>
      <c r="F35" s="2206" t="s">
        <v>1119</v>
      </c>
      <c r="G35" s="2213"/>
      <c r="H35" s="2207">
        <f t="shared" si="0"/>
        <v>17.076038095238093</v>
      </c>
      <c r="I35" s="2208">
        <f t="shared" si="1"/>
        <v>0.28280640000000001</v>
      </c>
      <c r="J35" s="2209"/>
      <c r="K35" s="2210">
        <f t="shared" si="2"/>
        <v>29.459</v>
      </c>
    </row>
    <row r="36" spans="4:11" s="2203" customFormat="1" ht="16.5" thickTop="1" thickBot="1" x14ac:dyDescent="0.3">
      <c r="D36" s="1546">
        <v>29</v>
      </c>
      <c r="E36" s="2212">
        <v>709605</v>
      </c>
      <c r="F36" s="2206" t="s">
        <v>1119</v>
      </c>
      <c r="G36" s="2213"/>
      <c r="H36" s="2207">
        <f t="shared" si="0"/>
        <v>17.051380952380953</v>
      </c>
      <c r="I36" s="2208">
        <f t="shared" si="1"/>
        <v>0.28384199999999998</v>
      </c>
      <c r="J36" s="2209"/>
      <c r="K36" s="2210">
        <f t="shared" si="2"/>
        <v>29.566875</v>
      </c>
    </row>
    <row r="37" spans="4:11" s="2203" customFormat="1" ht="16.5" thickTop="1" thickBot="1" x14ac:dyDescent="0.3">
      <c r="D37" s="1547">
        <v>30</v>
      </c>
      <c r="E37" s="2212">
        <v>1035262</v>
      </c>
      <c r="F37" s="2206" t="s">
        <v>1119</v>
      </c>
      <c r="G37" s="2214"/>
      <c r="H37" s="2207">
        <f t="shared" si="0"/>
        <v>13.949885714285715</v>
      </c>
      <c r="I37" s="2208">
        <f t="shared" si="1"/>
        <v>0.4141048</v>
      </c>
      <c r="J37" s="2209"/>
      <c r="K37" s="2210">
        <f t="shared" si="2"/>
        <v>43.135916666666667</v>
      </c>
    </row>
    <row r="38" spans="4:11" s="2203" customFormat="1" ht="18" customHeight="1" thickTop="1" thickBot="1" x14ac:dyDescent="0.3">
      <c r="D38" s="1547">
        <v>31</v>
      </c>
      <c r="E38" s="2212">
        <v>1079850</v>
      </c>
      <c r="F38" s="2206" t="s">
        <v>1119</v>
      </c>
      <c r="G38" s="2214"/>
      <c r="H38" s="2207">
        <f t="shared" si="0"/>
        <v>13.525238095238096</v>
      </c>
      <c r="I38" s="2208">
        <f t="shared" si="1"/>
        <v>0.43193999999999999</v>
      </c>
      <c r="J38" s="2209"/>
      <c r="K38" s="2210">
        <f t="shared" si="2"/>
        <v>44.993749999999999</v>
      </c>
    </row>
    <row r="39" spans="4:11" ht="17.25" thickTop="1" thickBot="1" x14ac:dyDescent="0.3">
      <c r="D39" s="1533" t="s">
        <v>158</v>
      </c>
      <c r="E39" s="1551">
        <f>SUM(E8:E38)</f>
        <v>34566291</v>
      </c>
      <c r="F39" s="1552"/>
      <c r="G39" s="1553">
        <f>SUM(G8:G37)</f>
        <v>0</v>
      </c>
      <c r="H39" s="1554">
        <f>SUM(H8:H38)</f>
        <v>408.89246666666668</v>
      </c>
      <c r="I39" s="1553"/>
      <c r="J39" s="1555"/>
      <c r="K39" s="1556">
        <f>AVERAGE(K8:K38)</f>
        <v>46.460068548387106</v>
      </c>
    </row>
    <row r="40" spans="4:11" ht="15.75" thickTop="1" x14ac:dyDescent="0.25">
      <c r="D40" s="1557"/>
      <c r="E40" s="1558"/>
      <c r="F40" s="1559"/>
      <c r="G40" s="1"/>
      <c r="H40" s="1"/>
      <c r="I40" s="1"/>
      <c r="J40" s="1"/>
      <c r="K40" s="1"/>
    </row>
    <row r="41" spans="4:11" x14ac:dyDescent="0.25">
      <c r="D41" s="16"/>
      <c r="E41" s="1560" t="s">
        <v>829</v>
      </c>
      <c r="F41" s="16"/>
      <c r="G41" s="16"/>
      <c r="H41" s="16"/>
      <c r="I41" s="16"/>
      <c r="J41" s="16"/>
      <c r="K41" s="16"/>
    </row>
    <row r="42" spans="4:11" x14ac:dyDescent="0.25">
      <c r="D42" s="16"/>
      <c r="E42" s="16" t="s">
        <v>830</v>
      </c>
      <c r="F42" s="16"/>
      <c r="G42" s="1541">
        <v>0</v>
      </c>
      <c r="H42" s="16" t="s">
        <v>831</v>
      </c>
      <c r="I42" s="16"/>
      <c r="J42" s="16"/>
      <c r="K42" s="16"/>
    </row>
    <row r="43" spans="4:11" x14ac:dyDescent="0.25">
      <c r="D43" s="16"/>
      <c r="E43" s="16" t="s">
        <v>1120</v>
      </c>
      <c r="F43" s="16"/>
      <c r="G43" s="1541">
        <f>SUM(H24,H25)</f>
        <v>26.411438095238097</v>
      </c>
      <c r="H43" s="16" t="s">
        <v>831</v>
      </c>
      <c r="I43" s="16"/>
      <c r="J43" s="16"/>
      <c r="K43" s="16"/>
    </row>
    <row r="44" spans="4:11" x14ac:dyDescent="0.25">
      <c r="D44" s="16"/>
      <c r="E44" s="16" t="s">
        <v>1121</v>
      </c>
      <c r="F44" s="16"/>
      <c r="G44" s="1541">
        <f>SUM(H19,H27)</f>
        <v>16.414619047619048</v>
      </c>
      <c r="H44" s="16" t="s">
        <v>831</v>
      </c>
      <c r="I44" s="16"/>
      <c r="J44" s="16"/>
      <c r="K44" s="16"/>
    </row>
    <row r="45" spans="4:11" x14ac:dyDescent="0.25">
      <c r="D45" s="16"/>
      <c r="E45" s="16" t="s">
        <v>833</v>
      </c>
      <c r="F45" s="16"/>
      <c r="G45" s="1541">
        <f>SUM(H18,H21,H22,H23,H26)</f>
        <v>35.130152380952381</v>
      </c>
      <c r="H45" s="16" t="s">
        <v>831</v>
      </c>
      <c r="I45" s="16"/>
      <c r="J45" s="16"/>
      <c r="K45" s="16"/>
    </row>
    <row r="46" spans="4:11" x14ac:dyDescent="0.25">
      <c r="D46" s="16"/>
      <c r="E46" s="16" t="s">
        <v>834</v>
      </c>
      <c r="F46" s="16"/>
      <c r="G46" s="1562">
        <f>SUM(H14)</f>
        <v>20.9802</v>
      </c>
      <c r="H46" s="16" t="s">
        <v>831</v>
      </c>
      <c r="I46" s="16"/>
      <c r="J46" s="16"/>
      <c r="K46" s="16"/>
    </row>
    <row r="47" spans="4:11" x14ac:dyDescent="0.25">
      <c r="D47" s="16"/>
      <c r="E47" s="16" t="s">
        <v>835</v>
      </c>
      <c r="F47" s="16"/>
      <c r="G47" s="1562"/>
      <c r="H47" s="16" t="s">
        <v>831</v>
      </c>
      <c r="I47" s="16"/>
      <c r="J47" s="16"/>
      <c r="K47" s="16"/>
    </row>
    <row r="48" spans="4:11" x14ac:dyDescent="0.25">
      <c r="D48" s="16"/>
      <c r="E48" s="16" t="s">
        <v>1122</v>
      </c>
      <c r="F48" s="16"/>
      <c r="G48" s="1562">
        <f>SUM(H20)</f>
        <v>8.385133333333334</v>
      </c>
      <c r="H48" s="16" t="s">
        <v>831</v>
      </c>
      <c r="I48" s="16"/>
      <c r="J48" s="16"/>
      <c r="K48" s="16"/>
    </row>
    <row r="49" spans="3:11" x14ac:dyDescent="0.25">
      <c r="D49" s="16"/>
      <c r="E49" s="16" t="s">
        <v>837</v>
      </c>
      <c r="F49" s="16"/>
      <c r="G49" s="1562">
        <v>0</v>
      </c>
      <c r="H49" s="16" t="s">
        <v>831</v>
      </c>
      <c r="I49" s="16"/>
      <c r="J49" s="16"/>
      <c r="K49" s="16"/>
    </row>
    <row r="50" spans="3:11" x14ac:dyDescent="0.25">
      <c r="D50" s="16"/>
      <c r="E50" s="16" t="s">
        <v>1123</v>
      </c>
      <c r="F50" s="16"/>
      <c r="G50" s="1562">
        <f>SUM(H15,H16,H17)</f>
        <v>25.091885714285716</v>
      </c>
      <c r="H50" s="16" t="s">
        <v>831</v>
      </c>
      <c r="I50" s="16"/>
      <c r="J50" s="16"/>
      <c r="K50" s="16"/>
    </row>
    <row r="51" spans="3:11" x14ac:dyDescent="0.25">
      <c r="D51" s="16"/>
      <c r="E51" s="16" t="s">
        <v>1124</v>
      </c>
      <c r="F51" s="16"/>
      <c r="G51" s="1562">
        <f>SUM(H8,H9,H10,H11,H12,H13)</f>
        <v>142.85714285714286</v>
      </c>
      <c r="H51" s="16" t="s">
        <v>831</v>
      </c>
      <c r="I51" s="16"/>
      <c r="J51" s="16"/>
      <c r="K51" s="16"/>
    </row>
    <row r="52" spans="3:11" x14ac:dyDescent="0.25">
      <c r="D52" s="16"/>
      <c r="E52" s="16" t="s">
        <v>839</v>
      </c>
      <c r="F52" s="16"/>
      <c r="G52" s="1541">
        <f>SUM(H28,H29,H30,H31,H32,H33,H34,H35,H36,H37,H38)</f>
        <v>133.62189523809525</v>
      </c>
      <c r="H52" s="16" t="s">
        <v>831</v>
      </c>
      <c r="I52" s="16"/>
      <c r="J52" s="16"/>
      <c r="K52" s="16"/>
    </row>
    <row r="53" spans="3:11" x14ac:dyDescent="0.25">
      <c r="D53" s="1"/>
      <c r="E53" s="2434" t="s">
        <v>1</v>
      </c>
      <c r="F53" s="2434"/>
      <c r="G53" s="1563">
        <f>SUM(G42:G52)</f>
        <v>408.89246666666668</v>
      </c>
      <c r="H53" s="2" t="s">
        <v>831</v>
      </c>
      <c r="I53" s="2"/>
      <c r="J53" s="2"/>
      <c r="K53" s="2"/>
    </row>
    <row r="54" spans="3:11" x14ac:dyDescent="0.25">
      <c r="D54" s="1"/>
      <c r="E54" s="2423" t="s">
        <v>1125</v>
      </c>
      <c r="F54" s="2423"/>
      <c r="G54" s="1"/>
      <c r="H54" s="1"/>
      <c r="I54" s="1"/>
      <c r="J54" s="1"/>
      <c r="K54" s="1"/>
    </row>
    <row r="62" spans="3:11" x14ac:dyDescent="0.25">
      <c r="C62" s="2379" t="s">
        <v>766</v>
      </c>
      <c r="D62" s="2379"/>
      <c r="E62" s="2379"/>
      <c r="F62" s="1192" t="s">
        <v>767</v>
      </c>
      <c r="G62" s="1297"/>
      <c r="H62" s="1192" t="s">
        <v>768</v>
      </c>
      <c r="I62" s="1297"/>
    </row>
    <row r="63" spans="3:11" x14ac:dyDescent="0.25">
      <c r="C63" s="1189"/>
      <c r="D63" s="1299"/>
      <c r="E63" s="1299"/>
      <c r="F63" s="1299"/>
      <c r="G63" s="1299"/>
      <c r="H63" s="1189"/>
      <c r="I63" s="1299"/>
    </row>
    <row r="64" spans="3:11" x14ac:dyDescent="0.25">
      <c r="C64" s="1189"/>
      <c r="D64" s="1299"/>
      <c r="E64" s="1299"/>
      <c r="F64" s="1299"/>
      <c r="G64" s="1299"/>
      <c r="H64" s="1189"/>
      <c r="I64" s="1299"/>
    </row>
    <row r="65" spans="3:9" x14ac:dyDescent="0.25">
      <c r="C65" s="1189"/>
      <c r="D65" s="1299"/>
      <c r="E65" s="1299"/>
      <c r="F65" s="1299"/>
      <c r="G65" s="1299"/>
      <c r="H65" s="1189"/>
      <c r="I65" s="1299"/>
    </row>
    <row r="66" spans="3:9" x14ac:dyDescent="0.25">
      <c r="C66" s="2389" t="s">
        <v>1138</v>
      </c>
      <c r="D66" s="2389"/>
      <c r="E66" s="2389"/>
      <c r="F66" s="1301" t="s">
        <v>769</v>
      </c>
      <c r="G66" s="1302"/>
      <c r="H66" s="1301" t="s">
        <v>770</v>
      </c>
      <c r="I66" s="1302"/>
    </row>
    <row r="67" spans="3:9" x14ac:dyDescent="0.25">
      <c r="C67" s="2390" t="s">
        <v>772</v>
      </c>
      <c r="D67" s="2390"/>
      <c r="E67" s="2390"/>
      <c r="F67" s="1299" t="s">
        <v>773</v>
      </c>
      <c r="G67" s="1304"/>
      <c r="H67" s="1299" t="s">
        <v>774</v>
      </c>
      <c r="I67" s="1304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scale="6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J69"/>
  <sheetViews>
    <sheetView view="pageBreakPreview" topLeftCell="A31" zoomScale="145" zoomScaleNormal="100" zoomScaleSheetLayoutView="145" workbookViewId="0">
      <selection activeCell="F64" sqref="F64"/>
    </sheetView>
  </sheetViews>
  <sheetFormatPr defaultRowHeight="15" x14ac:dyDescent="0.25"/>
  <cols>
    <col min="2" max="2" width="6.5703125" customWidth="1"/>
    <col min="3" max="3" width="11.7109375" customWidth="1"/>
    <col min="4" max="4" width="16.42578125" customWidth="1"/>
    <col min="5" max="5" width="52.7109375" customWidth="1"/>
    <col min="6" max="10" width="9.42578125" customWidth="1"/>
  </cols>
  <sheetData>
    <row r="2" spans="2:10" x14ac:dyDescent="0.25">
      <c r="B2" s="1"/>
      <c r="C2" s="2424" t="s">
        <v>840</v>
      </c>
      <c r="D2" s="2424"/>
      <c r="E2" s="2424"/>
      <c r="F2" s="2424"/>
      <c r="G2" s="2424"/>
      <c r="H2" s="1528"/>
      <c r="I2" s="1528"/>
      <c r="J2" s="1528"/>
    </row>
    <row r="3" spans="2:10" x14ac:dyDescent="0.25">
      <c r="B3" s="16"/>
      <c r="C3" s="1529"/>
      <c r="D3" s="1530"/>
      <c r="E3" s="1531"/>
      <c r="F3" s="16"/>
      <c r="G3" s="16"/>
      <c r="H3" s="16"/>
      <c r="I3" s="16"/>
      <c r="J3" s="16"/>
    </row>
    <row r="4" spans="2:10" ht="15.75" thickBot="1" x14ac:dyDescent="0.3">
      <c r="B4" s="16"/>
      <c r="C4" s="1532" t="s">
        <v>1137</v>
      </c>
      <c r="D4" s="1530"/>
      <c r="E4" s="1531"/>
      <c r="F4" s="16"/>
      <c r="G4" s="16"/>
      <c r="H4" s="16"/>
      <c r="I4" s="16"/>
      <c r="J4" s="16"/>
    </row>
    <row r="5" spans="2:10" ht="16.5" thickTop="1" thickBot="1" x14ac:dyDescent="0.3">
      <c r="B5" s="16"/>
      <c r="C5" s="2425" t="s">
        <v>174</v>
      </c>
      <c r="D5" s="2427" t="s">
        <v>822</v>
      </c>
      <c r="E5" s="2429" t="s">
        <v>823</v>
      </c>
      <c r="F5" s="2431" t="s">
        <v>824</v>
      </c>
      <c r="G5" s="2432"/>
      <c r="H5" s="2433"/>
      <c r="I5" s="1534"/>
      <c r="J5" s="516" t="s">
        <v>825</v>
      </c>
    </row>
    <row r="6" spans="2:10" ht="16.5" thickTop="1" thickBot="1" x14ac:dyDescent="0.3">
      <c r="B6" s="16"/>
      <c r="C6" s="2426"/>
      <c r="D6" s="2428"/>
      <c r="E6" s="2430"/>
      <c r="F6" s="1535" t="s">
        <v>826</v>
      </c>
      <c r="G6" s="1536" t="s">
        <v>827</v>
      </c>
      <c r="H6" s="1535" t="s">
        <v>25</v>
      </c>
      <c r="I6" s="1534"/>
      <c r="J6" s="1534"/>
    </row>
    <row r="7" spans="2:10" ht="15.75" thickTop="1" x14ac:dyDescent="0.25">
      <c r="B7" s="16"/>
      <c r="C7" s="1537">
        <v>1</v>
      </c>
      <c r="D7" s="33">
        <v>0</v>
      </c>
      <c r="E7" s="2215" t="s">
        <v>1114</v>
      </c>
      <c r="F7" s="1538"/>
      <c r="G7" s="1538">
        <f t="shared" ref="G7:G37" si="0">(2500-(D7/1000))/105</f>
        <v>23.80952380952381</v>
      </c>
      <c r="H7" s="1539">
        <f>D7/2000/1000</f>
        <v>0</v>
      </c>
      <c r="I7" s="1540"/>
      <c r="J7" s="1541">
        <f>(D7/1000)/24</f>
        <v>0</v>
      </c>
    </row>
    <row r="8" spans="2:10" x14ac:dyDescent="0.25">
      <c r="B8" s="16"/>
      <c r="C8" s="1542">
        <v>2</v>
      </c>
      <c r="D8" s="33">
        <v>0</v>
      </c>
      <c r="E8" s="2215" t="s">
        <v>1114</v>
      </c>
      <c r="F8" s="1543"/>
      <c r="G8" s="1543">
        <f t="shared" si="0"/>
        <v>23.80952380952381</v>
      </c>
      <c r="H8" s="1544">
        <f t="shared" ref="H8:H37" si="1">D8/2000/1000</f>
        <v>0</v>
      </c>
      <c r="I8" s="1540"/>
      <c r="J8" s="1541">
        <f t="shared" ref="J8:J37" si="2">(D8/1000)/24</f>
        <v>0</v>
      </c>
    </row>
    <row r="9" spans="2:10" x14ac:dyDescent="0.25">
      <c r="B9" s="16"/>
      <c r="C9" s="1545">
        <v>3</v>
      </c>
      <c r="D9" s="33">
        <v>0</v>
      </c>
      <c r="E9" s="2215" t="s">
        <v>1114</v>
      </c>
      <c r="F9" s="1543"/>
      <c r="G9" s="1543">
        <f t="shared" si="0"/>
        <v>23.80952380952381</v>
      </c>
      <c r="H9" s="1544">
        <f t="shared" si="1"/>
        <v>0</v>
      </c>
      <c r="I9" s="1540"/>
      <c r="J9" s="1541">
        <f t="shared" si="2"/>
        <v>0</v>
      </c>
    </row>
    <row r="10" spans="2:10" x14ac:dyDescent="0.25">
      <c r="B10" s="807"/>
      <c r="C10" s="1564">
        <v>4</v>
      </c>
      <c r="D10" s="33">
        <v>0</v>
      </c>
      <c r="E10" s="2215" t="s">
        <v>1114</v>
      </c>
      <c r="F10" s="1565"/>
      <c r="G10" s="1565">
        <f t="shared" si="0"/>
        <v>23.80952380952381</v>
      </c>
      <c r="H10" s="1566">
        <f t="shared" si="1"/>
        <v>0</v>
      </c>
      <c r="I10" s="1567"/>
      <c r="J10" s="1568">
        <f t="shared" si="2"/>
        <v>0</v>
      </c>
    </row>
    <row r="11" spans="2:10" x14ac:dyDescent="0.25">
      <c r="B11" s="16"/>
      <c r="C11" s="1545">
        <v>5</v>
      </c>
      <c r="D11" s="33">
        <v>0</v>
      </c>
      <c r="E11" s="2215" t="s">
        <v>1114</v>
      </c>
      <c r="F11" s="1543"/>
      <c r="G11" s="1543">
        <f t="shared" si="0"/>
        <v>23.80952380952381</v>
      </c>
      <c r="H11" s="1544">
        <f t="shared" si="1"/>
        <v>0</v>
      </c>
      <c r="I11" s="1540"/>
      <c r="J11" s="1541">
        <f t="shared" si="2"/>
        <v>0</v>
      </c>
    </row>
    <row r="12" spans="2:10" x14ac:dyDescent="0.25">
      <c r="B12" s="16"/>
      <c r="C12" s="1545">
        <v>6</v>
      </c>
      <c r="D12" s="33">
        <v>0</v>
      </c>
      <c r="E12" s="2215" t="s">
        <v>1114</v>
      </c>
      <c r="F12" s="1543"/>
      <c r="G12" s="1543">
        <f t="shared" si="0"/>
        <v>23.80952380952381</v>
      </c>
      <c r="H12" s="1544">
        <f t="shared" si="1"/>
        <v>0</v>
      </c>
      <c r="I12" s="1540"/>
      <c r="J12" s="1541">
        <f t="shared" si="2"/>
        <v>0</v>
      </c>
    </row>
    <row r="13" spans="2:10" x14ac:dyDescent="0.25">
      <c r="B13" s="16"/>
      <c r="C13" s="1545">
        <v>7</v>
      </c>
      <c r="D13" s="33">
        <v>207543</v>
      </c>
      <c r="E13" s="2215" t="s">
        <v>1126</v>
      </c>
      <c r="F13" s="1543"/>
      <c r="G13" s="1543">
        <f t="shared" si="0"/>
        <v>21.832923809523809</v>
      </c>
      <c r="H13" s="1544">
        <f t="shared" si="1"/>
        <v>0.1037715</v>
      </c>
      <c r="I13" s="1540"/>
      <c r="J13" s="1541">
        <f t="shared" si="2"/>
        <v>8.6476249999999997</v>
      </c>
    </row>
    <row r="14" spans="2:10" x14ac:dyDescent="0.25">
      <c r="B14" s="16"/>
      <c r="C14" s="1545">
        <v>8</v>
      </c>
      <c r="D14" s="33">
        <v>368700</v>
      </c>
      <c r="E14" s="2215" t="s">
        <v>1127</v>
      </c>
      <c r="F14" s="1543"/>
      <c r="G14" s="1543">
        <f t="shared" si="0"/>
        <v>20.29809523809524</v>
      </c>
      <c r="H14" s="1544">
        <f t="shared" si="1"/>
        <v>0.18434999999999999</v>
      </c>
      <c r="I14" s="1540"/>
      <c r="J14" s="1541">
        <f t="shared" si="2"/>
        <v>15.362499999999999</v>
      </c>
    </row>
    <row r="15" spans="2:10" x14ac:dyDescent="0.25">
      <c r="B15" s="16"/>
      <c r="C15" s="1545">
        <v>9</v>
      </c>
      <c r="D15" s="33">
        <v>1392984</v>
      </c>
      <c r="E15" s="2215" t="s">
        <v>1127</v>
      </c>
      <c r="F15" s="1543"/>
      <c r="G15" s="1543">
        <f t="shared" si="0"/>
        <v>10.543009523809525</v>
      </c>
      <c r="H15" s="1544">
        <f t="shared" si="1"/>
        <v>0.696492</v>
      </c>
      <c r="I15" s="1540"/>
      <c r="J15" s="1541">
        <f t="shared" si="2"/>
        <v>58.040999999999997</v>
      </c>
    </row>
    <row r="16" spans="2:10" x14ac:dyDescent="0.25">
      <c r="B16" s="16"/>
      <c r="C16" s="1545">
        <v>10</v>
      </c>
      <c r="D16" s="33">
        <v>1575153</v>
      </c>
      <c r="E16" s="2215" t="s">
        <v>1127</v>
      </c>
      <c r="F16" s="1543"/>
      <c r="G16" s="1543">
        <f t="shared" si="0"/>
        <v>8.8080666666666669</v>
      </c>
      <c r="H16" s="1544">
        <f t="shared" si="1"/>
        <v>0.78757650000000001</v>
      </c>
      <c r="I16" s="1540"/>
      <c r="J16" s="1541">
        <f t="shared" si="2"/>
        <v>65.631375000000006</v>
      </c>
    </row>
    <row r="17" spans="2:10" x14ac:dyDescent="0.25">
      <c r="B17" s="16"/>
      <c r="C17" s="1545">
        <v>11</v>
      </c>
      <c r="D17" s="33">
        <v>1878169</v>
      </c>
      <c r="E17" s="2215" t="s">
        <v>1127</v>
      </c>
      <c r="F17" s="1543"/>
      <c r="G17" s="1543">
        <f t="shared" si="0"/>
        <v>5.9221999999999992</v>
      </c>
      <c r="H17" s="1544">
        <f t="shared" si="1"/>
        <v>0.9390845000000001</v>
      </c>
      <c r="I17" s="1540"/>
      <c r="J17" s="1541">
        <f t="shared" si="2"/>
        <v>78.257041666666666</v>
      </c>
    </row>
    <row r="18" spans="2:10" x14ac:dyDescent="0.25">
      <c r="B18" s="16"/>
      <c r="C18" s="1545">
        <v>12</v>
      </c>
      <c r="D18" s="33">
        <v>1342545</v>
      </c>
      <c r="E18" s="2215" t="s">
        <v>1127</v>
      </c>
      <c r="F18" s="1543"/>
      <c r="G18" s="1543">
        <f t="shared" si="0"/>
        <v>11.023380952380952</v>
      </c>
      <c r="H18" s="1544">
        <f t="shared" si="1"/>
        <v>0.67127250000000005</v>
      </c>
      <c r="I18" s="1540"/>
      <c r="J18" s="1541">
        <f t="shared" si="2"/>
        <v>55.939375000000005</v>
      </c>
    </row>
    <row r="19" spans="2:10" x14ac:dyDescent="0.25">
      <c r="B19" s="16"/>
      <c r="C19" s="1545">
        <v>13</v>
      </c>
      <c r="D19" s="33">
        <v>1510756</v>
      </c>
      <c r="E19" s="2215" t="s">
        <v>1127</v>
      </c>
      <c r="F19" s="1543"/>
      <c r="G19" s="1543">
        <f t="shared" si="0"/>
        <v>9.4213714285714278</v>
      </c>
      <c r="H19" s="1544">
        <f t="shared" si="1"/>
        <v>0.75537799999999999</v>
      </c>
      <c r="I19" s="1540"/>
      <c r="J19" s="1541">
        <f t="shared" si="2"/>
        <v>62.948166666666673</v>
      </c>
    </row>
    <row r="20" spans="2:10" x14ac:dyDescent="0.25">
      <c r="B20" s="16"/>
      <c r="C20" s="1545">
        <v>14</v>
      </c>
      <c r="D20" s="33">
        <v>1686708</v>
      </c>
      <c r="E20" s="2215" t="s">
        <v>1127</v>
      </c>
      <c r="F20" s="1543"/>
      <c r="G20" s="1543">
        <f t="shared" si="0"/>
        <v>7.7456380952380943</v>
      </c>
      <c r="H20" s="1544">
        <f t="shared" si="1"/>
        <v>0.84335400000000005</v>
      </c>
      <c r="I20" s="1540"/>
      <c r="J20" s="1541">
        <f t="shared" si="2"/>
        <v>70.279499999999999</v>
      </c>
    </row>
    <row r="21" spans="2:10" x14ac:dyDescent="0.25">
      <c r="B21" s="16"/>
      <c r="C21" s="1545">
        <v>15</v>
      </c>
      <c r="D21" s="33">
        <v>1295890</v>
      </c>
      <c r="E21" s="2215" t="s">
        <v>1128</v>
      </c>
      <c r="F21" s="1543"/>
      <c r="G21" s="1543">
        <f t="shared" si="0"/>
        <v>11.467714285714285</v>
      </c>
      <c r="H21" s="1544">
        <f t="shared" si="1"/>
        <v>0.6479450000000001</v>
      </c>
      <c r="I21" s="1540"/>
      <c r="J21" s="1541">
        <f t="shared" si="2"/>
        <v>53.995416666666671</v>
      </c>
    </row>
    <row r="22" spans="2:10" x14ac:dyDescent="0.25">
      <c r="B22" s="16"/>
      <c r="C22" s="1545">
        <v>16</v>
      </c>
      <c r="D22" s="33">
        <v>1602726</v>
      </c>
      <c r="E22" s="2215" t="s">
        <v>1128</v>
      </c>
      <c r="F22" s="1543"/>
      <c r="G22" s="1543">
        <f t="shared" si="0"/>
        <v>8.5454666666666661</v>
      </c>
      <c r="H22" s="1544">
        <f t="shared" si="1"/>
        <v>0.80136300000000005</v>
      </c>
      <c r="I22" s="1540"/>
      <c r="J22" s="1541">
        <f t="shared" si="2"/>
        <v>66.780250000000009</v>
      </c>
    </row>
    <row r="23" spans="2:10" x14ac:dyDescent="0.25">
      <c r="B23" s="16"/>
      <c r="C23" s="1545">
        <v>17</v>
      </c>
      <c r="D23" s="33">
        <v>1503649</v>
      </c>
      <c r="E23" s="2215" t="s">
        <v>1128</v>
      </c>
      <c r="F23" s="1543"/>
      <c r="G23" s="1543">
        <f t="shared" si="0"/>
        <v>9.4890571428571437</v>
      </c>
      <c r="H23" s="1544">
        <f t="shared" si="1"/>
        <v>0.7518244999999999</v>
      </c>
      <c r="I23" s="1540"/>
      <c r="J23" s="1541">
        <f t="shared" si="2"/>
        <v>62.652041666666662</v>
      </c>
    </row>
    <row r="24" spans="2:10" x14ac:dyDescent="0.25">
      <c r="B24" s="16"/>
      <c r="C24" s="1546">
        <v>18</v>
      </c>
      <c r="D24" s="33">
        <v>1063220</v>
      </c>
      <c r="E24" s="2215" t="s">
        <v>1128</v>
      </c>
      <c r="F24" s="1543"/>
      <c r="G24" s="1543">
        <f t="shared" si="0"/>
        <v>13.683619047619047</v>
      </c>
      <c r="H24" s="1544">
        <f t="shared" si="1"/>
        <v>0.53161000000000003</v>
      </c>
      <c r="I24" s="1540"/>
      <c r="J24" s="1541">
        <f t="shared" si="2"/>
        <v>44.300833333333337</v>
      </c>
    </row>
    <row r="25" spans="2:10" x14ac:dyDescent="0.25">
      <c r="B25" s="16"/>
      <c r="C25" s="1546">
        <v>19</v>
      </c>
      <c r="D25" s="33">
        <v>1467754</v>
      </c>
      <c r="E25" s="2215" t="s">
        <v>1128</v>
      </c>
      <c r="F25" s="1543"/>
      <c r="G25" s="1543">
        <f t="shared" si="0"/>
        <v>9.8309142857142859</v>
      </c>
      <c r="H25" s="1544">
        <f t="shared" si="1"/>
        <v>0.733877</v>
      </c>
      <c r="I25" s="1540"/>
      <c r="J25" s="1541">
        <f t="shared" si="2"/>
        <v>61.156416666666665</v>
      </c>
    </row>
    <row r="26" spans="2:10" x14ac:dyDescent="0.25">
      <c r="B26" s="16"/>
      <c r="C26" s="1546">
        <v>20</v>
      </c>
      <c r="D26" s="33">
        <v>1222884</v>
      </c>
      <c r="E26" s="2215" t="s">
        <v>1128</v>
      </c>
      <c r="F26" s="1543"/>
      <c r="G26" s="1543">
        <f t="shared" si="0"/>
        <v>12.163009523809524</v>
      </c>
      <c r="H26" s="1544">
        <f t="shared" si="1"/>
        <v>0.61144200000000004</v>
      </c>
      <c r="I26" s="1540"/>
      <c r="J26" s="1541">
        <f t="shared" si="2"/>
        <v>50.953499999999998</v>
      </c>
    </row>
    <row r="27" spans="2:10" x14ac:dyDescent="0.25">
      <c r="B27" s="16"/>
      <c r="C27" s="1546">
        <v>21</v>
      </c>
      <c r="D27" s="33">
        <v>1739604</v>
      </c>
      <c r="E27" s="2215" t="s">
        <v>1128</v>
      </c>
      <c r="F27" s="1543"/>
      <c r="G27" s="1543">
        <f t="shared" si="0"/>
        <v>7.2418666666666667</v>
      </c>
      <c r="H27" s="1544">
        <f t="shared" si="1"/>
        <v>0.86980200000000008</v>
      </c>
      <c r="I27" s="1540"/>
      <c r="J27" s="1541">
        <f t="shared" si="2"/>
        <v>72.483500000000006</v>
      </c>
    </row>
    <row r="28" spans="2:10" x14ac:dyDescent="0.25">
      <c r="B28" s="16"/>
      <c r="C28" s="1546">
        <v>22</v>
      </c>
      <c r="D28" s="33">
        <v>1838477</v>
      </c>
      <c r="E28" s="2215" t="s">
        <v>1128</v>
      </c>
      <c r="F28" s="1543"/>
      <c r="G28" s="1543">
        <f t="shared" si="0"/>
        <v>6.3002190476190467</v>
      </c>
      <c r="H28" s="1544">
        <f t="shared" si="1"/>
        <v>0.91923850000000007</v>
      </c>
      <c r="I28" s="1540"/>
      <c r="J28" s="1541">
        <f t="shared" si="2"/>
        <v>76.603208333333342</v>
      </c>
    </row>
    <row r="29" spans="2:10" x14ac:dyDescent="0.25">
      <c r="B29" s="16"/>
      <c r="C29" s="1546">
        <v>23</v>
      </c>
      <c r="D29" s="33">
        <v>1823688</v>
      </c>
      <c r="E29" s="2215" t="s">
        <v>1128</v>
      </c>
      <c r="F29" s="1543"/>
      <c r="G29" s="1543">
        <f t="shared" si="0"/>
        <v>6.4410666666666661</v>
      </c>
      <c r="H29" s="1544">
        <f t="shared" si="1"/>
        <v>0.9118440000000001</v>
      </c>
      <c r="I29" s="1540"/>
      <c r="J29" s="1541">
        <f t="shared" si="2"/>
        <v>75.987000000000009</v>
      </c>
    </row>
    <row r="30" spans="2:10" x14ac:dyDescent="0.25">
      <c r="B30" s="16"/>
      <c r="C30" s="1546">
        <v>24</v>
      </c>
      <c r="D30" s="33">
        <v>1699317</v>
      </c>
      <c r="E30" s="2215" t="s">
        <v>1128</v>
      </c>
      <c r="F30" s="1543"/>
      <c r="G30" s="1543">
        <f t="shared" si="0"/>
        <v>7.6255523809523806</v>
      </c>
      <c r="H30" s="1544">
        <f t="shared" si="1"/>
        <v>0.84965849999999998</v>
      </c>
      <c r="I30" s="1540"/>
      <c r="J30" s="1541">
        <f t="shared" si="2"/>
        <v>70.804874999999996</v>
      </c>
    </row>
    <row r="31" spans="2:10" x14ac:dyDescent="0.25">
      <c r="B31" s="16"/>
      <c r="C31" s="1546">
        <v>25</v>
      </c>
      <c r="D31" s="33">
        <v>1057020</v>
      </c>
      <c r="E31" s="2215" t="s">
        <v>1128</v>
      </c>
      <c r="F31" s="1543"/>
      <c r="G31" s="1543">
        <f t="shared" si="0"/>
        <v>13.742666666666667</v>
      </c>
      <c r="H31" s="1544">
        <f t="shared" si="1"/>
        <v>0.52851000000000004</v>
      </c>
      <c r="I31" s="1540"/>
      <c r="J31" s="1541">
        <f t="shared" si="2"/>
        <v>44.042499999999997</v>
      </c>
    </row>
    <row r="32" spans="2:10" x14ac:dyDescent="0.25">
      <c r="B32" s="16"/>
      <c r="C32" s="1546">
        <v>26</v>
      </c>
      <c r="D32" s="33">
        <v>1291316</v>
      </c>
      <c r="E32" s="2215" t="s">
        <v>1128</v>
      </c>
      <c r="F32" s="1543"/>
      <c r="G32" s="1543">
        <f t="shared" si="0"/>
        <v>11.51127619047619</v>
      </c>
      <c r="H32" s="1544">
        <f t="shared" si="1"/>
        <v>0.64565800000000007</v>
      </c>
      <c r="I32" s="1540"/>
      <c r="J32" s="1541">
        <f t="shared" si="2"/>
        <v>53.804833333333335</v>
      </c>
    </row>
    <row r="33" spans="2:10" x14ac:dyDescent="0.25">
      <c r="B33" s="16"/>
      <c r="C33" s="1546">
        <v>27</v>
      </c>
      <c r="D33" s="33">
        <v>1017312</v>
      </c>
      <c r="E33" s="2215" t="s">
        <v>1128</v>
      </c>
      <c r="F33" s="1543"/>
      <c r="G33" s="1543">
        <f t="shared" si="0"/>
        <v>14.120838095238096</v>
      </c>
      <c r="H33" s="1544">
        <f t="shared" si="1"/>
        <v>0.508656</v>
      </c>
      <c r="I33" s="1540"/>
      <c r="J33" s="1541">
        <f t="shared" si="2"/>
        <v>42.387999999999998</v>
      </c>
    </row>
    <row r="34" spans="2:10" x14ac:dyDescent="0.25">
      <c r="B34" s="16"/>
      <c r="C34" s="1546">
        <v>28</v>
      </c>
      <c r="D34" s="33">
        <v>1249069</v>
      </c>
      <c r="E34" s="2215" t="s">
        <v>1128</v>
      </c>
      <c r="F34" s="1543"/>
      <c r="G34" s="1543">
        <f t="shared" si="0"/>
        <v>11.913628571428571</v>
      </c>
      <c r="H34" s="1544">
        <f t="shared" si="1"/>
        <v>0.62453449999999999</v>
      </c>
      <c r="I34" s="1540"/>
      <c r="J34" s="1541">
        <f t="shared" si="2"/>
        <v>52.044541666666667</v>
      </c>
    </row>
    <row r="35" spans="2:10" x14ac:dyDescent="0.25">
      <c r="B35" s="16"/>
      <c r="C35" s="1546">
        <v>29</v>
      </c>
      <c r="D35" s="33">
        <v>439675</v>
      </c>
      <c r="E35" s="2215" t="s">
        <v>1128</v>
      </c>
      <c r="F35" s="1569"/>
      <c r="G35" s="1543">
        <f t="shared" si="0"/>
        <v>19.622142857142855</v>
      </c>
      <c r="H35" s="1544">
        <f t="shared" si="1"/>
        <v>0.21983750000000002</v>
      </c>
      <c r="I35" s="1540"/>
      <c r="J35" s="1541">
        <f t="shared" si="2"/>
        <v>18.319791666666667</v>
      </c>
    </row>
    <row r="36" spans="2:10" x14ac:dyDescent="0.25">
      <c r="B36" s="16"/>
      <c r="C36" s="1547">
        <v>30</v>
      </c>
      <c r="D36" s="33">
        <v>644645</v>
      </c>
      <c r="E36" s="2215" t="s">
        <v>1128</v>
      </c>
      <c r="F36" s="1570"/>
      <c r="G36" s="1543">
        <f t="shared" si="0"/>
        <v>17.670047619047619</v>
      </c>
      <c r="H36" s="1544">
        <f t="shared" si="1"/>
        <v>0.32232250000000001</v>
      </c>
      <c r="I36" s="1540"/>
      <c r="J36" s="1541">
        <f t="shared" si="2"/>
        <v>26.860208333333333</v>
      </c>
    </row>
    <row r="37" spans="2:10" ht="15.75" thickBot="1" x14ac:dyDescent="0.3">
      <c r="B37" s="16"/>
      <c r="C37" s="1548">
        <v>31</v>
      </c>
      <c r="D37" s="33">
        <v>844552</v>
      </c>
      <c r="E37" s="2215" t="s">
        <v>1128</v>
      </c>
      <c r="F37" s="1549"/>
      <c r="G37" s="1550">
        <f t="shared" si="0"/>
        <v>15.766171428571427</v>
      </c>
      <c r="H37" s="1544">
        <f t="shared" si="1"/>
        <v>0.42227599999999998</v>
      </c>
      <c r="I37" s="1540"/>
      <c r="J37" s="1541">
        <f t="shared" si="2"/>
        <v>35.189666666666668</v>
      </c>
    </row>
    <row r="38" spans="2:10" ht="17.25" thickTop="1" thickBot="1" x14ac:dyDescent="0.3">
      <c r="B38" s="16"/>
      <c r="C38" s="1533" t="s">
        <v>158</v>
      </c>
      <c r="D38" s="1571">
        <f>SUM(D7:D37)</f>
        <v>31763356</v>
      </c>
      <c r="E38" s="1572"/>
      <c r="F38" s="1553">
        <f>SUM(F7:F36)</f>
        <v>0</v>
      </c>
      <c r="G38" s="1554">
        <f>SUM(G7:G37)</f>
        <v>435.58708571428576</v>
      </c>
      <c r="H38" s="1553"/>
      <c r="I38" s="1555"/>
      <c r="J38" s="1556">
        <f>AVERAGE(J7:J37)</f>
        <v>42.692682795698914</v>
      </c>
    </row>
    <row r="39" spans="2:10" ht="15.75" thickTop="1" x14ac:dyDescent="0.25">
      <c r="C39" s="1557"/>
      <c r="D39" s="1558"/>
      <c r="E39" s="1559"/>
      <c r="F39" s="1"/>
      <c r="G39" s="1"/>
      <c r="H39" s="1"/>
      <c r="I39" s="1"/>
      <c r="J39" s="1"/>
    </row>
    <row r="40" spans="2:10" x14ac:dyDescent="0.25">
      <c r="B40" s="16"/>
      <c r="C40" s="16"/>
      <c r="D40" s="1560" t="s">
        <v>829</v>
      </c>
      <c r="E40" s="16"/>
      <c r="F40" s="16"/>
      <c r="G40" s="16"/>
      <c r="H40" s="16"/>
      <c r="I40" s="16"/>
      <c r="J40" s="16"/>
    </row>
    <row r="41" spans="2:10" x14ac:dyDescent="0.25">
      <c r="B41" s="16"/>
      <c r="C41" s="16"/>
      <c r="D41" s="16" t="s">
        <v>830</v>
      </c>
      <c r="E41" s="16"/>
      <c r="F41" s="1541">
        <v>0</v>
      </c>
      <c r="G41" s="16" t="s">
        <v>831</v>
      </c>
      <c r="H41" s="16"/>
      <c r="I41" s="16"/>
      <c r="J41" s="16"/>
    </row>
    <row r="42" spans="2:10" hidden="1" x14ac:dyDescent="0.25">
      <c r="B42" s="16"/>
      <c r="C42" s="16"/>
      <c r="D42" s="16" t="s">
        <v>832</v>
      </c>
      <c r="E42" s="16"/>
      <c r="F42" s="1541">
        <v>0</v>
      </c>
      <c r="G42" s="16" t="s">
        <v>831</v>
      </c>
      <c r="H42" s="16"/>
      <c r="I42" s="16"/>
      <c r="J42" s="16"/>
    </row>
    <row r="43" spans="2:10" x14ac:dyDescent="0.25">
      <c r="B43" s="16"/>
      <c r="C43" s="16"/>
      <c r="D43" s="16" t="s">
        <v>1129</v>
      </c>
      <c r="E43" s="16"/>
      <c r="F43" s="1541">
        <f>SUM(G14,G15,G16,G17,G18,G19,G20)</f>
        <v>73.761761904761912</v>
      </c>
      <c r="G43" s="16" t="s">
        <v>831</v>
      </c>
      <c r="H43" s="16"/>
      <c r="I43" s="16"/>
      <c r="J43" s="16"/>
    </row>
    <row r="44" spans="2:10" x14ac:dyDescent="0.25">
      <c r="B44" s="16"/>
      <c r="C44" s="16"/>
      <c r="D44" s="16" t="s">
        <v>1130</v>
      </c>
      <c r="E44" s="16"/>
      <c r="F44" s="1562">
        <v>0</v>
      </c>
      <c r="G44" s="16" t="s">
        <v>831</v>
      </c>
      <c r="H44" s="16"/>
      <c r="I44" s="16"/>
      <c r="J44" s="16"/>
    </row>
    <row r="45" spans="2:10" x14ac:dyDescent="0.25">
      <c r="B45" s="16"/>
      <c r="C45" s="16"/>
      <c r="D45" s="16" t="s">
        <v>1131</v>
      </c>
      <c r="E45" s="16"/>
      <c r="F45" s="1562">
        <f>SUM(G13)</f>
        <v>21.832923809523809</v>
      </c>
      <c r="G45" s="16" t="s">
        <v>831</v>
      </c>
      <c r="H45" s="16"/>
      <c r="I45" s="16"/>
      <c r="J45" s="16"/>
    </row>
    <row r="46" spans="2:10" x14ac:dyDescent="0.25">
      <c r="B46" s="16"/>
      <c r="C46" s="16"/>
      <c r="D46" s="16" t="s">
        <v>1132</v>
      </c>
      <c r="E46" s="16"/>
      <c r="F46" s="1562">
        <v>0</v>
      </c>
      <c r="G46" s="16" t="s">
        <v>831</v>
      </c>
      <c r="H46" s="16"/>
      <c r="I46" s="16"/>
      <c r="J46" s="16"/>
    </row>
    <row r="47" spans="2:10" hidden="1" x14ac:dyDescent="0.25">
      <c r="B47" s="16"/>
      <c r="C47" s="16"/>
      <c r="D47" s="16" t="s">
        <v>836</v>
      </c>
      <c r="E47" s="16"/>
      <c r="F47" s="1562">
        <v>0</v>
      </c>
      <c r="G47" s="16" t="s">
        <v>831</v>
      </c>
      <c r="H47" s="16"/>
      <c r="I47" s="16"/>
      <c r="J47" s="16"/>
    </row>
    <row r="48" spans="2:10" x14ac:dyDescent="0.25">
      <c r="B48" s="16"/>
      <c r="C48" s="16"/>
      <c r="D48" s="16" t="s">
        <v>1133</v>
      </c>
      <c r="E48" s="16"/>
      <c r="F48" s="1562">
        <f>SUM(G21,G22,G23,G24,G25,G26,G27,G28,G29,G30,G31,G32,G33,G34,G35,G36,G37)</f>
        <v>197.13525714285714</v>
      </c>
      <c r="G48" s="16" t="s">
        <v>831</v>
      </c>
      <c r="H48" s="16"/>
      <c r="I48" s="16"/>
      <c r="J48" s="16"/>
    </row>
    <row r="49" spans="2:10" hidden="1" x14ac:dyDescent="0.25">
      <c r="B49" s="16"/>
      <c r="C49" s="16"/>
      <c r="D49" s="16" t="s">
        <v>838</v>
      </c>
      <c r="E49" s="16"/>
      <c r="F49" s="1562">
        <v>0</v>
      </c>
      <c r="G49" s="16" t="s">
        <v>831</v>
      </c>
      <c r="H49" s="16"/>
      <c r="I49" s="16"/>
      <c r="J49" s="16"/>
    </row>
    <row r="50" spans="2:10" x14ac:dyDescent="0.25">
      <c r="B50" s="16"/>
      <c r="C50" s="16"/>
      <c r="D50" s="1531" t="s">
        <v>1134</v>
      </c>
      <c r="E50" s="16"/>
      <c r="F50" s="1562">
        <v>0</v>
      </c>
      <c r="G50" s="16" t="s">
        <v>831</v>
      </c>
      <c r="H50" s="16"/>
      <c r="I50" s="16"/>
      <c r="J50" s="16"/>
    </row>
    <row r="51" spans="2:10" x14ac:dyDescent="0.25">
      <c r="B51" s="16"/>
      <c r="C51" s="16"/>
      <c r="D51" s="1531" t="s">
        <v>1135</v>
      </c>
      <c r="E51" s="16"/>
      <c r="F51" s="1562">
        <f>SUM(G7,G8,G9,G10,G11,G12)</f>
        <v>142.85714285714286</v>
      </c>
      <c r="G51" s="16" t="s">
        <v>831</v>
      </c>
      <c r="H51" s="16"/>
      <c r="I51" s="16"/>
      <c r="J51" s="16"/>
    </row>
    <row r="52" spans="2:10" hidden="1" x14ac:dyDescent="0.25">
      <c r="B52" s="16"/>
      <c r="C52" s="16"/>
      <c r="D52" s="1531" t="s">
        <v>841</v>
      </c>
      <c r="E52" s="16"/>
      <c r="F52" s="1562">
        <v>0</v>
      </c>
      <c r="G52" s="16" t="s">
        <v>831</v>
      </c>
      <c r="H52" s="16"/>
      <c r="I52" s="16"/>
      <c r="J52" s="16"/>
    </row>
    <row r="53" spans="2:10" hidden="1" x14ac:dyDescent="0.25">
      <c r="B53" s="16"/>
      <c r="C53" s="16"/>
      <c r="D53" s="1531" t="s">
        <v>1136</v>
      </c>
      <c r="E53" s="16"/>
      <c r="F53" s="1562">
        <v>0</v>
      </c>
      <c r="G53" s="16" t="s">
        <v>831</v>
      </c>
      <c r="H53" s="16"/>
      <c r="I53" s="16"/>
      <c r="J53" s="16"/>
    </row>
    <row r="54" spans="2:10" hidden="1" x14ac:dyDescent="0.25">
      <c r="B54" s="16"/>
      <c r="C54" s="16"/>
      <c r="D54" s="1531" t="s">
        <v>842</v>
      </c>
      <c r="E54" s="16"/>
      <c r="F54" s="1562">
        <v>0</v>
      </c>
      <c r="G54" s="16" t="s">
        <v>831</v>
      </c>
      <c r="H54" s="16"/>
      <c r="I54" s="16"/>
      <c r="J54" s="16"/>
    </row>
    <row r="55" spans="2:10" x14ac:dyDescent="0.25">
      <c r="B55" s="1"/>
      <c r="C55" s="1"/>
      <c r="D55" s="2434" t="s">
        <v>1</v>
      </c>
      <c r="E55" s="2434"/>
      <c r="F55" s="1563">
        <f>SUM(F41:F54)</f>
        <v>435.58708571428576</v>
      </c>
      <c r="G55" s="2" t="s">
        <v>831</v>
      </c>
      <c r="H55" s="2"/>
      <c r="I55" s="2"/>
      <c r="J55" s="2"/>
    </row>
    <row r="56" spans="2:10" x14ac:dyDescent="0.25">
      <c r="B56" s="1"/>
      <c r="C56" s="1"/>
      <c r="D56" s="2423" t="s">
        <v>1125</v>
      </c>
      <c r="E56" s="2423"/>
      <c r="F56" s="1"/>
      <c r="G56" s="1"/>
      <c r="H56" s="1"/>
      <c r="I56" s="1"/>
      <c r="J56" s="1"/>
    </row>
    <row r="64" spans="2:10" x14ac:dyDescent="0.25">
      <c r="B64" s="2379" t="s">
        <v>766</v>
      </c>
      <c r="C64" s="2379"/>
      <c r="D64" s="2379"/>
      <c r="E64" s="1192" t="s">
        <v>767</v>
      </c>
      <c r="F64" s="1297"/>
      <c r="G64" s="1192" t="s">
        <v>768</v>
      </c>
      <c r="H64" s="1297"/>
    </row>
    <row r="65" spans="2:8" x14ac:dyDescent="0.25">
      <c r="B65" s="1189"/>
      <c r="C65" s="1299"/>
      <c r="D65" s="1299"/>
      <c r="E65" s="1299"/>
      <c r="F65" s="1299"/>
      <c r="G65" s="1189"/>
      <c r="H65" s="1299"/>
    </row>
    <row r="66" spans="2:8" x14ac:dyDescent="0.25">
      <c r="B66" s="1189"/>
      <c r="C66" s="1299"/>
      <c r="D66" s="1299"/>
      <c r="E66" s="1299"/>
      <c r="F66" s="1299"/>
      <c r="G66" s="1189"/>
      <c r="H66" s="1299"/>
    </row>
    <row r="67" spans="2:8" x14ac:dyDescent="0.25">
      <c r="B67" s="1189"/>
      <c r="C67" s="1299"/>
      <c r="D67" s="1299"/>
      <c r="E67" s="1299"/>
      <c r="F67" s="1299"/>
      <c r="G67" s="1189"/>
      <c r="H67" s="1299"/>
    </row>
    <row r="68" spans="2:8" x14ac:dyDescent="0.25">
      <c r="B68" s="2389" t="s">
        <v>1138</v>
      </c>
      <c r="C68" s="2389"/>
      <c r="D68" s="2389"/>
      <c r="E68" s="1301" t="s">
        <v>769</v>
      </c>
      <c r="F68" s="1302"/>
      <c r="G68" s="1301" t="s">
        <v>770</v>
      </c>
      <c r="H68" s="1302"/>
    </row>
    <row r="69" spans="2:8" x14ac:dyDescent="0.25">
      <c r="B69" s="2390" t="s">
        <v>772</v>
      </c>
      <c r="C69" s="2390"/>
      <c r="D69" s="2390"/>
      <c r="E69" s="1299" t="s">
        <v>773</v>
      </c>
      <c r="F69" s="1304"/>
      <c r="G69" s="1299" t="s">
        <v>774</v>
      </c>
      <c r="H69" s="1304"/>
    </row>
  </sheetData>
  <mergeCells count="10">
    <mergeCell ref="B64:D64"/>
    <mergeCell ref="B68:D68"/>
    <mergeCell ref="B69:D69"/>
    <mergeCell ref="C2:G2"/>
    <mergeCell ref="C5:C6"/>
    <mergeCell ref="D5:D6"/>
    <mergeCell ref="E5:E6"/>
    <mergeCell ref="F5:H5"/>
    <mergeCell ref="D55:E55"/>
    <mergeCell ref="D56:E56"/>
  </mergeCells>
  <pageMargins left="0.7" right="0.7" top="0.75" bottom="0.75" header="0.3" footer="0.3"/>
  <pageSetup scale="7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J11" sqref="J11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3" width="17.42578125" style="914" bestFit="1" customWidth="1"/>
    <col min="4" max="4" width="13.5703125" style="914" customWidth="1"/>
    <col min="5" max="5" width="22" style="914" customWidth="1"/>
    <col min="6" max="6" width="10" style="914" customWidth="1"/>
    <col min="7" max="7" width="16.42578125" style="914" customWidth="1"/>
    <col min="8" max="8" width="17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13" ht="20.85" customHeight="1" x14ac:dyDescent="0.25">
      <c r="B2" s="1075" t="s">
        <v>560</v>
      </c>
      <c r="C2" s="1076"/>
      <c r="E2" s="1076"/>
      <c r="F2" s="1076"/>
      <c r="G2" s="914" t="s">
        <v>561</v>
      </c>
      <c r="H2" s="1182">
        <v>16000</v>
      </c>
    </row>
    <row r="3" spans="2:13" ht="23.85" customHeight="1" x14ac:dyDescent="0.25">
      <c r="B3" s="1077" t="s">
        <v>383</v>
      </c>
      <c r="C3" s="2435" t="s">
        <v>219</v>
      </c>
      <c r="D3" s="2436"/>
      <c r="E3" s="1078" t="s">
        <v>562</v>
      </c>
      <c r="F3" s="2437" t="s">
        <v>563</v>
      </c>
      <c r="G3" s="2438"/>
      <c r="H3" s="1079" t="s">
        <v>564</v>
      </c>
    </row>
    <row r="4" spans="2:13" ht="21" customHeight="1" x14ac:dyDescent="0.25">
      <c r="B4" s="1080" t="s">
        <v>565</v>
      </c>
      <c r="C4" s="1081">
        <f>408/24</f>
        <v>17</v>
      </c>
      <c r="D4" s="1082" t="s">
        <v>566</v>
      </c>
      <c r="E4" s="1187">
        <f>'JULI 2025'!AM249</f>
        <v>3165.7069999999999</v>
      </c>
      <c r="F4" s="2439"/>
      <c r="G4" s="2440"/>
      <c r="H4" s="1083" t="s">
        <v>271</v>
      </c>
    </row>
    <row r="5" spans="2:13" x14ac:dyDescent="0.25">
      <c r="B5" s="1084" t="s">
        <v>567</v>
      </c>
      <c r="C5" s="1085">
        <v>1000</v>
      </c>
      <c r="D5" s="1086" t="s">
        <v>241</v>
      </c>
      <c r="E5" s="1087">
        <f>'JULI 2025'!$AM$240</f>
        <v>983.52649599999995</v>
      </c>
      <c r="F5" s="1088">
        <v>11.5</v>
      </c>
      <c r="G5" s="1086" t="s">
        <v>568</v>
      </c>
      <c r="H5" s="1089">
        <f>E5*H2*F5</f>
        <v>180968875.264</v>
      </c>
      <c r="I5" s="1090" t="s">
        <v>569</v>
      </c>
      <c r="J5" s="1090"/>
    </row>
    <row r="6" spans="2:13" x14ac:dyDescent="0.25">
      <c r="B6" s="1091" t="s">
        <v>570</v>
      </c>
      <c r="C6" s="1092"/>
      <c r="D6" s="1093"/>
      <c r="E6" s="1094"/>
      <c r="F6" s="1092"/>
      <c r="G6" s="1093"/>
      <c r="H6" s="1095"/>
    </row>
    <row r="7" spans="2:13" x14ac:dyDescent="0.25">
      <c r="B7" s="1096" t="s">
        <v>571</v>
      </c>
      <c r="C7" s="1097">
        <v>7.3</v>
      </c>
      <c r="D7" s="1093" t="s">
        <v>572</v>
      </c>
      <c r="E7" s="1098">
        <f t="shared" ref="E7:E12" si="0">C7</f>
        <v>7.3</v>
      </c>
      <c r="F7" s="1092">
        <v>25340</v>
      </c>
      <c r="G7" s="1093" t="s">
        <v>573</v>
      </c>
      <c r="H7" s="1095">
        <f t="shared" ref="H7:H12" si="1">E7*F7</f>
        <v>184982</v>
      </c>
      <c r="K7" s="1099"/>
    </row>
    <row r="8" spans="2:13" x14ac:dyDescent="0.25">
      <c r="B8" s="1096" t="s">
        <v>574</v>
      </c>
      <c r="C8" s="1097">
        <v>2.4</v>
      </c>
      <c r="D8" s="1093" t="s">
        <v>572</v>
      </c>
      <c r="E8" s="1098">
        <f t="shared" si="0"/>
        <v>2.4</v>
      </c>
      <c r="F8" s="1092">
        <v>110000</v>
      </c>
      <c r="G8" s="1093" t="s">
        <v>573</v>
      </c>
      <c r="H8" s="1095">
        <f t="shared" si="1"/>
        <v>264000</v>
      </c>
      <c r="K8" s="1099"/>
    </row>
    <row r="9" spans="2:13" x14ac:dyDescent="0.25">
      <c r="B9" s="1096" t="s">
        <v>575</v>
      </c>
      <c r="C9" s="1097">
        <v>2.4</v>
      </c>
      <c r="D9" s="1093" t="s">
        <v>572</v>
      </c>
      <c r="E9" s="1098">
        <f t="shared" si="0"/>
        <v>2.4</v>
      </c>
      <c r="F9" s="1092">
        <v>20160</v>
      </c>
      <c r="G9" s="1093" t="s">
        <v>573</v>
      </c>
      <c r="H9" s="1095">
        <f t="shared" si="1"/>
        <v>48384</v>
      </c>
      <c r="K9" s="1099"/>
    </row>
    <row r="10" spans="2:13" x14ac:dyDescent="0.25">
      <c r="B10" s="1096" t="s">
        <v>576</v>
      </c>
      <c r="C10" s="1097">
        <v>5.8</v>
      </c>
      <c r="D10" s="1093" t="s">
        <v>572</v>
      </c>
      <c r="E10" s="1098">
        <f t="shared" si="0"/>
        <v>5.8</v>
      </c>
      <c r="F10" s="1092">
        <v>31800</v>
      </c>
      <c r="G10" s="1093" t="s">
        <v>573</v>
      </c>
      <c r="H10" s="1095">
        <f t="shared" si="1"/>
        <v>184440</v>
      </c>
      <c r="K10" s="1099"/>
    </row>
    <row r="11" spans="2:13" x14ac:dyDescent="0.25">
      <c r="B11" s="1096" t="s">
        <v>577</v>
      </c>
      <c r="C11" s="1097">
        <v>1.4</v>
      </c>
      <c r="D11" s="1093" t="s">
        <v>572</v>
      </c>
      <c r="E11" s="1098">
        <f t="shared" si="0"/>
        <v>1.4</v>
      </c>
      <c r="F11" s="1092">
        <v>39320</v>
      </c>
      <c r="G11" s="1093" t="s">
        <v>573</v>
      </c>
      <c r="H11" s="1095">
        <f>E11*F11</f>
        <v>55048</v>
      </c>
      <c r="K11" s="1099"/>
    </row>
    <row r="12" spans="2:13" x14ac:dyDescent="0.25">
      <c r="B12" s="1091" t="s">
        <v>578</v>
      </c>
      <c r="C12" s="1100">
        <f>[4]L.Water!C12*83%</f>
        <v>408.01969999999994</v>
      </c>
      <c r="D12" s="1093" t="s">
        <v>254</v>
      </c>
      <c r="E12" s="1094">
        <f t="shared" si="0"/>
        <v>408.01969999999994</v>
      </c>
      <c r="F12" s="1092">
        <f>[4]L.Water!F12</f>
        <v>10162</v>
      </c>
      <c r="G12" s="1093" t="s">
        <v>579</v>
      </c>
      <c r="H12" s="1095">
        <f t="shared" si="1"/>
        <v>4146296.1913999994</v>
      </c>
      <c r="K12" s="1099"/>
    </row>
    <row r="13" spans="2:13" x14ac:dyDescent="0.25">
      <c r="B13" s="1091" t="s">
        <v>580</v>
      </c>
      <c r="C13" s="1092"/>
      <c r="D13" s="1093" t="s">
        <v>271</v>
      </c>
      <c r="E13" s="1094"/>
      <c r="F13" s="1092"/>
      <c r="G13" s="1093"/>
      <c r="H13" s="1095">
        <f>C13</f>
        <v>0</v>
      </c>
      <c r="J13" s="1090"/>
    </row>
    <row r="14" spans="2:13" x14ac:dyDescent="0.25">
      <c r="B14" s="1101" t="s">
        <v>581</v>
      </c>
      <c r="C14" s="1102"/>
      <c r="D14" s="1103"/>
      <c r="E14" s="1102"/>
      <c r="F14" s="1102"/>
      <c r="G14" s="1103"/>
      <c r="H14" s="1104">
        <f>SUM(H5:H13)</f>
        <v>185852025.45539999</v>
      </c>
    </row>
    <row r="15" spans="2:13" ht="21" customHeight="1" x14ac:dyDescent="0.25">
      <c r="C15" s="1076"/>
      <c r="E15" s="1076"/>
      <c r="F15" s="2441" t="s">
        <v>582</v>
      </c>
      <c r="G15" s="2442"/>
      <c r="H15" s="1105">
        <f>H14/E4</f>
        <v>58707.904886775686</v>
      </c>
    </row>
    <row r="16" spans="2:13" x14ac:dyDescent="0.25">
      <c r="M16" s="1099"/>
    </row>
    <row r="17" spans="2:41" x14ac:dyDescent="0.25">
      <c r="B17" s="914" t="s">
        <v>583</v>
      </c>
      <c r="M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  <c r="AB17" s="1099"/>
      <c r="AC17" s="1099"/>
      <c r="AD17" s="1099"/>
      <c r="AE17" s="1099"/>
      <c r="AF17" s="1099"/>
      <c r="AG17" s="1099"/>
      <c r="AH17" s="1099"/>
      <c r="AI17" s="1099"/>
      <c r="AJ17" s="1099"/>
      <c r="AK17" s="1099"/>
      <c r="AL17" s="1099"/>
      <c r="AM17" s="1099"/>
      <c r="AN17" s="1099"/>
      <c r="AO17" s="1099"/>
    </row>
    <row r="18" spans="2:41" x14ac:dyDescent="0.25">
      <c r="B18" s="914" t="s">
        <v>584</v>
      </c>
      <c r="M18" s="1099"/>
      <c r="O18" s="1099"/>
      <c r="P18" s="1099"/>
      <c r="Q18" s="1099"/>
      <c r="R18" s="1099"/>
      <c r="S18" s="1099"/>
      <c r="T18" s="1099"/>
      <c r="U18" s="1099"/>
      <c r="V18" s="1099"/>
      <c r="W18" s="1099"/>
      <c r="X18" s="1099"/>
      <c r="Y18" s="1099"/>
      <c r="Z18" s="1099"/>
      <c r="AA18" s="1099"/>
      <c r="AB18" s="1099"/>
      <c r="AC18" s="1099"/>
      <c r="AD18" s="1099"/>
      <c r="AE18" s="1099"/>
      <c r="AF18" s="1099"/>
      <c r="AG18" s="1099"/>
      <c r="AH18" s="1099"/>
      <c r="AI18" s="1099"/>
      <c r="AJ18" s="1099"/>
      <c r="AK18" s="1099"/>
      <c r="AL18" s="1099"/>
      <c r="AM18" s="1099"/>
      <c r="AN18" s="1099"/>
      <c r="AO18" s="1099"/>
    </row>
    <row r="19" spans="2:41" x14ac:dyDescent="0.25">
      <c r="M19" s="1099"/>
      <c r="N19" s="1099"/>
    </row>
    <row r="20" spans="2:41" x14ac:dyDescent="0.25">
      <c r="M20" s="1099"/>
      <c r="N20" s="1099"/>
    </row>
    <row r="21" spans="2:41" x14ac:dyDescent="0.25">
      <c r="M21" s="1099"/>
    </row>
    <row r="22" spans="2:41" x14ac:dyDescent="0.25">
      <c r="M22" s="1099"/>
    </row>
    <row r="26" spans="2:41" x14ac:dyDescent="0.25">
      <c r="C26" s="914" t="s">
        <v>585</v>
      </c>
    </row>
    <row r="29" spans="2:41" x14ac:dyDescent="0.25">
      <c r="AB29" s="1099"/>
      <c r="AC29" s="1099"/>
      <c r="AD29" s="1099"/>
      <c r="AE29" s="1099"/>
      <c r="AF29" s="1099"/>
      <c r="AG29" s="1099"/>
      <c r="AH29" s="1099"/>
      <c r="AI29" s="1099"/>
      <c r="AJ29" s="1099"/>
      <c r="AK29" s="1099"/>
      <c r="AL29" s="1099"/>
      <c r="AM29" s="1099"/>
      <c r="AN29" s="1099"/>
      <c r="AO29" s="1106"/>
    </row>
    <row r="30" spans="2:41" x14ac:dyDescent="0.25">
      <c r="AB30" s="1099"/>
      <c r="AC30" s="1099"/>
      <c r="AD30" s="1099"/>
      <c r="AE30" s="1099"/>
      <c r="AF30" s="1099"/>
      <c r="AG30" s="1099"/>
      <c r="AH30" s="1099"/>
      <c r="AI30" s="1099"/>
      <c r="AJ30" s="1099"/>
      <c r="AK30" s="1099"/>
      <c r="AL30" s="1099"/>
      <c r="AM30" s="1099"/>
      <c r="AN30" s="1099"/>
      <c r="AO30" s="1106"/>
    </row>
    <row r="31" spans="2:41" x14ac:dyDescent="0.25">
      <c r="AB31" s="1099"/>
      <c r="AC31" s="1099"/>
      <c r="AD31" s="1099"/>
      <c r="AE31" s="1099"/>
      <c r="AF31" s="1099"/>
      <c r="AG31" s="1099"/>
      <c r="AH31" s="1099"/>
      <c r="AI31" s="1099"/>
      <c r="AJ31" s="1099"/>
      <c r="AK31" s="1099"/>
      <c r="AL31" s="1099"/>
      <c r="AM31" s="1099"/>
      <c r="AN31" s="1099"/>
      <c r="AO31" s="1106"/>
    </row>
    <row r="32" spans="2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41" spans="28:41" x14ac:dyDescent="0.25">
      <c r="AB41" s="1099"/>
      <c r="AC41" s="1099"/>
      <c r="AD41" s="1099"/>
      <c r="AE41" s="1099"/>
      <c r="AF41" s="1099"/>
      <c r="AG41" s="1099"/>
      <c r="AH41" s="1099"/>
      <c r="AI41" s="1099"/>
      <c r="AJ41" s="1099"/>
      <c r="AK41" s="1099"/>
      <c r="AL41" s="1099"/>
      <c r="AM41" s="1099"/>
      <c r="AN41" s="1099"/>
      <c r="AO41" s="1106"/>
    </row>
    <row r="119" spans="29:42" x14ac:dyDescent="0.25">
      <c r="AC119" s="1099"/>
      <c r="AD119" s="1099"/>
      <c r="AE119" s="1099"/>
      <c r="AF119" s="1099"/>
      <c r="AG119" s="1099"/>
      <c r="AH119" s="1099"/>
      <c r="AI119" s="1099"/>
      <c r="AJ119" s="1099"/>
      <c r="AK119" s="1099"/>
      <c r="AL119" s="1099"/>
      <c r="AM119" s="1099"/>
      <c r="AN119" s="1099"/>
      <c r="AO119" s="1099"/>
      <c r="AP119" s="1106"/>
    </row>
    <row r="120" spans="29:42" x14ac:dyDescent="0.25">
      <c r="AC120" s="1099"/>
      <c r="AD120" s="1099"/>
      <c r="AE120" s="1099"/>
      <c r="AF120" s="1099"/>
      <c r="AG120" s="1099"/>
      <c r="AH120" s="1099"/>
      <c r="AI120" s="1099"/>
      <c r="AJ120" s="1099"/>
      <c r="AK120" s="1099"/>
      <c r="AL120" s="1099"/>
      <c r="AM120" s="1099"/>
      <c r="AN120" s="1099"/>
      <c r="AO120" s="1099"/>
      <c r="AP120" s="1106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E4" sqref="E4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4" width="13.5703125" style="914" customWidth="1"/>
    <col min="5" max="5" width="21" style="914" customWidth="1"/>
    <col min="6" max="6" width="10" style="914" customWidth="1"/>
    <col min="7" max="7" width="16.42578125" style="914" customWidth="1"/>
    <col min="8" max="8" width="19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10" ht="20.85" customHeight="1" x14ac:dyDescent="0.25">
      <c r="B2" s="1107" t="s">
        <v>586</v>
      </c>
      <c r="C2" s="1076"/>
      <c r="E2" s="1076"/>
      <c r="F2" s="1076"/>
      <c r="G2" s="914" t="s">
        <v>561</v>
      </c>
      <c r="H2" s="1182">
        <f>'SUMMARY HPP '!I9</f>
        <v>16000</v>
      </c>
    </row>
    <row r="3" spans="2:10" x14ac:dyDescent="0.25">
      <c r="B3" s="1077" t="s">
        <v>383</v>
      </c>
      <c r="C3" s="2435" t="s">
        <v>219</v>
      </c>
      <c r="D3" s="2436"/>
      <c r="E3" s="1078" t="s">
        <v>587</v>
      </c>
      <c r="F3" s="2437" t="s">
        <v>563</v>
      </c>
      <c r="G3" s="2438"/>
      <c r="H3" s="1079" t="s">
        <v>564</v>
      </c>
    </row>
    <row r="4" spans="2:10" x14ac:dyDescent="0.25">
      <c r="B4" s="1080" t="s">
        <v>588</v>
      </c>
      <c r="C4" s="1081">
        <f>200/24</f>
        <v>8.3333333333333339</v>
      </c>
      <c r="D4" s="1082" t="s">
        <v>589</v>
      </c>
      <c r="E4" s="1187">
        <f>'JULI 2025'!AM268</f>
        <v>213.48</v>
      </c>
      <c r="F4" s="2443"/>
      <c r="G4" s="2444"/>
      <c r="H4" s="1079" t="s">
        <v>271</v>
      </c>
    </row>
    <row r="5" spans="2:10" s="1114" customFormat="1" x14ac:dyDescent="0.25">
      <c r="B5" s="1109" t="s">
        <v>590</v>
      </c>
      <c r="C5" s="1110"/>
      <c r="D5" s="1111"/>
      <c r="E5" s="1112"/>
      <c r="F5" s="1092">
        <v>0</v>
      </c>
      <c r="G5" s="1113" t="s">
        <v>579</v>
      </c>
      <c r="H5" s="1095">
        <v>8700</v>
      </c>
    </row>
    <row r="6" spans="2:10" x14ac:dyDescent="0.25">
      <c r="B6" s="1091" t="s">
        <v>570</v>
      </c>
      <c r="C6" s="1092"/>
      <c r="D6" s="1093"/>
      <c r="E6" s="1094"/>
      <c r="F6" s="1092"/>
      <c r="G6" s="1093"/>
      <c r="H6" s="1095"/>
    </row>
    <row r="7" spans="2:10" x14ac:dyDescent="0.25">
      <c r="B7" s="1096" t="s">
        <v>591</v>
      </c>
      <c r="C7" s="1097">
        <v>0</v>
      </c>
      <c r="D7" s="1093" t="s">
        <v>237</v>
      </c>
      <c r="E7" s="1098">
        <f>C7</f>
        <v>0</v>
      </c>
      <c r="F7" s="1092">
        <v>24890</v>
      </c>
      <c r="G7" s="1093" t="s">
        <v>592</v>
      </c>
      <c r="H7" s="1095">
        <f t="shared" ref="H7:H15" si="0">E7*F7</f>
        <v>0</v>
      </c>
    </row>
    <row r="8" spans="2:10" x14ac:dyDescent="0.25">
      <c r="B8" s="1096" t="s">
        <v>593</v>
      </c>
      <c r="C8" s="1097">
        <f>E8*C4</f>
        <v>0.62305295950155759</v>
      </c>
      <c r="D8" s="1093" t="s">
        <v>237</v>
      </c>
      <c r="E8" s="1098">
        <v>7.476635514018691E-2</v>
      </c>
      <c r="F8" s="1092">
        <v>65340</v>
      </c>
      <c r="G8" s="1093" t="s">
        <v>592</v>
      </c>
      <c r="H8" s="1095">
        <f>E8*F8</f>
        <v>4885.2336448598126</v>
      </c>
    </row>
    <row r="9" spans="2:10" x14ac:dyDescent="0.25">
      <c r="B9" s="1096" t="s">
        <v>594</v>
      </c>
      <c r="C9" s="1097">
        <f>E9*C4</f>
        <v>46.728971962616825</v>
      </c>
      <c r="D9" s="1093" t="s">
        <v>237</v>
      </c>
      <c r="E9" s="1098">
        <v>5.6074766355140184</v>
      </c>
      <c r="F9" s="1092">
        <v>7702</v>
      </c>
      <c r="G9" s="1093" t="s">
        <v>592</v>
      </c>
      <c r="H9" s="1095">
        <f>E9*F9</f>
        <v>43188.785046728968</v>
      </c>
    </row>
    <row r="10" spans="2:10" x14ac:dyDescent="0.25">
      <c r="B10" s="1096" t="s">
        <v>595</v>
      </c>
      <c r="C10" s="1097">
        <f>E10*C4</f>
        <v>6.230529595015577</v>
      </c>
      <c r="D10" s="1093" t="s">
        <v>237</v>
      </c>
      <c r="E10" s="1098">
        <v>0.74766355140186924</v>
      </c>
      <c r="F10" s="1092">
        <v>18634</v>
      </c>
      <c r="G10" s="1093" t="s">
        <v>592</v>
      </c>
      <c r="H10" s="1095">
        <f>E10*F10</f>
        <v>13931.962616822431</v>
      </c>
    </row>
    <row r="11" spans="2:10" x14ac:dyDescent="0.25">
      <c r="B11" s="1096" t="s">
        <v>596</v>
      </c>
      <c r="C11" s="1097">
        <f>E11*C4</f>
        <v>1.2461059190031152</v>
      </c>
      <c r="D11" s="1093" t="s">
        <v>237</v>
      </c>
      <c r="E11" s="1098">
        <v>0.14953271028037382</v>
      </c>
      <c r="F11" s="1092">
        <v>44722</v>
      </c>
      <c r="G11" s="1093" t="s">
        <v>592</v>
      </c>
      <c r="H11" s="1095">
        <f>E11*F11</f>
        <v>6687.4018691588781</v>
      </c>
    </row>
    <row r="12" spans="2:10" x14ac:dyDescent="0.25">
      <c r="B12" s="1096" t="s">
        <v>597</v>
      </c>
      <c r="C12" s="1097">
        <v>0</v>
      </c>
      <c r="D12" s="1093" t="s">
        <v>237</v>
      </c>
      <c r="E12" s="1098">
        <f>C12</f>
        <v>0</v>
      </c>
      <c r="F12" s="1092">
        <v>5700</v>
      </c>
      <c r="G12" s="1093" t="s">
        <v>592</v>
      </c>
      <c r="H12" s="1095">
        <f t="shared" si="0"/>
        <v>0</v>
      </c>
    </row>
    <row r="13" spans="2:10" x14ac:dyDescent="0.25">
      <c r="B13" s="1096" t="s">
        <v>598</v>
      </c>
      <c r="C13" s="1097">
        <v>0</v>
      </c>
      <c r="D13" s="1093" t="s">
        <v>237</v>
      </c>
      <c r="E13" s="1098">
        <f>C13</f>
        <v>0</v>
      </c>
      <c r="F13" s="1092">
        <v>15700</v>
      </c>
      <c r="G13" s="1093" t="s">
        <v>592</v>
      </c>
      <c r="H13" s="1095">
        <f t="shared" si="0"/>
        <v>0</v>
      </c>
    </row>
    <row r="14" spans="2:10" x14ac:dyDescent="0.25">
      <c r="B14" s="1091" t="s">
        <v>135</v>
      </c>
      <c r="C14" s="1115">
        <v>2675</v>
      </c>
      <c r="D14" s="1093" t="s">
        <v>249</v>
      </c>
      <c r="E14" s="1098">
        <f>C14</f>
        <v>2675</v>
      </c>
      <c r="F14" s="1092">
        <f>[5]UP.E!C28</f>
        <v>1550</v>
      </c>
      <c r="G14" s="1093" t="s">
        <v>599</v>
      </c>
      <c r="H14" s="1095">
        <f>E14*F14</f>
        <v>4146250</v>
      </c>
    </row>
    <row r="15" spans="2:10" x14ac:dyDescent="0.25">
      <c r="B15" s="1091" t="s">
        <v>580</v>
      </c>
      <c r="C15" s="1092"/>
      <c r="D15" s="1093" t="s">
        <v>271</v>
      </c>
      <c r="E15" s="1094"/>
      <c r="F15" s="1092"/>
      <c r="G15" s="1093"/>
      <c r="H15" s="1095">
        <f t="shared" si="0"/>
        <v>0</v>
      </c>
      <c r="I15" s="1116"/>
      <c r="J15" s="1090"/>
    </row>
    <row r="16" spans="2:10" x14ac:dyDescent="0.25">
      <c r="B16" s="1101"/>
      <c r="C16" s="1102"/>
      <c r="D16" s="1103"/>
      <c r="E16" s="1102"/>
      <c r="F16" s="1102"/>
      <c r="G16" s="1103"/>
      <c r="H16" s="1117">
        <f>IFERROR(SUM(H5:H15),"")</f>
        <v>4223643.3831775701</v>
      </c>
      <c r="I16" s="1118"/>
      <c r="J16" s="1099"/>
    </row>
    <row r="17" spans="3:41" x14ac:dyDescent="0.25">
      <c r="C17" s="1076"/>
      <c r="E17" s="1076"/>
      <c r="F17" s="2441" t="s">
        <v>600</v>
      </c>
      <c r="G17" s="2442"/>
      <c r="H17" s="1105">
        <f>H16/E4</f>
        <v>19784.72635927286</v>
      </c>
    </row>
    <row r="18" spans="3:41" x14ac:dyDescent="0.25">
      <c r="M18" s="1099"/>
    </row>
    <row r="19" spans="3:41" x14ac:dyDescent="0.25">
      <c r="M19" s="1099"/>
      <c r="O19" s="1099"/>
      <c r="P19" s="1099"/>
      <c r="Q19" s="1099"/>
      <c r="R19" s="1099"/>
      <c r="S19" s="1099"/>
      <c r="T19" s="1099"/>
      <c r="U19" s="1099"/>
      <c r="V19" s="1099"/>
      <c r="W19" s="1099"/>
      <c r="X19" s="1099"/>
      <c r="Y19" s="1099"/>
      <c r="Z19" s="1099"/>
      <c r="AA19" s="1099"/>
      <c r="AB19" s="1099"/>
      <c r="AC19" s="1099"/>
      <c r="AD19" s="1099"/>
      <c r="AE19" s="1099"/>
      <c r="AF19" s="1099"/>
      <c r="AG19" s="1099"/>
      <c r="AH19" s="1099"/>
      <c r="AI19" s="1099"/>
      <c r="AJ19" s="1099"/>
      <c r="AK19" s="1099"/>
      <c r="AL19" s="1099"/>
      <c r="AM19" s="1099"/>
      <c r="AN19" s="1099"/>
      <c r="AO19" s="1099"/>
    </row>
    <row r="20" spans="3:41" x14ac:dyDescent="0.25">
      <c r="M20" s="1099"/>
      <c r="O20" s="1099"/>
      <c r="P20" s="1099"/>
      <c r="Q20" s="1099"/>
      <c r="R20" s="1099"/>
      <c r="S20" s="1099"/>
      <c r="T20" s="1099"/>
      <c r="U20" s="1099"/>
      <c r="V20" s="1099"/>
      <c r="W20" s="1099"/>
      <c r="X20" s="1099"/>
      <c r="Y20" s="1099"/>
      <c r="Z20" s="1099"/>
      <c r="AA20" s="1099"/>
      <c r="AB20" s="1099"/>
      <c r="AC20" s="1099"/>
      <c r="AD20" s="1099"/>
      <c r="AE20" s="1099"/>
      <c r="AF20" s="1099"/>
      <c r="AG20" s="1099"/>
      <c r="AH20" s="1099"/>
      <c r="AI20" s="1099"/>
      <c r="AJ20" s="1099"/>
      <c r="AK20" s="1099"/>
      <c r="AL20" s="1099"/>
      <c r="AM20" s="1099"/>
      <c r="AN20" s="1099"/>
      <c r="AO20" s="1099"/>
    </row>
    <row r="21" spans="3:41" x14ac:dyDescent="0.25">
      <c r="M21" s="1099"/>
    </row>
    <row r="22" spans="3:41" x14ac:dyDescent="0.25">
      <c r="M22" s="1099"/>
      <c r="N22" s="1099"/>
    </row>
    <row r="23" spans="3:41" x14ac:dyDescent="0.25">
      <c r="M23" s="1099"/>
      <c r="N23" s="1099"/>
    </row>
    <row r="24" spans="3:41" x14ac:dyDescent="0.25">
      <c r="M24" s="1099"/>
    </row>
    <row r="25" spans="3:41" x14ac:dyDescent="0.25">
      <c r="M25" s="1099"/>
    </row>
    <row r="29" spans="3:41" x14ac:dyDescent="0.25">
      <c r="C29" s="914" t="s">
        <v>585</v>
      </c>
    </row>
    <row r="32" spans="3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41" spans="28:41" x14ac:dyDescent="0.25">
      <c r="AB41" s="1099"/>
      <c r="AC41" s="1099"/>
      <c r="AD41" s="1099"/>
      <c r="AE41" s="1099"/>
      <c r="AF41" s="1099"/>
      <c r="AG41" s="1099"/>
      <c r="AH41" s="1099"/>
      <c r="AI41" s="1099"/>
      <c r="AJ41" s="1099"/>
      <c r="AK41" s="1099"/>
      <c r="AL41" s="1099"/>
      <c r="AM41" s="1099"/>
      <c r="AN41" s="1099"/>
      <c r="AO41" s="1106"/>
    </row>
    <row r="42" spans="28:41" x14ac:dyDescent="0.25">
      <c r="AB42" s="1099"/>
      <c r="AC42" s="1099"/>
      <c r="AD42" s="1099"/>
      <c r="AE42" s="1099"/>
      <c r="AF42" s="1099"/>
      <c r="AG42" s="1099"/>
      <c r="AH42" s="1099"/>
      <c r="AI42" s="1099"/>
      <c r="AJ42" s="1099"/>
      <c r="AK42" s="1099"/>
      <c r="AL42" s="1099"/>
      <c r="AM42" s="1099"/>
      <c r="AN42" s="1099"/>
      <c r="AO42" s="1106"/>
    </row>
    <row r="43" spans="28:41" x14ac:dyDescent="0.25">
      <c r="AB43" s="1099"/>
      <c r="AC43" s="1099"/>
      <c r="AD43" s="1099"/>
      <c r="AE43" s="1099"/>
      <c r="AF43" s="1099"/>
      <c r="AG43" s="1099"/>
      <c r="AH43" s="1099"/>
      <c r="AI43" s="1099"/>
      <c r="AJ43" s="1099"/>
      <c r="AK43" s="1099"/>
      <c r="AL43" s="1099"/>
      <c r="AM43" s="1099"/>
      <c r="AN43" s="1099"/>
      <c r="AO43" s="1106"/>
    </row>
    <row r="44" spans="28:41" x14ac:dyDescent="0.25">
      <c r="AB44" s="1099"/>
      <c r="AC44" s="1099"/>
      <c r="AD44" s="1099"/>
      <c r="AE44" s="1099"/>
      <c r="AF44" s="1099"/>
      <c r="AG44" s="1099"/>
      <c r="AH44" s="1099"/>
      <c r="AI44" s="1099"/>
      <c r="AJ44" s="1099"/>
      <c r="AK44" s="1099"/>
      <c r="AL44" s="1099"/>
      <c r="AM44" s="1099"/>
      <c r="AN44" s="1099"/>
      <c r="AO44" s="1106"/>
    </row>
    <row r="122" spans="29:42" x14ac:dyDescent="0.25">
      <c r="AC122" s="1099"/>
      <c r="AD122" s="1099"/>
      <c r="AE122" s="1099"/>
      <c r="AF122" s="1099"/>
      <c r="AG122" s="1099"/>
      <c r="AH122" s="1099"/>
      <c r="AI122" s="1099"/>
      <c r="AJ122" s="1099"/>
      <c r="AK122" s="1099"/>
      <c r="AL122" s="1099"/>
      <c r="AM122" s="1099"/>
      <c r="AN122" s="1099"/>
      <c r="AO122" s="1099"/>
      <c r="AP122" s="1106"/>
    </row>
    <row r="123" spans="29:42" x14ac:dyDescent="0.25">
      <c r="AC123" s="1099"/>
      <c r="AD123" s="1099"/>
      <c r="AE123" s="1099"/>
      <c r="AF123" s="1099"/>
      <c r="AG123" s="1099"/>
      <c r="AH123" s="1099"/>
      <c r="AI123" s="1099"/>
      <c r="AJ123" s="1099"/>
      <c r="AK123" s="1099"/>
      <c r="AL123" s="1099"/>
      <c r="AM123" s="1099"/>
      <c r="AN123" s="1099"/>
      <c r="AO123" s="1099"/>
      <c r="AP123" s="1106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914" customWidth="1"/>
    <col min="2" max="2" width="38.42578125" style="914" customWidth="1"/>
    <col min="3" max="4" width="13.5703125" style="914" customWidth="1"/>
    <col min="5" max="5" width="21" style="914" customWidth="1"/>
    <col min="6" max="6" width="10" style="914" customWidth="1"/>
    <col min="7" max="7" width="16.42578125" style="914" customWidth="1"/>
    <col min="8" max="8" width="19.42578125" style="914" customWidth="1"/>
    <col min="9" max="9" width="16.42578125" style="914" bestFit="1" customWidth="1"/>
    <col min="10" max="10" width="12.42578125" style="914" customWidth="1"/>
    <col min="11" max="11" width="17.42578125" style="914" bestFit="1" customWidth="1"/>
    <col min="12" max="12" width="12.42578125" style="914" customWidth="1"/>
    <col min="13" max="13" width="10.5703125" style="914" bestFit="1" customWidth="1"/>
    <col min="14" max="14" width="20.42578125" style="914" bestFit="1" customWidth="1"/>
    <col min="15" max="15" width="14.42578125" style="914" customWidth="1"/>
    <col min="16" max="28" width="7.5703125" style="914" customWidth="1"/>
    <col min="29" max="29" width="11" style="914" customWidth="1"/>
    <col min="30" max="41" width="13.42578125" style="914" hidden="1" customWidth="1"/>
    <col min="42" max="42" width="15.5703125" style="914" customWidth="1"/>
    <col min="43" max="16384" width="8.5703125" style="914"/>
  </cols>
  <sheetData>
    <row r="2" spans="2:41" ht="20.85" customHeight="1" x14ac:dyDescent="0.25">
      <c r="B2" s="1107" t="s">
        <v>601</v>
      </c>
      <c r="C2" s="1076"/>
      <c r="E2" s="1076"/>
      <c r="F2" s="1076"/>
      <c r="G2" s="914" t="s">
        <v>561</v>
      </c>
      <c r="H2" s="1182">
        <v>16000</v>
      </c>
    </row>
    <row r="3" spans="2:41" x14ac:dyDescent="0.25">
      <c r="B3" s="1077" t="s">
        <v>383</v>
      </c>
      <c r="C3" s="2435" t="s">
        <v>219</v>
      </c>
      <c r="D3" s="2436"/>
      <c r="E3" s="1078" t="s">
        <v>587</v>
      </c>
      <c r="F3" s="2437" t="s">
        <v>563</v>
      </c>
      <c r="G3" s="2438"/>
      <c r="H3" s="1079" t="s">
        <v>564</v>
      </c>
    </row>
    <row r="4" spans="2:41" x14ac:dyDescent="0.25">
      <c r="B4" s="1080" t="s">
        <v>601</v>
      </c>
      <c r="C4" s="1081">
        <f>1000/24</f>
        <v>41.666666666666664</v>
      </c>
      <c r="D4" s="1082" t="s">
        <v>589</v>
      </c>
      <c r="E4" s="1187">
        <f>'JULI 2025'!AM259</f>
        <v>19684</v>
      </c>
      <c r="F4" s="2443"/>
      <c r="G4" s="2444"/>
      <c r="H4" s="1079" t="s">
        <v>271</v>
      </c>
    </row>
    <row r="5" spans="2:41" x14ac:dyDescent="0.25">
      <c r="B5" s="1091" t="s">
        <v>602</v>
      </c>
      <c r="C5" s="1092"/>
      <c r="D5" s="1093"/>
      <c r="E5" s="1094"/>
      <c r="F5" s="1092">
        <v>8700</v>
      </c>
      <c r="G5" s="1093" t="s">
        <v>579</v>
      </c>
      <c r="H5" s="1095">
        <f>F5*E4</f>
        <v>171250800</v>
      </c>
    </row>
    <row r="6" spans="2:41" x14ac:dyDescent="0.25">
      <c r="B6" s="1096" t="s">
        <v>603</v>
      </c>
      <c r="C6" s="1097">
        <v>0.1</v>
      </c>
      <c r="D6" s="1093" t="s">
        <v>237</v>
      </c>
      <c r="E6" s="1098">
        <f>C6</f>
        <v>0.1</v>
      </c>
      <c r="F6" s="1092">
        <v>44500</v>
      </c>
      <c r="G6" s="1093" t="s">
        <v>592</v>
      </c>
      <c r="H6" s="1095">
        <f t="shared" ref="H6:H11" si="0">E6*F6</f>
        <v>4450</v>
      </c>
    </row>
    <row r="7" spans="2:41" x14ac:dyDescent="0.25">
      <c r="B7" s="1096" t="s">
        <v>604</v>
      </c>
      <c r="C7" s="1097">
        <v>0.1</v>
      </c>
      <c r="D7" s="1093" t="s">
        <v>237</v>
      </c>
      <c r="E7" s="1098">
        <f>C7</f>
        <v>0.1</v>
      </c>
      <c r="F7" s="1092">
        <v>65340</v>
      </c>
      <c r="G7" s="1093" t="s">
        <v>592</v>
      </c>
      <c r="H7" s="1095">
        <f t="shared" si="0"/>
        <v>6534</v>
      </c>
    </row>
    <row r="8" spans="2:41" x14ac:dyDescent="0.25">
      <c r="B8" s="1096" t="s">
        <v>605</v>
      </c>
      <c r="C8" s="1097">
        <v>0.1</v>
      </c>
      <c r="D8" s="1093" t="s">
        <v>237</v>
      </c>
      <c r="E8" s="1098">
        <f>C8</f>
        <v>0.1</v>
      </c>
      <c r="F8" s="1092">
        <v>33275</v>
      </c>
      <c r="G8" s="1093" t="s">
        <v>592</v>
      </c>
      <c r="H8" s="1095">
        <f t="shared" si="0"/>
        <v>3327.5</v>
      </c>
    </row>
    <row r="9" spans="2:41" x14ac:dyDescent="0.25">
      <c r="B9" s="1096" t="s">
        <v>606</v>
      </c>
      <c r="C9" s="1097">
        <v>0.1</v>
      </c>
      <c r="D9" s="1093" t="s">
        <v>237</v>
      </c>
      <c r="E9" s="1098">
        <f>C9</f>
        <v>0.1</v>
      </c>
      <c r="F9" s="1092">
        <v>47450</v>
      </c>
      <c r="G9" s="1093" t="s">
        <v>592</v>
      </c>
      <c r="H9" s="1095">
        <f t="shared" si="0"/>
        <v>4745</v>
      </c>
    </row>
    <row r="10" spans="2:41" x14ac:dyDescent="0.25">
      <c r="B10" s="1091" t="s">
        <v>135</v>
      </c>
      <c r="C10" s="1115">
        <v>8896</v>
      </c>
      <c r="D10" s="1093" t="s">
        <v>249</v>
      </c>
      <c r="E10" s="1098">
        <f>C10</f>
        <v>8896</v>
      </c>
      <c r="F10" s="1092">
        <f>[5]UP.E!C28</f>
        <v>1550</v>
      </c>
      <c r="G10" s="1093" t="s">
        <v>599</v>
      </c>
      <c r="H10" s="1095">
        <f t="shared" si="0"/>
        <v>13788800</v>
      </c>
    </row>
    <row r="11" spans="2:41" x14ac:dyDescent="0.25">
      <c r="B11" s="1091" t="s">
        <v>580</v>
      </c>
      <c r="C11" s="1092"/>
      <c r="D11" s="1093" t="s">
        <v>271</v>
      </c>
      <c r="E11" s="1094"/>
      <c r="F11" s="1092"/>
      <c r="G11" s="1093"/>
      <c r="H11" s="1119">
        <f t="shared" si="0"/>
        <v>0</v>
      </c>
      <c r="I11" s="1116"/>
      <c r="J11" s="1090"/>
    </row>
    <row r="12" spans="2:41" x14ac:dyDescent="0.25">
      <c r="B12" s="1101"/>
      <c r="C12" s="1102"/>
      <c r="D12" s="1103"/>
      <c r="E12" s="1102"/>
      <c r="F12" s="1102"/>
      <c r="G12" s="1103"/>
      <c r="H12" s="1117">
        <f>IFERROR(SUM(H5:H11),"")</f>
        <v>185058656.5</v>
      </c>
      <c r="I12" s="1118"/>
      <c r="J12" s="1099"/>
    </row>
    <row r="13" spans="2:41" x14ac:dyDescent="0.25">
      <c r="C13" s="1076"/>
      <c r="E13" s="1076"/>
      <c r="F13" s="2441" t="s">
        <v>600</v>
      </c>
      <c r="G13" s="2442"/>
      <c r="H13" s="1105">
        <f>H12/E4</f>
        <v>9401.4761481406222</v>
      </c>
    </row>
    <row r="14" spans="2:41" x14ac:dyDescent="0.25">
      <c r="M14" s="1099"/>
    </row>
    <row r="15" spans="2:41" x14ac:dyDescent="0.25">
      <c r="M15" s="1099"/>
      <c r="O15" s="1099"/>
      <c r="P15" s="1099"/>
      <c r="Q15" s="1099"/>
      <c r="R15" s="1099"/>
      <c r="S15" s="1099"/>
      <c r="T15" s="1099"/>
      <c r="U15" s="1099"/>
      <c r="V15" s="1099"/>
      <c r="W15" s="1099"/>
      <c r="X15" s="1099"/>
      <c r="Y15" s="1099"/>
      <c r="Z15" s="1099"/>
      <c r="AA15" s="1099"/>
      <c r="AB15" s="1099"/>
      <c r="AC15" s="1099"/>
      <c r="AD15" s="1099"/>
      <c r="AE15" s="1099"/>
      <c r="AF15" s="1099"/>
      <c r="AG15" s="1099"/>
      <c r="AH15" s="1099"/>
      <c r="AI15" s="1099"/>
      <c r="AJ15" s="1099"/>
      <c r="AK15" s="1099"/>
      <c r="AL15" s="1099"/>
      <c r="AM15" s="1099"/>
      <c r="AN15" s="1099"/>
      <c r="AO15" s="1099"/>
    </row>
    <row r="16" spans="2:41" x14ac:dyDescent="0.25">
      <c r="M16" s="1099"/>
      <c r="O16" s="1099"/>
      <c r="P16" s="1099"/>
      <c r="Q16" s="1099"/>
      <c r="R16" s="1099"/>
      <c r="S16" s="1099"/>
      <c r="T16" s="1099"/>
      <c r="U16" s="1099"/>
      <c r="V16" s="1099"/>
      <c r="W16" s="1099"/>
      <c r="X16" s="1099"/>
      <c r="Y16" s="1099"/>
      <c r="Z16" s="1099"/>
      <c r="AA16" s="1099"/>
      <c r="AB16" s="1099"/>
      <c r="AC16" s="1099"/>
      <c r="AD16" s="1099"/>
      <c r="AE16" s="1099"/>
      <c r="AF16" s="1099"/>
      <c r="AG16" s="1099"/>
      <c r="AH16" s="1099"/>
      <c r="AI16" s="1099"/>
      <c r="AJ16" s="1099"/>
      <c r="AK16" s="1099"/>
      <c r="AL16" s="1099"/>
      <c r="AM16" s="1099"/>
      <c r="AN16" s="1099"/>
      <c r="AO16" s="1099"/>
    </row>
    <row r="17" spans="3:41" x14ac:dyDescent="0.25">
      <c r="M17" s="1099"/>
    </row>
    <row r="18" spans="3:41" x14ac:dyDescent="0.25">
      <c r="M18" s="1099"/>
      <c r="N18" s="1099"/>
    </row>
    <row r="19" spans="3:41" x14ac:dyDescent="0.25">
      <c r="M19" s="1099"/>
      <c r="N19" s="1099"/>
    </row>
    <row r="20" spans="3:41" x14ac:dyDescent="0.25">
      <c r="M20" s="1099"/>
    </row>
    <row r="21" spans="3:41" x14ac:dyDescent="0.25">
      <c r="M21" s="1099"/>
    </row>
    <row r="25" spans="3:41" x14ac:dyDescent="0.25">
      <c r="C25" s="914" t="s">
        <v>585</v>
      </c>
    </row>
    <row r="28" spans="3:41" x14ac:dyDescent="0.25">
      <c r="AB28" s="1099"/>
      <c r="AC28" s="1099"/>
      <c r="AD28" s="1099"/>
      <c r="AE28" s="1099"/>
      <c r="AF28" s="1099"/>
      <c r="AG28" s="1099"/>
      <c r="AH28" s="1099"/>
      <c r="AI28" s="1099"/>
      <c r="AJ28" s="1099"/>
      <c r="AK28" s="1099"/>
      <c r="AL28" s="1099"/>
      <c r="AM28" s="1099"/>
      <c r="AN28" s="1099"/>
      <c r="AO28" s="1106"/>
    </row>
    <row r="29" spans="3:41" x14ac:dyDescent="0.25">
      <c r="AB29" s="1099"/>
      <c r="AC29" s="1099"/>
      <c r="AD29" s="1099"/>
      <c r="AE29" s="1099"/>
      <c r="AF29" s="1099"/>
      <c r="AG29" s="1099"/>
      <c r="AH29" s="1099"/>
      <c r="AI29" s="1099"/>
      <c r="AJ29" s="1099"/>
      <c r="AK29" s="1099"/>
      <c r="AL29" s="1099"/>
      <c r="AM29" s="1099"/>
      <c r="AN29" s="1099"/>
      <c r="AO29" s="1106"/>
    </row>
    <row r="30" spans="3:41" x14ac:dyDescent="0.25">
      <c r="AB30" s="1099"/>
      <c r="AC30" s="1099"/>
      <c r="AD30" s="1099"/>
      <c r="AE30" s="1099"/>
      <c r="AF30" s="1099"/>
      <c r="AG30" s="1099"/>
      <c r="AH30" s="1099"/>
      <c r="AI30" s="1099"/>
      <c r="AJ30" s="1099"/>
      <c r="AK30" s="1099"/>
      <c r="AL30" s="1099"/>
      <c r="AM30" s="1099"/>
      <c r="AN30" s="1099"/>
      <c r="AO30" s="1106"/>
    </row>
    <row r="31" spans="3:41" x14ac:dyDescent="0.25">
      <c r="AB31" s="1099"/>
      <c r="AC31" s="1099"/>
      <c r="AD31" s="1099"/>
      <c r="AE31" s="1099"/>
      <c r="AF31" s="1099"/>
      <c r="AG31" s="1099"/>
      <c r="AH31" s="1099"/>
      <c r="AI31" s="1099"/>
      <c r="AJ31" s="1099"/>
      <c r="AK31" s="1099"/>
      <c r="AL31" s="1099"/>
      <c r="AM31" s="1099"/>
      <c r="AN31" s="1099"/>
      <c r="AO31" s="1106"/>
    </row>
    <row r="32" spans="3:41" x14ac:dyDescent="0.25">
      <c r="AB32" s="1099"/>
      <c r="AC32" s="1099"/>
      <c r="AD32" s="1099"/>
      <c r="AE32" s="1099"/>
      <c r="AF32" s="1099"/>
      <c r="AG32" s="1099"/>
      <c r="AH32" s="1099"/>
      <c r="AI32" s="1099"/>
      <c r="AJ32" s="1099"/>
      <c r="AK32" s="1099"/>
      <c r="AL32" s="1099"/>
      <c r="AM32" s="1099"/>
      <c r="AN32" s="1099"/>
      <c r="AO32" s="1106"/>
    </row>
    <row r="33" spans="28:41" x14ac:dyDescent="0.25">
      <c r="AB33" s="1099"/>
      <c r="AC33" s="1099"/>
      <c r="AD33" s="1099"/>
      <c r="AE33" s="1099"/>
      <c r="AF33" s="1099"/>
      <c r="AG33" s="1099"/>
      <c r="AH33" s="1099"/>
      <c r="AI33" s="1099"/>
      <c r="AJ33" s="1099"/>
      <c r="AK33" s="1099"/>
      <c r="AL33" s="1099"/>
      <c r="AM33" s="1099"/>
      <c r="AN33" s="1099"/>
      <c r="AO33" s="1106"/>
    </row>
    <row r="34" spans="28:41" x14ac:dyDescent="0.25">
      <c r="AB34" s="1099"/>
      <c r="AC34" s="1099"/>
      <c r="AD34" s="1099"/>
      <c r="AE34" s="1099"/>
      <c r="AF34" s="1099"/>
      <c r="AG34" s="1099"/>
      <c r="AH34" s="1099"/>
      <c r="AI34" s="1099"/>
      <c r="AJ34" s="1099"/>
      <c r="AK34" s="1099"/>
      <c r="AL34" s="1099"/>
      <c r="AM34" s="1099"/>
      <c r="AN34" s="1099"/>
      <c r="AO34" s="1106"/>
    </row>
    <row r="35" spans="28:41" x14ac:dyDescent="0.25">
      <c r="AB35" s="1099"/>
      <c r="AC35" s="1099"/>
      <c r="AD35" s="1099"/>
      <c r="AE35" s="1099"/>
      <c r="AF35" s="1099"/>
      <c r="AG35" s="1099"/>
      <c r="AH35" s="1099"/>
      <c r="AI35" s="1099"/>
      <c r="AJ35" s="1099"/>
      <c r="AK35" s="1099"/>
      <c r="AL35" s="1099"/>
      <c r="AM35" s="1099"/>
      <c r="AN35" s="1099"/>
      <c r="AO35" s="1106"/>
    </row>
    <row r="36" spans="28:41" x14ac:dyDescent="0.25">
      <c r="AB36" s="1099"/>
      <c r="AC36" s="1099"/>
      <c r="AD36" s="1099"/>
      <c r="AE36" s="1099"/>
      <c r="AF36" s="1099"/>
      <c r="AG36" s="1099"/>
      <c r="AH36" s="1099"/>
      <c r="AI36" s="1099"/>
      <c r="AJ36" s="1099"/>
      <c r="AK36" s="1099"/>
      <c r="AL36" s="1099"/>
      <c r="AM36" s="1099"/>
      <c r="AN36" s="1099"/>
      <c r="AO36" s="1106"/>
    </row>
    <row r="37" spans="28:41" x14ac:dyDescent="0.25">
      <c r="AB37" s="1099"/>
      <c r="AC37" s="1099"/>
      <c r="AD37" s="1099"/>
      <c r="AE37" s="1099"/>
      <c r="AF37" s="1099"/>
      <c r="AG37" s="1099"/>
      <c r="AH37" s="1099"/>
      <c r="AI37" s="1099"/>
      <c r="AJ37" s="1099"/>
      <c r="AK37" s="1099"/>
      <c r="AL37" s="1099"/>
      <c r="AM37" s="1099"/>
      <c r="AN37" s="1099"/>
      <c r="AO37" s="1106"/>
    </row>
    <row r="38" spans="28:41" x14ac:dyDescent="0.25">
      <c r="AB38" s="1099"/>
      <c r="AC38" s="1099"/>
      <c r="AD38" s="1099"/>
      <c r="AE38" s="1099"/>
      <c r="AF38" s="1099"/>
      <c r="AG38" s="1099"/>
      <c r="AH38" s="1099"/>
      <c r="AI38" s="1099"/>
      <c r="AJ38" s="1099"/>
      <c r="AK38" s="1099"/>
      <c r="AL38" s="1099"/>
      <c r="AM38" s="1099"/>
      <c r="AN38" s="1099"/>
      <c r="AO38" s="1106"/>
    </row>
    <row r="39" spans="28:41" x14ac:dyDescent="0.25">
      <c r="AB39" s="1099"/>
      <c r="AC39" s="1099"/>
      <c r="AD39" s="1099"/>
      <c r="AE39" s="1099"/>
      <c r="AF39" s="1099"/>
      <c r="AG39" s="1099"/>
      <c r="AH39" s="1099"/>
      <c r="AI39" s="1099"/>
      <c r="AJ39" s="1099"/>
      <c r="AK39" s="1099"/>
      <c r="AL39" s="1099"/>
      <c r="AM39" s="1099"/>
      <c r="AN39" s="1099"/>
      <c r="AO39" s="1106"/>
    </row>
    <row r="40" spans="28:41" x14ac:dyDescent="0.25">
      <c r="AB40" s="1099"/>
      <c r="AC40" s="1099"/>
      <c r="AD40" s="1099"/>
      <c r="AE40" s="1099"/>
      <c r="AF40" s="1099"/>
      <c r="AG40" s="1099"/>
      <c r="AH40" s="1099"/>
      <c r="AI40" s="1099"/>
      <c r="AJ40" s="1099"/>
      <c r="AK40" s="1099"/>
      <c r="AL40" s="1099"/>
      <c r="AM40" s="1099"/>
      <c r="AN40" s="1099"/>
      <c r="AO40" s="1106"/>
    </row>
    <row r="118" spans="29:42" x14ac:dyDescent="0.25">
      <c r="AC118" s="1099"/>
      <c r="AD118" s="1099"/>
      <c r="AE118" s="1099"/>
      <c r="AF118" s="1099"/>
      <c r="AG118" s="1099"/>
      <c r="AH118" s="1099"/>
      <c r="AI118" s="1099"/>
      <c r="AJ118" s="1099"/>
      <c r="AK118" s="1099"/>
      <c r="AL118" s="1099"/>
      <c r="AM118" s="1099"/>
      <c r="AN118" s="1099"/>
      <c r="AO118" s="1099"/>
      <c r="AP118" s="1106"/>
    </row>
    <row r="119" spans="29:42" x14ac:dyDescent="0.25">
      <c r="AC119" s="1099"/>
      <c r="AD119" s="1099"/>
      <c r="AE119" s="1099"/>
      <c r="AF119" s="1099"/>
      <c r="AG119" s="1099"/>
      <c r="AH119" s="1099"/>
      <c r="AI119" s="1099"/>
      <c r="AJ119" s="1099"/>
      <c r="AK119" s="1099"/>
      <c r="AL119" s="1099"/>
      <c r="AM119" s="1099"/>
      <c r="AN119" s="1099"/>
      <c r="AO119" s="1099"/>
      <c r="AP119" s="1106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914" customWidth="1"/>
    <col min="2" max="2" width="63.5703125" style="914" customWidth="1"/>
    <col min="3" max="3" width="13.5703125" style="1076" customWidth="1"/>
    <col min="4" max="4" width="7.42578125" style="914" customWidth="1"/>
    <col min="5" max="5" width="18.42578125" style="914" customWidth="1"/>
    <col min="6" max="6" width="14.5703125" style="914" customWidth="1"/>
    <col min="7" max="7" width="11.42578125" style="914" customWidth="1"/>
    <col min="8" max="8" width="15.5703125" style="914" customWidth="1"/>
    <col min="9" max="9" width="13.5703125" style="914" customWidth="1"/>
    <col min="10" max="10" width="24.42578125" style="914" customWidth="1"/>
    <col min="11" max="11" width="12.42578125" style="914" customWidth="1"/>
    <col min="12" max="12" width="22.42578125" style="914" customWidth="1"/>
    <col min="13" max="16384" width="8.5703125" style="914"/>
  </cols>
  <sheetData>
    <row r="2" spans="2:12" ht="21.6" customHeight="1" x14ac:dyDescent="0.25">
      <c r="B2" s="1120" t="s">
        <v>607</v>
      </c>
      <c r="J2" s="1121"/>
      <c r="K2" s="1121"/>
    </row>
    <row r="3" spans="2:12" ht="18.600000000000001" customHeight="1" x14ac:dyDescent="0.25">
      <c r="B3" s="2453" t="s">
        <v>383</v>
      </c>
      <c r="C3" s="2453" t="s">
        <v>219</v>
      </c>
      <c r="D3" s="2453"/>
      <c r="E3" s="2455" t="s">
        <v>608</v>
      </c>
      <c r="F3" s="2453" t="s">
        <v>563</v>
      </c>
      <c r="G3" s="2453"/>
      <c r="H3" s="1122" t="s">
        <v>224</v>
      </c>
      <c r="K3" s="1099"/>
      <c r="L3" s="1123"/>
    </row>
    <row r="4" spans="2:12" ht="18.600000000000001" customHeight="1" x14ac:dyDescent="0.25">
      <c r="B4" s="2454"/>
      <c r="C4" s="2454"/>
      <c r="D4" s="2454"/>
      <c r="E4" s="2456"/>
      <c r="F4" s="2454"/>
      <c r="G4" s="2454"/>
      <c r="H4" s="1122" t="s">
        <v>609</v>
      </c>
      <c r="K4" s="1099"/>
    </row>
    <row r="5" spans="2:12" ht="18.600000000000001" customHeight="1" x14ac:dyDescent="0.25">
      <c r="B5" s="1124" t="s">
        <v>610</v>
      </c>
      <c r="C5" s="1125"/>
      <c r="D5" s="1125"/>
      <c r="E5" s="1126"/>
      <c r="F5" s="1127"/>
      <c r="G5" s="1125"/>
      <c r="H5" s="1127"/>
      <c r="K5" s="1099"/>
    </row>
    <row r="6" spans="2:12" x14ac:dyDescent="0.25">
      <c r="B6" s="1091" t="s">
        <v>611</v>
      </c>
      <c r="C6" s="408">
        <v>50</v>
      </c>
      <c r="D6" s="1128" t="s">
        <v>612</v>
      </c>
      <c r="E6" s="408">
        <f>C6</f>
        <v>50</v>
      </c>
      <c r="F6" s="1092">
        <v>374</v>
      </c>
      <c r="G6" s="1092" t="s">
        <v>612</v>
      </c>
      <c r="H6" s="1129">
        <f>E6*F6</f>
        <v>18700</v>
      </c>
      <c r="I6" s="1130"/>
      <c r="K6" s="1099"/>
    </row>
    <row r="7" spans="2:12" x14ac:dyDescent="0.25">
      <c r="B7" s="1091" t="s">
        <v>613</v>
      </c>
      <c r="C7" s="408">
        <v>2</v>
      </c>
      <c r="D7" s="1128" t="s">
        <v>614</v>
      </c>
      <c r="E7" s="408">
        <f>C7</f>
        <v>2</v>
      </c>
      <c r="F7" s="1092">
        <v>7250</v>
      </c>
      <c r="G7" s="1092" t="s">
        <v>614</v>
      </c>
      <c r="H7" s="1129">
        <f t="shared" ref="H7:H32" si="0">E7*F7</f>
        <v>14500</v>
      </c>
    </row>
    <row r="8" spans="2:12" x14ac:dyDescent="0.25">
      <c r="B8" s="1091" t="s">
        <v>615</v>
      </c>
      <c r="C8" s="408">
        <v>0.5</v>
      </c>
      <c r="D8" s="1128" t="s">
        <v>612</v>
      </c>
      <c r="E8" s="408">
        <f t="shared" ref="E8:E32" si="1">C8</f>
        <v>0.5</v>
      </c>
      <c r="F8" s="1092">
        <v>500</v>
      </c>
      <c r="G8" s="1092" t="s">
        <v>612</v>
      </c>
      <c r="H8" s="1129">
        <f t="shared" si="0"/>
        <v>250</v>
      </c>
    </row>
    <row r="9" spans="2:12" x14ac:dyDescent="0.25">
      <c r="B9" s="1091" t="s">
        <v>616</v>
      </c>
      <c r="C9" s="408">
        <v>70</v>
      </c>
      <c r="D9" s="1128" t="s">
        <v>612</v>
      </c>
      <c r="E9" s="408">
        <f t="shared" si="1"/>
        <v>70</v>
      </c>
      <c r="F9" s="1092">
        <v>388</v>
      </c>
      <c r="G9" s="1092" t="s">
        <v>612</v>
      </c>
      <c r="H9" s="1129">
        <f t="shared" si="0"/>
        <v>27160</v>
      </c>
    </row>
    <row r="10" spans="2:12" x14ac:dyDescent="0.25">
      <c r="B10" s="1091" t="s">
        <v>617</v>
      </c>
      <c r="C10" s="408">
        <v>70</v>
      </c>
      <c r="D10" s="1128" t="s">
        <v>612</v>
      </c>
      <c r="E10" s="408">
        <f t="shared" si="1"/>
        <v>70</v>
      </c>
      <c r="F10" s="1092">
        <v>612</v>
      </c>
      <c r="G10" s="1092" t="s">
        <v>612</v>
      </c>
      <c r="H10" s="1129">
        <f t="shared" si="0"/>
        <v>42840</v>
      </c>
    </row>
    <row r="11" spans="2:12" x14ac:dyDescent="0.25">
      <c r="B11" s="1091" t="s">
        <v>618</v>
      </c>
      <c r="C11" s="408">
        <v>0.05</v>
      </c>
      <c r="D11" s="1128" t="s">
        <v>619</v>
      </c>
      <c r="E11" s="408">
        <f t="shared" si="1"/>
        <v>0.05</v>
      </c>
      <c r="F11" s="1092">
        <v>21000</v>
      </c>
      <c r="G11" s="1092" t="s">
        <v>619</v>
      </c>
      <c r="H11" s="1129">
        <f t="shared" si="0"/>
        <v>1050</v>
      </c>
    </row>
    <row r="12" spans="2:12" x14ac:dyDescent="0.25">
      <c r="B12" s="1091" t="s">
        <v>620</v>
      </c>
      <c r="C12" s="408">
        <v>2.6</v>
      </c>
      <c r="D12" s="1128" t="s">
        <v>612</v>
      </c>
      <c r="E12" s="408">
        <f t="shared" si="1"/>
        <v>2.6</v>
      </c>
      <c r="F12" s="1092">
        <v>236</v>
      </c>
      <c r="G12" s="1092" t="s">
        <v>612</v>
      </c>
      <c r="H12" s="1129">
        <f t="shared" si="0"/>
        <v>613.6</v>
      </c>
    </row>
    <row r="13" spans="2:12" x14ac:dyDescent="0.25">
      <c r="B13" s="1091" t="s">
        <v>621</v>
      </c>
      <c r="C13" s="408">
        <v>5.5</v>
      </c>
      <c r="D13" s="1128" t="s">
        <v>614</v>
      </c>
      <c r="E13" s="408">
        <f t="shared" si="1"/>
        <v>5.5</v>
      </c>
      <c r="F13" s="1092">
        <v>35000</v>
      </c>
      <c r="G13" s="1092" t="s">
        <v>614</v>
      </c>
      <c r="H13" s="1129">
        <f t="shared" si="0"/>
        <v>192500</v>
      </c>
    </row>
    <row r="14" spans="2:12" x14ac:dyDescent="0.25">
      <c r="B14" s="1091" t="s">
        <v>622</v>
      </c>
      <c r="C14" s="408">
        <v>150</v>
      </c>
      <c r="D14" s="1128" t="s">
        <v>612</v>
      </c>
      <c r="E14" s="408">
        <f t="shared" si="1"/>
        <v>150</v>
      </c>
      <c r="F14" s="1092">
        <v>480</v>
      </c>
      <c r="G14" s="1092" t="s">
        <v>612</v>
      </c>
      <c r="H14" s="1129">
        <f t="shared" si="0"/>
        <v>72000</v>
      </c>
    </row>
    <row r="15" spans="2:12" x14ac:dyDescent="0.25">
      <c r="B15" s="1091" t="s">
        <v>623</v>
      </c>
      <c r="C15" s="408">
        <v>0.3</v>
      </c>
      <c r="D15" s="1128" t="s">
        <v>619</v>
      </c>
      <c r="E15" s="408">
        <f t="shared" si="1"/>
        <v>0.3</v>
      </c>
      <c r="F15" s="1092">
        <v>6750</v>
      </c>
      <c r="G15" s="1092" t="s">
        <v>619</v>
      </c>
      <c r="H15" s="1129">
        <f t="shared" si="0"/>
        <v>2025</v>
      </c>
    </row>
    <row r="16" spans="2:12" x14ac:dyDescent="0.25">
      <c r="B16" s="1091" t="s">
        <v>624</v>
      </c>
      <c r="C16" s="408">
        <f>36/357</f>
        <v>0.10084033613445378</v>
      </c>
      <c r="D16" s="1128" t="s">
        <v>619</v>
      </c>
      <c r="E16" s="408">
        <f t="shared" si="1"/>
        <v>0.10084033613445378</v>
      </c>
      <c r="F16" s="1092">
        <v>90000</v>
      </c>
      <c r="G16" s="1092" t="s">
        <v>619</v>
      </c>
      <c r="H16" s="1129">
        <f t="shared" si="0"/>
        <v>9075.6302521008402</v>
      </c>
    </row>
    <row r="17" spans="2:8" x14ac:dyDescent="0.25">
      <c r="B17" s="1091" t="s">
        <v>625</v>
      </c>
      <c r="C17" s="408">
        <f>107/357</f>
        <v>0.29971988795518206</v>
      </c>
      <c r="D17" s="1128" t="s">
        <v>619</v>
      </c>
      <c r="E17" s="408">
        <f t="shared" si="1"/>
        <v>0.29971988795518206</v>
      </c>
      <c r="F17" s="1092">
        <v>3000</v>
      </c>
      <c r="G17" s="1092" t="s">
        <v>619</v>
      </c>
      <c r="H17" s="1129">
        <f t="shared" si="0"/>
        <v>899.15966386554624</v>
      </c>
    </row>
    <row r="18" spans="2:8" x14ac:dyDescent="0.25">
      <c r="B18" s="1091" t="s">
        <v>626</v>
      </c>
      <c r="C18" s="408">
        <v>0.1</v>
      </c>
      <c r="D18" s="1128" t="s">
        <v>612</v>
      </c>
      <c r="E18" s="408">
        <f t="shared" si="1"/>
        <v>0.1</v>
      </c>
      <c r="F18" s="1092">
        <v>70000</v>
      </c>
      <c r="G18" s="1092" t="s">
        <v>612</v>
      </c>
      <c r="H18" s="1129">
        <f t="shared" si="0"/>
        <v>7000</v>
      </c>
    </row>
    <row r="19" spans="2:8" x14ac:dyDescent="0.25">
      <c r="B19" s="1091" t="s">
        <v>627</v>
      </c>
      <c r="C19" s="408">
        <v>0.1</v>
      </c>
      <c r="D19" s="1128" t="s">
        <v>612</v>
      </c>
      <c r="E19" s="408">
        <f t="shared" si="1"/>
        <v>0.1</v>
      </c>
      <c r="F19" s="1092">
        <v>70000</v>
      </c>
      <c r="G19" s="1092" t="s">
        <v>612</v>
      </c>
      <c r="H19" s="1129">
        <f t="shared" si="0"/>
        <v>7000</v>
      </c>
    </row>
    <row r="20" spans="2:8" x14ac:dyDescent="0.25">
      <c r="B20" s="1091" t="s">
        <v>628</v>
      </c>
      <c r="C20" s="408">
        <v>0.5</v>
      </c>
      <c r="D20" s="1128" t="s">
        <v>614</v>
      </c>
      <c r="E20" s="408">
        <f t="shared" si="1"/>
        <v>0.5</v>
      </c>
      <c r="F20" s="1092">
        <v>19300</v>
      </c>
      <c r="G20" s="1092" t="s">
        <v>614</v>
      </c>
      <c r="H20" s="1129">
        <f t="shared" si="0"/>
        <v>9650</v>
      </c>
    </row>
    <row r="21" spans="2:8" x14ac:dyDescent="0.25">
      <c r="B21" s="1091" t="s">
        <v>629</v>
      </c>
      <c r="C21" s="408">
        <f>48/357</f>
        <v>0.13445378151260504</v>
      </c>
      <c r="D21" s="1128" t="s">
        <v>619</v>
      </c>
      <c r="E21" s="408">
        <f t="shared" si="1"/>
        <v>0.13445378151260504</v>
      </c>
      <c r="F21" s="1092">
        <v>7600</v>
      </c>
      <c r="G21" s="1092" t="s">
        <v>619</v>
      </c>
      <c r="H21" s="1129">
        <f t="shared" si="0"/>
        <v>1021.8487394957983</v>
      </c>
    </row>
    <row r="22" spans="2:8" x14ac:dyDescent="0.25">
      <c r="B22" s="1091" t="s">
        <v>630</v>
      </c>
      <c r="C22" s="408">
        <v>120</v>
      </c>
      <c r="D22" s="1128" t="s">
        <v>612</v>
      </c>
      <c r="E22" s="408">
        <f t="shared" si="1"/>
        <v>120</v>
      </c>
      <c r="F22" s="1092">
        <v>502</v>
      </c>
      <c r="G22" s="1092" t="s">
        <v>612</v>
      </c>
      <c r="H22" s="1129">
        <f t="shared" si="0"/>
        <v>60240</v>
      </c>
    </row>
    <row r="23" spans="2:8" x14ac:dyDescent="0.25">
      <c r="B23" s="1091" t="s">
        <v>631</v>
      </c>
      <c r="C23" s="1131">
        <v>0.02</v>
      </c>
      <c r="D23" s="1128" t="s">
        <v>632</v>
      </c>
      <c r="E23" s="1131">
        <f t="shared" si="1"/>
        <v>0.02</v>
      </c>
      <c r="F23" s="1092">
        <v>5000000</v>
      </c>
      <c r="G23" s="1092" t="s">
        <v>632</v>
      </c>
      <c r="H23" s="1129">
        <f t="shared" si="0"/>
        <v>100000</v>
      </c>
    </row>
    <row r="24" spans="2:8" x14ac:dyDescent="0.25">
      <c r="B24" s="1091" t="s">
        <v>633</v>
      </c>
      <c r="C24" s="1131">
        <v>0.03</v>
      </c>
      <c r="D24" s="1128" t="s">
        <v>632</v>
      </c>
      <c r="E24" s="1131">
        <f t="shared" si="1"/>
        <v>0.03</v>
      </c>
      <c r="F24" s="1092">
        <v>2500000</v>
      </c>
      <c r="G24" s="1092" t="s">
        <v>632</v>
      </c>
      <c r="H24" s="1129">
        <f t="shared" si="0"/>
        <v>75000</v>
      </c>
    </row>
    <row r="25" spans="2:8" x14ac:dyDescent="0.25">
      <c r="B25" s="1091" t="s">
        <v>634</v>
      </c>
      <c r="C25" s="1131">
        <v>0.03</v>
      </c>
      <c r="D25" s="1128" t="s">
        <v>632</v>
      </c>
      <c r="E25" s="1131">
        <f t="shared" si="1"/>
        <v>0.03</v>
      </c>
      <c r="F25" s="1092">
        <v>1250000</v>
      </c>
      <c r="G25" s="1092" t="s">
        <v>632</v>
      </c>
      <c r="H25" s="1129">
        <f t="shared" si="0"/>
        <v>37500</v>
      </c>
    </row>
    <row r="26" spans="2:8" x14ac:dyDescent="0.25">
      <c r="B26" s="1091" t="s">
        <v>635</v>
      </c>
      <c r="C26" s="408">
        <f>179/357</f>
        <v>0.50140056022408963</v>
      </c>
      <c r="D26" s="1128" t="s">
        <v>619</v>
      </c>
      <c r="E26" s="408">
        <f t="shared" si="1"/>
        <v>0.50140056022408963</v>
      </c>
      <c r="F26" s="1092">
        <v>2000</v>
      </c>
      <c r="G26" s="1092" t="s">
        <v>619</v>
      </c>
      <c r="H26" s="1129">
        <f t="shared" si="0"/>
        <v>1002.8011204481793</v>
      </c>
    </row>
    <row r="27" spans="2:8" x14ac:dyDescent="0.25">
      <c r="B27" s="1091" t="s">
        <v>636</v>
      </c>
      <c r="C27" s="408">
        <f>250/357</f>
        <v>0.70028011204481788</v>
      </c>
      <c r="D27" s="1128" t="s">
        <v>619</v>
      </c>
      <c r="E27" s="408">
        <f t="shared" si="1"/>
        <v>0.70028011204481788</v>
      </c>
      <c r="F27" s="1092">
        <v>765</v>
      </c>
      <c r="G27" s="1092" t="s">
        <v>619</v>
      </c>
      <c r="H27" s="1129">
        <f t="shared" si="0"/>
        <v>535.71428571428567</v>
      </c>
    </row>
    <row r="28" spans="2:8" x14ac:dyDescent="0.25">
      <c r="B28" s="1091" t="s">
        <v>637</v>
      </c>
      <c r="C28" s="408">
        <f>250/357</f>
        <v>0.70028011204481788</v>
      </c>
      <c r="D28" s="1128" t="s">
        <v>619</v>
      </c>
      <c r="E28" s="408">
        <f t="shared" si="1"/>
        <v>0.70028011204481788</v>
      </c>
      <c r="F28" s="1092">
        <v>5200</v>
      </c>
      <c r="G28" s="1092" t="s">
        <v>619</v>
      </c>
      <c r="H28" s="1129">
        <f t="shared" si="0"/>
        <v>3641.4565826330531</v>
      </c>
    </row>
    <row r="29" spans="2:8" x14ac:dyDescent="0.25">
      <c r="B29" s="1091" t="s">
        <v>638</v>
      </c>
      <c r="C29" s="408">
        <f>6069/357</f>
        <v>17</v>
      </c>
      <c r="D29" s="1128" t="s">
        <v>619</v>
      </c>
      <c r="E29" s="408">
        <f t="shared" si="1"/>
        <v>17</v>
      </c>
      <c r="F29" s="1092">
        <v>950</v>
      </c>
      <c r="G29" s="1092" t="s">
        <v>619</v>
      </c>
      <c r="H29" s="1129">
        <f t="shared" si="0"/>
        <v>16150</v>
      </c>
    </row>
    <row r="30" spans="2:8" x14ac:dyDescent="0.25">
      <c r="B30" s="1091" t="s">
        <v>639</v>
      </c>
      <c r="C30" s="408">
        <v>12</v>
      </c>
      <c r="D30" s="1128" t="s">
        <v>619</v>
      </c>
      <c r="E30" s="408">
        <f t="shared" si="1"/>
        <v>12</v>
      </c>
      <c r="F30" s="1092">
        <v>2400</v>
      </c>
      <c r="G30" s="1092" t="s">
        <v>619</v>
      </c>
      <c r="H30" s="1129">
        <f t="shared" si="0"/>
        <v>28800</v>
      </c>
    </row>
    <row r="31" spans="2:8" x14ac:dyDescent="0.25">
      <c r="B31" s="1091" t="s">
        <v>640</v>
      </c>
      <c r="C31" s="408">
        <f>357/357</f>
        <v>1</v>
      </c>
      <c r="D31" s="1128" t="s">
        <v>619</v>
      </c>
      <c r="E31" s="408">
        <f t="shared" si="1"/>
        <v>1</v>
      </c>
      <c r="F31" s="1092">
        <v>4200</v>
      </c>
      <c r="G31" s="1092" t="s">
        <v>619</v>
      </c>
      <c r="H31" s="1129">
        <f t="shared" si="0"/>
        <v>4200</v>
      </c>
    </row>
    <row r="32" spans="2:8" ht="15.75" thickBot="1" x14ac:dyDescent="0.3">
      <c r="B32" s="1091" t="s">
        <v>641</v>
      </c>
      <c r="C32" s="408">
        <f>6069/357</f>
        <v>17</v>
      </c>
      <c r="D32" s="1128" t="s">
        <v>619</v>
      </c>
      <c r="E32" s="408">
        <f t="shared" si="1"/>
        <v>17</v>
      </c>
      <c r="F32" s="1092">
        <v>700</v>
      </c>
      <c r="G32" s="1092" t="s">
        <v>619</v>
      </c>
      <c r="H32" s="1129">
        <f t="shared" si="0"/>
        <v>11900</v>
      </c>
    </row>
    <row r="33" spans="2:12" ht="21" customHeight="1" thickTop="1" thickBot="1" x14ac:dyDescent="0.3">
      <c r="B33" s="2457" t="s">
        <v>642</v>
      </c>
      <c r="C33" s="2458"/>
      <c r="D33" s="2458"/>
      <c r="E33" s="2458"/>
      <c r="F33" s="2458"/>
      <c r="G33" s="2459"/>
      <c r="H33" s="1132">
        <f>SUM(H6:H32)</f>
        <v>745255.21064425772</v>
      </c>
    </row>
    <row r="34" spans="2:12" x14ac:dyDescent="0.25">
      <c r="B34" s="343"/>
      <c r="C34" s="343"/>
      <c r="D34" s="343"/>
      <c r="E34" s="343"/>
      <c r="F34" s="343"/>
      <c r="G34" s="343"/>
      <c r="H34" s="343"/>
    </row>
    <row r="35" spans="2:12" ht="18.600000000000001" customHeight="1" x14ac:dyDescent="0.25">
      <c r="B35" s="2453" t="s">
        <v>383</v>
      </c>
      <c r="C35" s="2453" t="s">
        <v>219</v>
      </c>
      <c r="D35" s="2453"/>
      <c r="E35" s="2455" t="s">
        <v>643</v>
      </c>
      <c r="F35" s="2453" t="s">
        <v>563</v>
      </c>
      <c r="G35" s="2453"/>
      <c r="H35" s="1122" t="s">
        <v>384</v>
      </c>
      <c r="K35" s="1099"/>
      <c r="L35" s="1123"/>
    </row>
    <row r="36" spans="2:12" ht="18.600000000000001" customHeight="1" x14ac:dyDescent="0.25">
      <c r="B36" s="2454"/>
      <c r="C36" s="2454"/>
      <c r="D36" s="2454"/>
      <c r="E36" s="2456"/>
      <c r="F36" s="2454"/>
      <c r="G36" s="2454"/>
      <c r="H36" s="1122" t="s">
        <v>385</v>
      </c>
      <c r="K36" s="1099"/>
    </row>
    <row r="37" spans="2:12" ht="18.600000000000001" customHeight="1" x14ac:dyDescent="0.25">
      <c r="B37" s="1124" t="s">
        <v>644</v>
      </c>
      <c r="C37" s="1125"/>
      <c r="D37" s="1125"/>
      <c r="E37" s="1126"/>
      <c r="F37" s="1125"/>
      <c r="G37" s="1125"/>
      <c r="H37" s="1125"/>
      <c r="K37" s="1099"/>
    </row>
    <row r="38" spans="2:12" x14ac:dyDescent="0.25">
      <c r="B38" s="1091" t="s">
        <v>645</v>
      </c>
      <c r="C38" s="408">
        <f>286/357</f>
        <v>0.80112044817927175</v>
      </c>
      <c r="D38" s="1128" t="s">
        <v>619</v>
      </c>
      <c r="E38" s="408">
        <f t="shared" ref="E38:E53" si="2">C38</f>
        <v>0.80112044817927175</v>
      </c>
      <c r="F38" s="1092">
        <v>4000</v>
      </c>
      <c r="G38" s="1092" t="s">
        <v>619</v>
      </c>
      <c r="H38" s="1133">
        <f t="shared" ref="H38:H53" si="3">E38*F38</f>
        <v>3204.481792717087</v>
      </c>
    </row>
    <row r="39" spans="2:12" x14ac:dyDescent="0.25">
      <c r="B39" s="1091" t="s">
        <v>646</v>
      </c>
      <c r="C39" s="408">
        <f>1785/357</f>
        <v>5</v>
      </c>
      <c r="D39" s="1128" t="s">
        <v>647</v>
      </c>
      <c r="E39" s="408">
        <f t="shared" si="2"/>
        <v>5</v>
      </c>
      <c r="F39" s="1092">
        <v>10100</v>
      </c>
      <c r="G39" s="1092" t="s">
        <v>647</v>
      </c>
      <c r="H39" s="1133">
        <f t="shared" si="3"/>
        <v>50500</v>
      </c>
    </row>
    <row r="40" spans="2:12" x14ac:dyDescent="0.25">
      <c r="B40" s="1091" t="s">
        <v>648</v>
      </c>
      <c r="C40" s="408">
        <f>714/357</f>
        <v>2</v>
      </c>
      <c r="D40" s="1128" t="s">
        <v>649</v>
      </c>
      <c r="E40" s="408">
        <f t="shared" si="2"/>
        <v>2</v>
      </c>
      <c r="F40" s="1092">
        <v>8160</v>
      </c>
      <c r="G40" s="1092" t="s">
        <v>649</v>
      </c>
      <c r="H40" s="1133">
        <f t="shared" si="3"/>
        <v>16320</v>
      </c>
    </row>
    <row r="41" spans="2:12" x14ac:dyDescent="0.25">
      <c r="B41" s="1091" t="s">
        <v>650</v>
      </c>
      <c r="C41" s="408">
        <f>360/357</f>
        <v>1.0084033613445378</v>
      </c>
      <c r="D41" s="1128" t="s">
        <v>651</v>
      </c>
      <c r="E41" s="408">
        <f t="shared" si="2"/>
        <v>1.0084033613445378</v>
      </c>
      <c r="F41" s="1092">
        <v>26550</v>
      </c>
      <c r="G41" s="1092" t="s">
        <v>651</v>
      </c>
      <c r="H41" s="1133">
        <f t="shared" si="3"/>
        <v>26773.10924369748</v>
      </c>
    </row>
    <row r="42" spans="2:12" x14ac:dyDescent="0.25">
      <c r="B42" s="1091" t="s">
        <v>652</v>
      </c>
      <c r="C42" s="408">
        <f>714/357</f>
        <v>2</v>
      </c>
      <c r="D42" s="1128" t="s">
        <v>649</v>
      </c>
      <c r="E42" s="408">
        <f t="shared" si="2"/>
        <v>2</v>
      </c>
      <c r="F42" s="1092">
        <v>31700</v>
      </c>
      <c r="G42" s="1092" t="s">
        <v>649</v>
      </c>
      <c r="H42" s="1133">
        <f t="shared" si="3"/>
        <v>63400</v>
      </c>
    </row>
    <row r="43" spans="2:12" x14ac:dyDescent="0.25">
      <c r="B43" s="1091" t="s">
        <v>653</v>
      </c>
      <c r="C43" s="408">
        <v>2.5</v>
      </c>
      <c r="D43" s="1128" t="s">
        <v>649</v>
      </c>
      <c r="E43" s="408">
        <f t="shared" si="2"/>
        <v>2.5</v>
      </c>
      <c r="F43" s="1092">
        <v>31006</v>
      </c>
      <c r="G43" s="1092" t="s">
        <v>649</v>
      </c>
      <c r="H43" s="1133">
        <f t="shared" si="3"/>
        <v>77515</v>
      </c>
    </row>
    <row r="44" spans="2:12" x14ac:dyDescent="0.25">
      <c r="B44" s="1091" t="s">
        <v>654</v>
      </c>
      <c r="C44" s="408">
        <f>179/357</f>
        <v>0.50140056022408963</v>
      </c>
      <c r="D44" s="1128" t="s">
        <v>619</v>
      </c>
      <c r="E44" s="408">
        <f t="shared" si="2"/>
        <v>0.50140056022408963</v>
      </c>
      <c r="F44" s="1092">
        <v>11950</v>
      </c>
      <c r="G44" s="1092" t="s">
        <v>619</v>
      </c>
      <c r="H44" s="1133">
        <f t="shared" si="3"/>
        <v>5991.7366946778711</v>
      </c>
    </row>
    <row r="45" spans="2:12" x14ac:dyDescent="0.25">
      <c r="B45" s="1091" t="s">
        <v>655</v>
      </c>
      <c r="C45" s="408">
        <f>214/357</f>
        <v>0.59943977591036413</v>
      </c>
      <c r="D45" s="1128" t="s">
        <v>619</v>
      </c>
      <c r="E45" s="408">
        <f t="shared" si="2"/>
        <v>0.59943977591036413</v>
      </c>
      <c r="F45" s="1092">
        <v>2545</v>
      </c>
      <c r="G45" s="1092" t="s">
        <v>619</v>
      </c>
      <c r="H45" s="1133">
        <f t="shared" si="3"/>
        <v>1525.5742296918768</v>
      </c>
    </row>
    <row r="46" spans="2:12" x14ac:dyDescent="0.25">
      <c r="B46" s="1091" t="s">
        <v>656</v>
      </c>
      <c r="C46" s="408">
        <f>1714/357</f>
        <v>4.8011204481792715</v>
      </c>
      <c r="D46" s="1128" t="s">
        <v>657</v>
      </c>
      <c r="E46" s="408">
        <f t="shared" si="2"/>
        <v>4.8011204481792715</v>
      </c>
      <c r="F46" s="1092">
        <v>930</v>
      </c>
      <c r="G46" s="1092" t="s">
        <v>657</v>
      </c>
      <c r="H46" s="1133">
        <f t="shared" si="3"/>
        <v>4465.0420168067221</v>
      </c>
    </row>
    <row r="47" spans="2:12" x14ac:dyDescent="0.25">
      <c r="B47" s="1091" t="s">
        <v>658</v>
      </c>
      <c r="C47" s="408">
        <f>71/357</f>
        <v>0.19887955182072828</v>
      </c>
      <c r="D47" s="1128" t="s">
        <v>619</v>
      </c>
      <c r="E47" s="408">
        <f t="shared" si="2"/>
        <v>0.19887955182072828</v>
      </c>
      <c r="F47" s="1092">
        <v>21050</v>
      </c>
      <c r="G47" s="1092" t="s">
        <v>619</v>
      </c>
      <c r="H47" s="1133">
        <f t="shared" si="3"/>
        <v>4186.4145658263305</v>
      </c>
    </row>
    <row r="48" spans="2:12" x14ac:dyDescent="0.25">
      <c r="B48" s="1091" t="s">
        <v>659</v>
      </c>
      <c r="C48" s="408">
        <f>12/357</f>
        <v>3.3613445378151259E-2</v>
      </c>
      <c r="D48" s="1128" t="s">
        <v>619</v>
      </c>
      <c r="E48" s="408">
        <f t="shared" si="2"/>
        <v>3.3613445378151259E-2</v>
      </c>
      <c r="F48" s="1092">
        <v>12500</v>
      </c>
      <c r="G48" s="1092" t="s">
        <v>619</v>
      </c>
      <c r="H48" s="1133">
        <f t="shared" si="3"/>
        <v>420.16806722689074</v>
      </c>
    </row>
    <row r="49" spans="1:12" x14ac:dyDescent="0.25">
      <c r="B49" s="1091" t="s">
        <v>660</v>
      </c>
      <c r="C49" s="408">
        <v>0.08</v>
      </c>
      <c r="D49" s="1128" t="s">
        <v>657</v>
      </c>
      <c r="E49" s="408">
        <f t="shared" si="2"/>
        <v>0.08</v>
      </c>
      <c r="F49" s="1092">
        <v>8160</v>
      </c>
      <c r="G49" s="1092" t="s">
        <v>657</v>
      </c>
      <c r="H49" s="1133">
        <f t="shared" si="3"/>
        <v>652.80000000000007</v>
      </c>
    </row>
    <row r="50" spans="1:12" x14ac:dyDescent="0.25">
      <c r="B50" s="1091" t="s">
        <v>661</v>
      </c>
      <c r="C50" s="408">
        <f>12/357</f>
        <v>3.3613445378151259E-2</v>
      </c>
      <c r="D50" s="1128" t="s">
        <v>619</v>
      </c>
      <c r="E50" s="408">
        <f t="shared" si="2"/>
        <v>3.3613445378151259E-2</v>
      </c>
      <c r="F50" s="1092">
        <v>23400</v>
      </c>
      <c r="G50" s="1092" t="s">
        <v>619</v>
      </c>
      <c r="H50" s="1133">
        <f t="shared" si="3"/>
        <v>786.55462184873943</v>
      </c>
    </row>
    <row r="51" spans="1:12" x14ac:dyDescent="0.25">
      <c r="B51" s="1091" t="s">
        <v>662</v>
      </c>
      <c r="C51" s="408">
        <f>12/357</f>
        <v>3.3613445378151259E-2</v>
      </c>
      <c r="D51" s="1128" t="s">
        <v>619</v>
      </c>
      <c r="E51" s="408">
        <f t="shared" si="2"/>
        <v>3.3613445378151259E-2</v>
      </c>
      <c r="F51" s="1092">
        <v>50800</v>
      </c>
      <c r="G51" s="1092" t="s">
        <v>619</v>
      </c>
      <c r="H51" s="1133">
        <f t="shared" si="3"/>
        <v>1707.5630252100839</v>
      </c>
    </row>
    <row r="52" spans="1:12" x14ac:dyDescent="0.25">
      <c r="B52" s="1091" t="s">
        <v>663</v>
      </c>
      <c r="C52" s="408">
        <v>0.08</v>
      </c>
      <c r="D52" s="1128" t="s">
        <v>619</v>
      </c>
      <c r="E52" s="408">
        <f t="shared" si="2"/>
        <v>0.08</v>
      </c>
      <c r="F52" s="1092">
        <v>6250</v>
      </c>
      <c r="G52" s="1092" t="s">
        <v>619</v>
      </c>
      <c r="H52" s="1133">
        <f t="shared" si="3"/>
        <v>500</v>
      </c>
    </row>
    <row r="53" spans="1:12" ht="15.75" thickBot="1" x14ac:dyDescent="0.3">
      <c r="B53" s="1091" t="s">
        <v>664</v>
      </c>
      <c r="C53" s="408">
        <v>0.05</v>
      </c>
      <c r="D53" s="1128" t="s">
        <v>619</v>
      </c>
      <c r="E53" s="408">
        <f t="shared" si="2"/>
        <v>0.05</v>
      </c>
      <c r="F53" s="1092">
        <v>24260</v>
      </c>
      <c r="G53" s="1092" t="s">
        <v>619</v>
      </c>
      <c r="H53" s="1133">
        <f t="shared" si="3"/>
        <v>1213</v>
      </c>
    </row>
    <row r="54" spans="1:12" ht="16.5" thickTop="1" thickBot="1" x14ac:dyDescent="0.3">
      <c r="B54" s="2457" t="s">
        <v>642</v>
      </c>
      <c r="C54" s="2458"/>
      <c r="D54" s="2458"/>
      <c r="E54" s="2458"/>
      <c r="F54" s="2458"/>
      <c r="G54" s="2459"/>
      <c r="H54" s="1132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53" t="s">
        <v>383</v>
      </c>
      <c r="C56" s="2453" t="s">
        <v>219</v>
      </c>
      <c r="D56" s="2453"/>
      <c r="E56" s="2455" t="s">
        <v>643</v>
      </c>
      <c r="F56" s="2453" t="s">
        <v>563</v>
      </c>
      <c r="G56" s="2453"/>
      <c r="H56" s="1122" t="s">
        <v>384</v>
      </c>
      <c r="K56" s="1099"/>
      <c r="L56" s="1123"/>
    </row>
    <row r="57" spans="1:12" ht="18.600000000000001" customHeight="1" x14ac:dyDescent="0.25">
      <c r="B57" s="2454"/>
      <c r="C57" s="2454"/>
      <c r="D57" s="2454"/>
      <c r="E57" s="2456"/>
      <c r="F57" s="2454"/>
      <c r="G57" s="2454"/>
      <c r="H57" s="1122" t="s">
        <v>385</v>
      </c>
      <c r="K57" s="1099"/>
    </row>
    <row r="58" spans="1:12" ht="18.600000000000001" customHeight="1" x14ac:dyDescent="0.25">
      <c r="B58" s="1124" t="s">
        <v>366</v>
      </c>
      <c r="C58" s="1125"/>
      <c r="D58" s="1125"/>
      <c r="E58" s="1126"/>
      <c r="F58" s="1125"/>
      <c r="G58" s="1125"/>
      <c r="H58" s="1134"/>
      <c r="K58" s="1099"/>
    </row>
    <row r="59" spans="1:12" x14ac:dyDescent="0.25">
      <c r="B59" s="1091" t="s">
        <v>665</v>
      </c>
      <c r="C59" s="408">
        <f>59/357</f>
        <v>0.16526610644257703</v>
      </c>
      <c r="D59" s="1128" t="s">
        <v>649</v>
      </c>
      <c r="E59" s="408">
        <f>C59</f>
        <v>0.16526610644257703</v>
      </c>
      <c r="F59" s="1092">
        <v>82000</v>
      </c>
      <c r="G59" s="1092" t="s">
        <v>649</v>
      </c>
      <c r="H59" s="1133">
        <f>E59*F59</f>
        <v>13551.820728291315</v>
      </c>
    </row>
    <row r="60" spans="1:12" ht="15.75" thickBot="1" x14ac:dyDescent="0.3">
      <c r="B60" s="1091" t="s">
        <v>666</v>
      </c>
      <c r="C60" s="408">
        <f>59/357</f>
        <v>0.16526610644257703</v>
      </c>
      <c r="D60" s="1128" t="s">
        <v>649</v>
      </c>
      <c r="E60" s="408">
        <f>C60</f>
        <v>0.16526610644257703</v>
      </c>
      <c r="F60" s="1092">
        <v>82000</v>
      </c>
      <c r="G60" s="1092" t="s">
        <v>649</v>
      </c>
      <c r="H60" s="1133">
        <f>E60*F60</f>
        <v>13551.820728291315</v>
      </c>
    </row>
    <row r="61" spans="1:12" ht="16.5" thickTop="1" thickBot="1" x14ac:dyDescent="0.3">
      <c r="B61" s="2457" t="s">
        <v>642</v>
      </c>
      <c r="C61" s="2458"/>
      <c r="D61" s="2458"/>
      <c r="E61" s="2458"/>
      <c r="F61" s="2458"/>
      <c r="G61" s="2459"/>
      <c r="H61" s="1132">
        <f>SUM(H59:H60)</f>
        <v>27103.641456582631</v>
      </c>
    </row>
    <row r="62" spans="1:12" ht="16.5" thickTop="1" thickBot="1" x14ac:dyDescent="0.3">
      <c r="B62" s="1135"/>
      <c r="C62" s="1135"/>
      <c r="D62" s="1135"/>
      <c r="E62" s="1135"/>
      <c r="F62" s="1135"/>
      <c r="G62" s="1135"/>
      <c r="H62" s="1136"/>
    </row>
    <row r="63" spans="1:12" ht="15.75" thickTop="1" x14ac:dyDescent="0.25">
      <c r="B63" s="2447" t="s">
        <v>667</v>
      </c>
      <c r="C63" s="2448"/>
      <c r="D63" s="2448"/>
      <c r="E63" s="2448"/>
      <c r="F63" s="2448"/>
      <c r="G63" s="2448"/>
      <c r="H63" s="2451">
        <f>H61+H54+H33</f>
        <v>1031520.2963585434</v>
      </c>
    </row>
    <row r="64" spans="1:12" ht="6.6" customHeight="1" thickBot="1" x14ac:dyDescent="0.3">
      <c r="B64" s="2449"/>
      <c r="C64" s="2450"/>
      <c r="D64" s="2450"/>
      <c r="E64" s="2450"/>
      <c r="F64" s="2450"/>
      <c r="G64" s="2450"/>
      <c r="H64" s="2452"/>
    </row>
    <row r="65" spans="2:9" ht="15.75" thickTop="1" x14ac:dyDescent="0.25"/>
    <row r="67" spans="2:9" ht="21" x14ac:dyDescent="0.25">
      <c r="B67" s="970"/>
      <c r="C67" s="1120" t="s">
        <v>668</v>
      </c>
      <c r="D67" s="970"/>
      <c r="E67" s="970"/>
      <c r="F67" s="343"/>
      <c r="G67" s="970"/>
      <c r="H67" s="970"/>
      <c r="I67" s="970"/>
    </row>
    <row r="68" spans="2:9" x14ac:dyDescent="0.25">
      <c r="B68" s="2453" t="s">
        <v>99</v>
      </c>
      <c r="C68" s="2453" t="s">
        <v>383</v>
      </c>
      <c r="D68" s="2453" t="s">
        <v>219</v>
      </c>
      <c r="E68" s="2453"/>
      <c r="F68" s="2455" t="s">
        <v>643</v>
      </c>
      <c r="G68" s="2453" t="s">
        <v>563</v>
      </c>
      <c r="H68" s="2453"/>
      <c r="I68" s="1137" t="s">
        <v>384</v>
      </c>
    </row>
    <row r="69" spans="2:9" ht="15.75" thickBot="1" x14ac:dyDescent="0.3">
      <c r="B69" s="2454"/>
      <c r="C69" s="2454"/>
      <c r="D69" s="2454"/>
      <c r="E69" s="2454"/>
      <c r="F69" s="2456"/>
      <c r="G69" s="2454"/>
      <c r="H69" s="2454"/>
      <c r="I69" s="1137" t="s">
        <v>385</v>
      </c>
    </row>
    <row r="70" spans="2:9" ht="15.75" thickTop="1" x14ac:dyDescent="0.25">
      <c r="B70" s="1138">
        <v>1</v>
      </c>
      <c r="C70" s="1139" t="s">
        <v>669</v>
      </c>
      <c r="D70" s="1140">
        <v>12</v>
      </c>
      <c r="E70" s="1140" t="s">
        <v>670</v>
      </c>
      <c r="F70" s="1141">
        <f>D70/357</f>
        <v>3.3613445378151259E-2</v>
      </c>
      <c r="G70" s="1142">
        <v>35000</v>
      </c>
      <c r="H70" s="1142" t="s">
        <v>671</v>
      </c>
      <c r="I70" s="1143">
        <f>F70*G70</f>
        <v>1176.4705882352941</v>
      </c>
    </row>
    <row r="71" spans="2:9" x14ac:dyDescent="0.25">
      <c r="B71" s="1144">
        <f>B70+1</f>
        <v>2</v>
      </c>
      <c r="C71" s="1145" t="s">
        <v>672</v>
      </c>
      <c r="D71" s="1146">
        <v>72</v>
      </c>
      <c r="E71" s="1146" t="s">
        <v>670</v>
      </c>
      <c r="F71" s="1147">
        <f t="shared" ref="F71:F110" si="4">D71/357</f>
        <v>0.20168067226890757</v>
      </c>
      <c r="G71" s="1148">
        <v>48000</v>
      </c>
      <c r="H71" s="1148" t="s">
        <v>671</v>
      </c>
      <c r="I71" s="1149">
        <f t="shared" ref="I71:I110" si="5">F71*G71</f>
        <v>9680.6722689075632</v>
      </c>
    </row>
    <row r="72" spans="2:9" x14ac:dyDescent="0.25">
      <c r="B72" s="1144">
        <f t="shared" ref="B72:B110" si="6">B71+1</f>
        <v>3</v>
      </c>
      <c r="C72" s="1145" t="s">
        <v>673</v>
      </c>
      <c r="D72" s="1146">
        <v>12</v>
      </c>
      <c r="E72" s="1146" t="s">
        <v>670</v>
      </c>
      <c r="F72" s="1147">
        <f t="shared" si="4"/>
        <v>3.3613445378151259E-2</v>
      </c>
      <c r="G72" s="1148">
        <v>100000</v>
      </c>
      <c r="H72" s="1148" t="s">
        <v>671</v>
      </c>
      <c r="I72" s="1149">
        <f t="shared" si="5"/>
        <v>3361.3445378151259</v>
      </c>
    </row>
    <row r="73" spans="2:9" x14ac:dyDescent="0.25">
      <c r="B73" s="1144">
        <f t="shared" si="6"/>
        <v>4</v>
      </c>
      <c r="C73" s="1145" t="s">
        <v>674</v>
      </c>
      <c r="D73" s="1146">
        <v>6</v>
      </c>
      <c r="E73" s="1146" t="s">
        <v>670</v>
      </c>
      <c r="F73" s="1147">
        <f t="shared" si="4"/>
        <v>1.680672268907563E-2</v>
      </c>
      <c r="G73" s="1148">
        <v>120000</v>
      </c>
      <c r="H73" s="1148" t="s">
        <v>671</v>
      </c>
      <c r="I73" s="1149">
        <f t="shared" si="5"/>
        <v>2016.8067226890755</v>
      </c>
    </row>
    <row r="74" spans="2:9" x14ac:dyDescent="0.25">
      <c r="B74" s="1144">
        <f t="shared" si="6"/>
        <v>5</v>
      </c>
      <c r="C74" s="1145" t="s">
        <v>675</v>
      </c>
      <c r="D74" s="1146">
        <v>6</v>
      </c>
      <c r="E74" s="1146" t="s">
        <v>670</v>
      </c>
      <c r="F74" s="1147">
        <f t="shared" si="4"/>
        <v>1.680672268907563E-2</v>
      </c>
      <c r="G74" s="1148">
        <v>142000</v>
      </c>
      <c r="H74" s="1148" t="s">
        <v>671</v>
      </c>
      <c r="I74" s="1149">
        <f t="shared" si="5"/>
        <v>2386.5546218487393</v>
      </c>
    </row>
    <row r="75" spans="2:9" x14ac:dyDescent="0.25">
      <c r="B75" s="1144">
        <f t="shared" si="6"/>
        <v>6</v>
      </c>
      <c r="C75" s="1145" t="s">
        <v>676</v>
      </c>
      <c r="D75" s="1146">
        <v>6</v>
      </c>
      <c r="E75" s="1146" t="s">
        <v>670</v>
      </c>
      <c r="F75" s="1147">
        <f t="shared" si="4"/>
        <v>1.680672268907563E-2</v>
      </c>
      <c r="G75" s="1148">
        <v>70000</v>
      </c>
      <c r="H75" s="1148" t="s">
        <v>671</v>
      </c>
      <c r="I75" s="1149">
        <f t="shared" si="5"/>
        <v>1176.4705882352941</v>
      </c>
    </row>
    <row r="76" spans="2:9" x14ac:dyDescent="0.25">
      <c r="B76" s="1144">
        <f t="shared" si="6"/>
        <v>7</v>
      </c>
      <c r="C76" s="1145" t="s">
        <v>677</v>
      </c>
      <c r="D76" s="1146">
        <v>6</v>
      </c>
      <c r="E76" s="1146" t="s">
        <v>670</v>
      </c>
      <c r="F76" s="1147">
        <f t="shared" si="4"/>
        <v>1.680672268907563E-2</v>
      </c>
      <c r="G76" s="1148">
        <v>180000</v>
      </c>
      <c r="H76" s="1148" t="s">
        <v>671</v>
      </c>
      <c r="I76" s="1149">
        <f t="shared" si="5"/>
        <v>3025.2100840336134</v>
      </c>
    </row>
    <row r="77" spans="2:9" x14ac:dyDescent="0.25">
      <c r="B77" s="1144">
        <f t="shared" si="6"/>
        <v>8</v>
      </c>
      <c r="C77" s="1145" t="s">
        <v>678</v>
      </c>
      <c r="D77" s="1146">
        <v>2</v>
      </c>
      <c r="E77" s="1146" t="s">
        <v>670</v>
      </c>
      <c r="F77" s="1147">
        <f t="shared" si="4"/>
        <v>5.6022408963585435E-3</v>
      </c>
      <c r="G77" s="1148">
        <v>350000</v>
      </c>
      <c r="H77" s="1148" t="s">
        <v>671</v>
      </c>
      <c r="I77" s="1149">
        <f t="shared" si="5"/>
        <v>1960.7843137254902</v>
      </c>
    </row>
    <row r="78" spans="2:9" x14ac:dyDescent="0.25">
      <c r="B78" s="1144">
        <f t="shared" si="6"/>
        <v>9</v>
      </c>
      <c r="C78" s="1145" t="s">
        <v>679</v>
      </c>
      <c r="D78" s="1146">
        <v>2</v>
      </c>
      <c r="E78" s="1146" t="s">
        <v>670</v>
      </c>
      <c r="F78" s="1147">
        <f t="shared" si="4"/>
        <v>5.6022408963585435E-3</v>
      </c>
      <c r="G78" s="1148">
        <v>350000</v>
      </c>
      <c r="H78" s="1148" t="s">
        <v>671</v>
      </c>
      <c r="I78" s="1149">
        <f t="shared" si="5"/>
        <v>1960.7843137254902</v>
      </c>
    </row>
    <row r="79" spans="2:9" x14ac:dyDescent="0.25">
      <c r="B79" s="1144">
        <f t="shared" si="6"/>
        <v>10</v>
      </c>
      <c r="C79" s="1145" t="s">
        <v>680</v>
      </c>
      <c r="D79" s="1146">
        <v>6</v>
      </c>
      <c r="E79" s="1146" t="s">
        <v>670</v>
      </c>
      <c r="F79" s="1147">
        <f t="shared" si="4"/>
        <v>1.680672268907563E-2</v>
      </c>
      <c r="G79" s="1148">
        <v>75000</v>
      </c>
      <c r="H79" s="1148" t="s">
        <v>671</v>
      </c>
      <c r="I79" s="1149">
        <f t="shared" si="5"/>
        <v>1260.5042016806722</v>
      </c>
    </row>
    <row r="80" spans="2:9" x14ac:dyDescent="0.25">
      <c r="B80" s="1144">
        <f t="shared" si="6"/>
        <v>11</v>
      </c>
      <c r="C80" s="1145" t="s">
        <v>681</v>
      </c>
      <c r="D80" s="1146">
        <v>72</v>
      </c>
      <c r="E80" s="1146" t="s">
        <v>670</v>
      </c>
      <c r="F80" s="1147">
        <f t="shared" si="4"/>
        <v>0.20168067226890757</v>
      </c>
      <c r="G80" s="1148">
        <v>90000</v>
      </c>
      <c r="H80" s="1148" t="s">
        <v>671</v>
      </c>
      <c r="I80" s="1149">
        <f t="shared" si="5"/>
        <v>18151.26050420168</v>
      </c>
    </row>
    <row r="81" spans="2:9" x14ac:dyDescent="0.25">
      <c r="B81" s="1144">
        <f t="shared" si="6"/>
        <v>12</v>
      </c>
      <c r="C81" s="1145" t="s">
        <v>682</v>
      </c>
      <c r="D81" s="1146">
        <v>2</v>
      </c>
      <c r="E81" s="1146" t="s">
        <v>670</v>
      </c>
      <c r="F81" s="1147">
        <f t="shared" si="4"/>
        <v>5.6022408963585435E-3</v>
      </c>
      <c r="G81" s="1148">
        <v>400000</v>
      </c>
      <c r="H81" s="1148" t="s">
        <v>671</v>
      </c>
      <c r="I81" s="1149">
        <f t="shared" si="5"/>
        <v>2240.8963585434176</v>
      </c>
    </row>
    <row r="82" spans="2:9" x14ac:dyDescent="0.25">
      <c r="B82" s="1144">
        <f t="shared" si="6"/>
        <v>13</v>
      </c>
      <c r="C82" s="1145" t="s">
        <v>683</v>
      </c>
      <c r="D82" s="1146">
        <v>2</v>
      </c>
      <c r="E82" s="1146" t="s">
        <v>670</v>
      </c>
      <c r="F82" s="1147">
        <f t="shared" si="4"/>
        <v>5.6022408963585435E-3</v>
      </c>
      <c r="G82" s="1148">
        <v>85000</v>
      </c>
      <c r="H82" s="1148" t="s">
        <v>671</v>
      </c>
      <c r="I82" s="1149">
        <f t="shared" si="5"/>
        <v>476.1904761904762</v>
      </c>
    </row>
    <row r="83" spans="2:9" x14ac:dyDescent="0.25">
      <c r="B83" s="1144">
        <f t="shared" si="6"/>
        <v>14</v>
      </c>
      <c r="C83" s="1145" t="s">
        <v>684</v>
      </c>
      <c r="D83" s="1146">
        <v>2</v>
      </c>
      <c r="E83" s="1146" t="s">
        <v>670</v>
      </c>
      <c r="F83" s="1147">
        <f t="shared" si="4"/>
        <v>5.6022408963585435E-3</v>
      </c>
      <c r="G83" s="1148">
        <v>550000</v>
      </c>
      <c r="H83" s="1148" t="s">
        <v>671</v>
      </c>
      <c r="I83" s="1149">
        <f t="shared" si="5"/>
        <v>3081.2324929971987</v>
      </c>
    </row>
    <row r="84" spans="2:9" x14ac:dyDescent="0.25">
      <c r="B84" s="1144">
        <f t="shared" si="6"/>
        <v>15</v>
      </c>
      <c r="C84" s="1145" t="s">
        <v>685</v>
      </c>
      <c r="D84" s="1146">
        <v>2</v>
      </c>
      <c r="E84" s="1146" t="s">
        <v>670</v>
      </c>
      <c r="F84" s="1147">
        <f t="shared" si="4"/>
        <v>5.6022408963585435E-3</v>
      </c>
      <c r="G84" s="1148">
        <v>600000</v>
      </c>
      <c r="H84" s="1148" t="s">
        <v>671</v>
      </c>
      <c r="I84" s="1149">
        <f t="shared" si="5"/>
        <v>3361.3445378151259</v>
      </c>
    </row>
    <row r="85" spans="2:9" x14ac:dyDescent="0.25">
      <c r="B85" s="1144">
        <f t="shared" si="6"/>
        <v>16</v>
      </c>
      <c r="C85" s="1145" t="s">
        <v>686</v>
      </c>
      <c r="D85" s="1146">
        <v>48</v>
      </c>
      <c r="E85" s="1146" t="s">
        <v>670</v>
      </c>
      <c r="F85" s="1147">
        <f t="shared" si="4"/>
        <v>0.13445378151260504</v>
      </c>
      <c r="G85" s="1148">
        <v>60000</v>
      </c>
      <c r="H85" s="1148" t="s">
        <v>671</v>
      </c>
      <c r="I85" s="1149">
        <f t="shared" si="5"/>
        <v>8067.2268907563021</v>
      </c>
    </row>
    <row r="86" spans="2:9" x14ac:dyDescent="0.25">
      <c r="B86" s="1144">
        <f t="shared" si="6"/>
        <v>17</v>
      </c>
      <c r="C86" s="1145" t="s">
        <v>687</v>
      </c>
      <c r="D86" s="1146">
        <v>2</v>
      </c>
      <c r="E86" s="1146" t="s">
        <v>670</v>
      </c>
      <c r="F86" s="1147">
        <f t="shared" si="4"/>
        <v>5.6022408963585435E-3</v>
      </c>
      <c r="G86" s="1148">
        <v>710000</v>
      </c>
      <c r="H86" s="1148" t="s">
        <v>671</v>
      </c>
      <c r="I86" s="1149">
        <f t="shared" si="5"/>
        <v>3977.5910364145657</v>
      </c>
    </row>
    <row r="87" spans="2:9" x14ac:dyDescent="0.25">
      <c r="B87" s="1144">
        <f t="shared" si="6"/>
        <v>18</v>
      </c>
      <c r="C87" s="1145" t="s">
        <v>688</v>
      </c>
      <c r="D87" s="1146">
        <v>2</v>
      </c>
      <c r="E87" s="1146" t="s">
        <v>670</v>
      </c>
      <c r="F87" s="1147">
        <f t="shared" si="4"/>
        <v>5.6022408963585435E-3</v>
      </c>
      <c r="G87" s="1148">
        <v>135000</v>
      </c>
      <c r="H87" s="1148" t="s">
        <v>671</v>
      </c>
      <c r="I87" s="1149">
        <f t="shared" si="5"/>
        <v>756.30252100840335</v>
      </c>
    </row>
    <row r="88" spans="2:9" x14ac:dyDescent="0.25">
      <c r="B88" s="1144">
        <f t="shared" si="6"/>
        <v>19</v>
      </c>
      <c r="C88" s="1145" t="s">
        <v>689</v>
      </c>
      <c r="D88" s="1146">
        <v>2</v>
      </c>
      <c r="E88" s="1146" t="s">
        <v>670</v>
      </c>
      <c r="F88" s="1147">
        <f t="shared" si="4"/>
        <v>5.6022408963585435E-3</v>
      </c>
      <c r="G88" s="1148">
        <v>520000</v>
      </c>
      <c r="H88" s="1148" t="s">
        <v>671</v>
      </c>
      <c r="I88" s="1149">
        <f t="shared" si="5"/>
        <v>2913.1652661064427</v>
      </c>
    </row>
    <row r="89" spans="2:9" x14ac:dyDescent="0.25">
      <c r="B89" s="1144">
        <f t="shared" si="6"/>
        <v>20</v>
      </c>
      <c r="C89" s="1145" t="s">
        <v>690</v>
      </c>
      <c r="D89" s="1146">
        <v>6</v>
      </c>
      <c r="E89" s="1146" t="s">
        <v>670</v>
      </c>
      <c r="F89" s="1147">
        <f t="shared" si="4"/>
        <v>1.680672268907563E-2</v>
      </c>
      <c r="G89" s="1148">
        <v>60000</v>
      </c>
      <c r="H89" s="1148" t="s">
        <v>671</v>
      </c>
      <c r="I89" s="1149">
        <f t="shared" si="5"/>
        <v>1008.4033613445378</v>
      </c>
    </row>
    <row r="90" spans="2:9" x14ac:dyDescent="0.25">
      <c r="B90" s="1144">
        <f t="shared" si="6"/>
        <v>21</v>
      </c>
      <c r="C90" s="1145" t="s">
        <v>691</v>
      </c>
      <c r="D90" s="1146">
        <v>6</v>
      </c>
      <c r="E90" s="1146" t="s">
        <v>670</v>
      </c>
      <c r="F90" s="1147">
        <f t="shared" si="4"/>
        <v>1.680672268907563E-2</v>
      </c>
      <c r="G90" s="1148">
        <v>65000</v>
      </c>
      <c r="H90" s="1148" t="s">
        <v>671</v>
      </c>
      <c r="I90" s="1149">
        <f t="shared" si="5"/>
        <v>1092.4369747899159</v>
      </c>
    </row>
    <row r="91" spans="2:9" x14ac:dyDescent="0.25">
      <c r="B91" s="1144">
        <f t="shared" si="6"/>
        <v>22</v>
      </c>
      <c r="C91" s="1145" t="s">
        <v>692</v>
      </c>
      <c r="D91" s="1146">
        <v>6</v>
      </c>
      <c r="E91" s="1146" t="s">
        <v>670</v>
      </c>
      <c r="F91" s="1147">
        <f t="shared" si="4"/>
        <v>1.680672268907563E-2</v>
      </c>
      <c r="G91" s="1148">
        <v>80000</v>
      </c>
      <c r="H91" s="1148" t="s">
        <v>671</v>
      </c>
      <c r="I91" s="1149">
        <f t="shared" si="5"/>
        <v>1344.5378151260504</v>
      </c>
    </row>
    <row r="92" spans="2:9" x14ac:dyDescent="0.25">
      <c r="B92" s="1144">
        <f t="shared" si="6"/>
        <v>23</v>
      </c>
      <c r="C92" s="1145" t="s">
        <v>693</v>
      </c>
      <c r="D92" s="1146">
        <v>6</v>
      </c>
      <c r="E92" s="1146" t="s">
        <v>670</v>
      </c>
      <c r="F92" s="1147">
        <f t="shared" si="4"/>
        <v>1.680672268907563E-2</v>
      </c>
      <c r="G92" s="1148">
        <v>130000</v>
      </c>
      <c r="H92" s="1148" t="s">
        <v>671</v>
      </c>
      <c r="I92" s="1149">
        <f t="shared" si="5"/>
        <v>2184.8739495798318</v>
      </c>
    </row>
    <row r="93" spans="2:9" x14ac:dyDescent="0.25">
      <c r="B93" s="1144">
        <f t="shared" si="6"/>
        <v>24</v>
      </c>
      <c r="C93" s="1145" t="s">
        <v>694</v>
      </c>
      <c r="D93" s="1146">
        <v>24</v>
      </c>
      <c r="E93" s="1146" t="s">
        <v>670</v>
      </c>
      <c r="F93" s="1147">
        <f t="shared" si="4"/>
        <v>6.7226890756302518E-2</v>
      </c>
      <c r="G93" s="1148">
        <v>130000</v>
      </c>
      <c r="H93" s="1148" t="s">
        <v>671</v>
      </c>
      <c r="I93" s="1149">
        <f t="shared" si="5"/>
        <v>8739.4957983193272</v>
      </c>
    </row>
    <row r="94" spans="2:9" x14ac:dyDescent="0.25">
      <c r="B94" s="1144">
        <f t="shared" si="6"/>
        <v>25</v>
      </c>
      <c r="C94" s="1145" t="s">
        <v>695</v>
      </c>
      <c r="D94" s="1146">
        <v>6</v>
      </c>
      <c r="E94" s="1146" t="s">
        <v>670</v>
      </c>
      <c r="F94" s="1147">
        <f t="shared" si="4"/>
        <v>1.680672268907563E-2</v>
      </c>
      <c r="G94" s="1148">
        <v>150000</v>
      </c>
      <c r="H94" s="1148" t="s">
        <v>671</v>
      </c>
      <c r="I94" s="1149">
        <f t="shared" si="5"/>
        <v>2521.0084033613443</v>
      </c>
    </row>
    <row r="95" spans="2:9" x14ac:dyDescent="0.25">
      <c r="B95" s="1144">
        <f t="shared" si="6"/>
        <v>26</v>
      </c>
      <c r="C95" s="1145" t="s">
        <v>696</v>
      </c>
      <c r="D95" s="1146">
        <v>6</v>
      </c>
      <c r="E95" s="1146" t="s">
        <v>670</v>
      </c>
      <c r="F95" s="1147">
        <f t="shared" si="4"/>
        <v>1.680672268907563E-2</v>
      </c>
      <c r="G95" s="1148">
        <v>180000</v>
      </c>
      <c r="H95" s="1148" t="s">
        <v>671</v>
      </c>
      <c r="I95" s="1149">
        <f t="shared" si="5"/>
        <v>3025.2100840336134</v>
      </c>
    </row>
    <row r="96" spans="2:9" x14ac:dyDescent="0.25">
      <c r="B96" s="1144">
        <f t="shared" si="6"/>
        <v>27</v>
      </c>
      <c r="C96" s="1145" t="s">
        <v>697</v>
      </c>
      <c r="D96" s="1146">
        <v>3</v>
      </c>
      <c r="E96" s="1146" t="s">
        <v>670</v>
      </c>
      <c r="F96" s="1147">
        <f t="shared" si="4"/>
        <v>8.4033613445378148E-3</v>
      </c>
      <c r="G96" s="1148">
        <v>210000</v>
      </c>
      <c r="H96" s="1148" t="s">
        <v>671</v>
      </c>
      <c r="I96" s="1149">
        <f t="shared" si="5"/>
        <v>1764.705882352941</v>
      </c>
    </row>
    <row r="97" spans="2:9" x14ac:dyDescent="0.25">
      <c r="B97" s="1144">
        <f t="shared" si="6"/>
        <v>28</v>
      </c>
      <c r="C97" s="1145" t="s">
        <v>698</v>
      </c>
      <c r="D97" s="1146">
        <v>3</v>
      </c>
      <c r="E97" s="1146" t="s">
        <v>670</v>
      </c>
      <c r="F97" s="1147">
        <f t="shared" si="4"/>
        <v>8.4033613445378148E-3</v>
      </c>
      <c r="G97" s="1148">
        <v>580000</v>
      </c>
      <c r="H97" s="1148" t="s">
        <v>671</v>
      </c>
      <c r="I97" s="1149">
        <f t="shared" si="5"/>
        <v>4873.9495798319322</v>
      </c>
    </row>
    <row r="98" spans="2:9" x14ac:dyDescent="0.25">
      <c r="B98" s="1144">
        <f t="shared" si="6"/>
        <v>29</v>
      </c>
      <c r="C98" s="1145" t="s">
        <v>699</v>
      </c>
      <c r="D98" s="1146">
        <v>3</v>
      </c>
      <c r="E98" s="1146" t="s">
        <v>670</v>
      </c>
      <c r="F98" s="1147">
        <f t="shared" si="4"/>
        <v>8.4033613445378148E-3</v>
      </c>
      <c r="G98" s="1148">
        <v>580000</v>
      </c>
      <c r="H98" s="1148" t="s">
        <v>671</v>
      </c>
      <c r="I98" s="1149">
        <f t="shared" si="5"/>
        <v>4873.9495798319322</v>
      </c>
    </row>
    <row r="99" spans="2:9" x14ac:dyDescent="0.25">
      <c r="B99" s="1144">
        <f t="shared" si="6"/>
        <v>30</v>
      </c>
      <c r="C99" s="1145" t="s">
        <v>700</v>
      </c>
      <c r="D99" s="1146">
        <v>500</v>
      </c>
      <c r="E99" s="1146" t="s">
        <v>670</v>
      </c>
      <c r="F99" s="1147">
        <f t="shared" si="4"/>
        <v>1.4005602240896358</v>
      </c>
      <c r="G99" s="1148">
        <v>10000</v>
      </c>
      <c r="H99" s="1148" t="s">
        <v>671</v>
      </c>
      <c r="I99" s="1149">
        <f t="shared" si="5"/>
        <v>14005.602240896358</v>
      </c>
    </row>
    <row r="100" spans="2:9" x14ac:dyDescent="0.25">
      <c r="B100" s="1144">
        <f t="shared" si="6"/>
        <v>31</v>
      </c>
      <c r="C100" s="1145" t="s">
        <v>701</v>
      </c>
      <c r="D100" s="1146">
        <v>12</v>
      </c>
      <c r="E100" s="1146" t="s">
        <v>670</v>
      </c>
      <c r="F100" s="1147">
        <f t="shared" si="4"/>
        <v>3.3613445378151259E-2</v>
      </c>
      <c r="G100" s="1148">
        <v>75000</v>
      </c>
      <c r="H100" s="1148" t="s">
        <v>671</v>
      </c>
      <c r="I100" s="1149">
        <f t="shared" si="5"/>
        <v>2521.0084033613443</v>
      </c>
    </row>
    <row r="101" spans="2:9" x14ac:dyDescent="0.25">
      <c r="B101" s="1144">
        <f t="shared" si="6"/>
        <v>32</v>
      </c>
      <c r="C101" s="1145" t="s">
        <v>702</v>
      </c>
      <c r="D101" s="1146">
        <v>4</v>
      </c>
      <c r="E101" s="1146" t="s">
        <v>670</v>
      </c>
      <c r="F101" s="1147">
        <f t="shared" si="4"/>
        <v>1.1204481792717087E-2</v>
      </c>
      <c r="G101" s="1148">
        <v>138000</v>
      </c>
      <c r="H101" s="1148" t="s">
        <v>671</v>
      </c>
      <c r="I101" s="1149">
        <f t="shared" si="5"/>
        <v>1546.2184873949579</v>
      </c>
    </row>
    <row r="102" spans="2:9" x14ac:dyDescent="0.25">
      <c r="B102" s="1144">
        <f t="shared" si="6"/>
        <v>33</v>
      </c>
      <c r="C102" s="1145" t="s">
        <v>703</v>
      </c>
      <c r="D102" s="1146">
        <v>2</v>
      </c>
      <c r="E102" s="1146" t="s">
        <v>670</v>
      </c>
      <c r="F102" s="1147">
        <f t="shared" si="4"/>
        <v>5.6022408963585435E-3</v>
      </c>
      <c r="G102" s="1148">
        <v>110000</v>
      </c>
      <c r="H102" s="1148" t="s">
        <v>671</v>
      </c>
      <c r="I102" s="1149">
        <f t="shared" si="5"/>
        <v>616.24649859943975</v>
      </c>
    </row>
    <row r="103" spans="2:9" x14ac:dyDescent="0.25">
      <c r="B103" s="1144">
        <f t="shared" si="6"/>
        <v>34</v>
      </c>
      <c r="C103" s="1145" t="s">
        <v>704</v>
      </c>
      <c r="D103" s="1146">
        <v>2</v>
      </c>
      <c r="E103" s="1146" t="s">
        <v>670</v>
      </c>
      <c r="F103" s="1147">
        <f t="shared" si="4"/>
        <v>5.6022408963585435E-3</v>
      </c>
      <c r="G103" s="1148">
        <v>125000</v>
      </c>
      <c r="H103" s="1148" t="s">
        <v>671</v>
      </c>
      <c r="I103" s="1149">
        <f t="shared" si="5"/>
        <v>700.28011204481788</v>
      </c>
    </row>
    <row r="104" spans="2:9" x14ac:dyDescent="0.25">
      <c r="B104" s="1144">
        <f t="shared" si="6"/>
        <v>35</v>
      </c>
      <c r="C104" s="1145" t="s">
        <v>705</v>
      </c>
      <c r="D104" s="1146">
        <v>2</v>
      </c>
      <c r="E104" s="1146" t="s">
        <v>670</v>
      </c>
      <c r="F104" s="1147">
        <f t="shared" si="4"/>
        <v>5.6022408963585435E-3</v>
      </c>
      <c r="G104" s="1148">
        <v>70000</v>
      </c>
      <c r="H104" s="1148" t="s">
        <v>671</v>
      </c>
      <c r="I104" s="1149">
        <f t="shared" si="5"/>
        <v>392.15686274509807</v>
      </c>
    </row>
    <row r="105" spans="2:9" x14ac:dyDescent="0.25">
      <c r="B105" s="1144">
        <f t="shared" si="6"/>
        <v>36</v>
      </c>
      <c r="C105" s="1145" t="s">
        <v>706</v>
      </c>
      <c r="D105" s="1146">
        <v>2</v>
      </c>
      <c r="E105" s="1146" t="s">
        <v>670</v>
      </c>
      <c r="F105" s="1147">
        <f t="shared" si="4"/>
        <v>5.6022408963585435E-3</v>
      </c>
      <c r="G105" s="1148">
        <v>210000</v>
      </c>
      <c r="H105" s="1148" t="s">
        <v>671</v>
      </c>
      <c r="I105" s="1149">
        <f t="shared" si="5"/>
        <v>1176.4705882352941</v>
      </c>
    </row>
    <row r="106" spans="2:9" x14ac:dyDescent="0.25">
      <c r="B106" s="1144">
        <f t="shared" si="6"/>
        <v>37</v>
      </c>
      <c r="C106" s="1145" t="s">
        <v>707</v>
      </c>
      <c r="D106" s="1146">
        <v>2</v>
      </c>
      <c r="E106" s="1146" t="s">
        <v>670</v>
      </c>
      <c r="F106" s="1147">
        <f t="shared" si="4"/>
        <v>5.6022408963585435E-3</v>
      </c>
      <c r="G106" s="1148">
        <v>325000</v>
      </c>
      <c r="H106" s="1148" t="s">
        <v>671</v>
      </c>
      <c r="I106" s="1149">
        <f t="shared" si="5"/>
        <v>1820.7282913165266</v>
      </c>
    </row>
    <row r="107" spans="2:9" x14ac:dyDescent="0.25">
      <c r="B107" s="1144">
        <f t="shared" si="6"/>
        <v>38</v>
      </c>
      <c r="C107" s="1145" t="s">
        <v>708</v>
      </c>
      <c r="D107" s="1146">
        <v>2</v>
      </c>
      <c r="E107" s="1146" t="s">
        <v>670</v>
      </c>
      <c r="F107" s="1147">
        <f t="shared" si="4"/>
        <v>5.6022408963585435E-3</v>
      </c>
      <c r="G107" s="1148">
        <v>400000</v>
      </c>
      <c r="H107" s="1148" t="s">
        <v>671</v>
      </c>
      <c r="I107" s="1149">
        <f t="shared" si="5"/>
        <v>2240.8963585434176</v>
      </c>
    </row>
    <row r="108" spans="2:9" x14ac:dyDescent="0.25">
      <c r="B108" s="1144">
        <f t="shared" si="6"/>
        <v>39</v>
      </c>
      <c r="C108" s="1145" t="s">
        <v>709</v>
      </c>
      <c r="D108" s="1146">
        <v>2</v>
      </c>
      <c r="E108" s="1146" t="s">
        <v>670</v>
      </c>
      <c r="F108" s="1147">
        <f t="shared" si="4"/>
        <v>5.6022408963585435E-3</v>
      </c>
      <c r="G108" s="1148">
        <v>520000</v>
      </c>
      <c r="H108" s="1148" t="s">
        <v>671</v>
      </c>
      <c r="I108" s="1149">
        <f t="shared" si="5"/>
        <v>2913.1652661064427</v>
      </c>
    </row>
    <row r="109" spans="2:9" x14ac:dyDescent="0.25">
      <c r="B109" s="1144">
        <f t="shared" si="6"/>
        <v>40</v>
      </c>
      <c r="C109" s="1145" t="s">
        <v>710</v>
      </c>
      <c r="D109" s="1146">
        <v>12</v>
      </c>
      <c r="E109" s="1146" t="s">
        <v>670</v>
      </c>
      <c r="F109" s="1147">
        <f t="shared" si="4"/>
        <v>3.3613445378151259E-2</v>
      </c>
      <c r="G109" s="1148">
        <v>75000</v>
      </c>
      <c r="H109" s="1148" t="s">
        <v>671</v>
      </c>
      <c r="I109" s="1149">
        <f t="shared" si="5"/>
        <v>2521.0084033613443</v>
      </c>
    </row>
    <row r="110" spans="2:9" ht="15.75" thickBot="1" x14ac:dyDescent="0.3">
      <c r="B110" s="1150">
        <f t="shared" si="6"/>
        <v>41</v>
      </c>
      <c r="C110" s="1151" t="s">
        <v>711</v>
      </c>
      <c r="D110" s="1152">
        <v>12</v>
      </c>
      <c r="E110" s="1152" t="s">
        <v>670</v>
      </c>
      <c r="F110" s="1153">
        <f t="shared" si="4"/>
        <v>3.3613445378151259E-2</v>
      </c>
      <c r="G110" s="1154">
        <v>85000</v>
      </c>
      <c r="H110" s="1154" t="s">
        <v>671</v>
      </c>
      <c r="I110" s="1155">
        <f t="shared" si="5"/>
        <v>2857.1428571428569</v>
      </c>
    </row>
    <row r="111" spans="2:9" ht="15.75" x14ac:dyDescent="0.25">
      <c r="B111" s="970"/>
      <c r="C111" s="914"/>
      <c r="D111" s="1076"/>
      <c r="E111" s="1076"/>
      <c r="G111" s="2445" t="s">
        <v>712</v>
      </c>
      <c r="H111" s="2446"/>
      <c r="I111" s="1156">
        <f>SUM(I70:I110)</f>
        <v>135770.30812324933</v>
      </c>
    </row>
  </sheetData>
  <mergeCells count="23"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  <mergeCell ref="G111:H111"/>
    <mergeCell ref="B63:G64"/>
    <mergeCell ref="H63:H64"/>
    <mergeCell ref="B68:B69"/>
    <mergeCell ref="C68:C69"/>
    <mergeCell ref="D68:E69"/>
    <mergeCell ref="F68:F69"/>
    <mergeCell ref="G68:H6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75" t="s">
        <v>713</v>
      </c>
    </row>
    <row r="3" spans="2:13" x14ac:dyDescent="0.25">
      <c r="B3" s="1077" t="s">
        <v>383</v>
      </c>
      <c r="C3" s="2435" t="s">
        <v>219</v>
      </c>
      <c r="D3" s="2436"/>
      <c r="E3" s="1157" t="s">
        <v>643</v>
      </c>
      <c r="F3" s="2437" t="s">
        <v>563</v>
      </c>
      <c r="G3" s="2438"/>
      <c r="H3" s="1083" t="s">
        <v>564</v>
      </c>
      <c r="K3" s="1123" t="s">
        <v>714</v>
      </c>
    </row>
    <row r="4" spans="2:13" ht="21.6" customHeight="1" x14ac:dyDescent="0.25">
      <c r="B4" s="1158" t="s">
        <v>715</v>
      </c>
      <c r="C4" s="1159"/>
      <c r="D4" s="1108" t="s">
        <v>716</v>
      </c>
      <c r="E4" s="1160">
        <v>0</v>
      </c>
      <c r="F4" s="2443"/>
      <c r="G4" s="2444"/>
      <c r="H4" s="1079" t="s">
        <v>271</v>
      </c>
      <c r="K4" s="1161" t="s">
        <v>383</v>
      </c>
      <c r="L4" s="2435" t="s">
        <v>563</v>
      </c>
      <c r="M4" s="2436"/>
    </row>
    <row r="5" spans="2:13" ht="17.850000000000001" customHeight="1" x14ac:dyDescent="0.25">
      <c r="B5" s="1084" t="s">
        <v>274</v>
      </c>
      <c r="C5" s="1088"/>
      <c r="D5" s="1162"/>
      <c r="E5" s="1163"/>
      <c r="F5" s="1085"/>
      <c r="G5" s="1162"/>
      <c r="H5" s="1164">
        <v>0</v>
      </c>
      <c r="K5" s="1165" t="s">
        <v>717</v>
      </c>
      <c r="L5" s="1166">
        <v>1550</v>
      </c>
      <c r="M5" s="1167" t="s">
        <v>718</v>
      </c>
    </row>
    <row r="6" spans="2:13" x14ac:dyDescent="0.25">
      <c r="B6" s="1091" t="s">
        <v>719</v>
      </c>
      <c r="C6" s="1092">
        <v>100</v>
      </c>
      <c r="D6" s="1128" t="s">
        <v>720</v>
      </c>
      <c r="E6" s="408">
        <f>(C6*25%*4)/30</f>
        <v>3.3333333333333335</v>
      </c>
      <c r="F6" s="1092">
        <v>14500</v>
      </c>
      <c r="G6" s="1128" t="s">
        <v>721</v>
      </c>
      <c r="H6" s="1168">
        <f>F6*E6</f>
        <v>48333.333333333336</v>
      </c>
    </row>
    <row r="7" spans="2:13" x14ac:dyDescent="0.25">
      <c r="B7" s="1091" t="s">
        <v>722</v>
      </c>
      <c r="C7" s="1092">
        <v>100</v>
      </c>
      <c r="D7" s="1128" t="s">
        <v>720</v>
      </c>
      <c r="E7" s="408">
        <f>(C7*25%*4)/30</f>
        <v>3.3333333333333335</v>
      </c>
      <c r="F7" s="1092">
        <v>14500</v>
      </c>
      <c r="G7" s="1128" t="s">
        <v>721</v>
      </c>
      <c r="H7" s="1168">
        <f>F7*E7</f>
        <v>48333.333333333336</v>
      </c>
    </row>
    <row r="8" spans="2:13" x14ac:dyDescent="0.25">
      <c r="B8" s="1091" t="s">
        <v>723</v>
      </c>
      <c r="C8" s="1092">
        <v>100</v>
      </c>
      <c r="D8" s="1128" t="s">
        <v>720</v>
      </c>
      <c r="E8" s="408">
        <f>(C8*25%*4)/30</f>
        <v>3.3333333333333335</v>
      </c>
      <c r="F8" s="1092">
        <v>14500</v>
      </c>
      <c r="G8" s="1128" t="s">
        <v>721</v>
      </c>
      <c r="H8" s="1168">
        <f>F8*E8</f>
        <v>48333.333333333336</v>
      </c>
    </row>
    <row r="9" spans="2:13" x14ac:dyDescent="0.25">
      <c r="B9" s="1091" t="s">
        <v>580</v>
      </c>
      <c r="C9" s="1092"/>
      <c r="D9" s="1128" t="s">
        <v>271</v>
      </c>
      <c r="E9" s="1092"/>
      <c r="F9" s="1092"/>
      <c r="G9" s="1128"/>
      <c r="H9" s="1168">
        <v>0</v>
      </c>
      <c r="I9" s="1169"/>
    </row>
    <row r="10" spans="2:13" x14ac:dyDescent="0.25">
      <c r="B10" s="1101" t="s">
        <v>724</v>
      </c>
      <c r="C10" s="1102"/>
      <c r="D10" s="1103"/>
      <c r="E10" s="1102"/>
      <c r="F10" s="1102"/>
      <c r="G10" s="1103"/>
      <c r="H10" s="1170">
        <f>SUM(H5:H9)</f>
        <v>145000</v>
      </c>
    </row>
    <row r="11" spans="2:13" x14ac:dyDescent="0.25">
      <c r="H11" s="1171" t="s">
        <v>725</v>
      </c>
    </row>
    <row r="12" spans="2:13" x14ac:dyDescent="0.25">
      <c r="B12" s="1123" t="s">
        <v>726</v>
      </c>
    </row>
    <row r="13" spans="2:13" ht="23.1" customHeight="1" x14ac:dyDescent="0.25">
      <c r="B13" s="1077" t="s">
        <v>383</v>
      </c>
      <c r="C13" s="2435" t="s">
        <v>219</v>
      </c>
      <c r="D13" s="2436"/>
      <c r="E13" s="1079" t="s">
        <v>727</v>
      </c>
      <c r="F13" s="2437" t="s">
        <v>563</v>
      </c>
      <c r="G13" s="2438"/>
      <c r="H13" s="1083" t="s">
        <v>564</v>
      </c>
    </row>
    <row r="14" spans="2:13" ht="21" customHeight="1" x14ac:dyDescent="0.25">
      <c r="B14" s="1158" t="s">
        <v>728</v>
      </c>
      <c r="C14" s="1159">
        <v>2088</v>
      </c>
      <c r="D14" s="1079" t="s">
        <v>716</v>
      </c>
      <c r="E14" s="1160">
        <f>C14*24</f>
        <v>50112</v>
      </c>
      <c r="F14" s="2443"/>
      <c r="G14" s="2444"/>
      <c r="H14" s="1079" t="s">
        <v>271</v>
      </c>
    </row>
    <row r="15" spans="2:13" x14ac:dyDescent="0.25">
      <c r="B15" s="1084" t="s">
        <v>274</v>
      </c>
      <c r="C15" s="1172"/>
      <c r="D15" s="1086"/>
      <c r="E15" s="1163"/>
      <c r="F15" s="1173"/>
      <c r="G15" s="1086"/>
      <c r="H15" s="1174">
        <v>0</v>
      </c>
    </row>
    <row r="16" spans="2:13" x14ac:dyDescent="0.25">
      <c r="B16" s="1091" t="s">
        <v>719</v>
      </c>
      <c r="C16" s="1092">
        <v>800</v>
      </c>
      <c r="D16" s="1128" t="s">
        <v>720</v>
      </c>
      <c r="E16" s="408">
        <f>C16*24</f>
        <v>19200</v>
      </c>
      <c r="F16" s="1092">
        <v>14500</v>
      </c>
      <c r="G16" s="1128" t="s">
        <v>721</v>
      </c>
      <c r="H16" s="1168">
        <f>F16*E16</f>
        <v>278400000</v>
      </c>
    </row>
    <row r="17" spans="2:9" x14ac:dyDescent="0.25">
      <c r="B17" s="1091" t="s">
        <v>722</v>
      </c>
      <c r="C17" s="1092">
        <v>800</v>
      </c>
      <c r="D17" s="1128" t="s">
        <v>720</v>
      </c>
      <c r="E17" s="408">
        <f>C17*24</f>
        <v>19200</v>
      </c>
      <c r="F17" s="1092">
        <v>14500</v>
      </c>
      <c r="G17" s="1128" t="s">
        <v>721</v>
      </c>
      <c r="H17" s="1168">
        <f>F17*E17</f>
        <v>278400000</v>
      </c>
    </row>
    <row r="18" spans="2:9" x14ac:dyDescent="0.25">
      <c r="B18" s="1091" t="s">
        <v>723</v>
      </c>
      <c r="C18" s="1092"/>
      <c r="D18" s="1128" t="s">
        <v>720</v>
      </c>
      <c r="E18" s="408">
        <v>0</v>
      </c>
      <c r="F18" s="1092">
        <v>14500</v>
      </c>
      <c r="G18" s="1128" t="s">
        <v>721</v>
      </c>
      <c r="H18" s="1168">
        <f>F18*E18</f>
        <v>0</v>
      </c>
    </row>
    <row r="19" spans="2:9" x14ac:dyDescent="0.25">
      <c r="B19" s="1091" t="s">
        <v>580</v>
      </c>
      <c r="C19" s="1092"/>
      <c r="D19" s="1128" t="s">
        <v>271</v>
      </c>
      <c r="E19" s="1092"/>
      <c r="F19" s="1092"/>
      <c r="G19" s="1128"/>
      <c r="H19" s="1175">
        <v>0</v>
      </c>
      <c r="I19" s="1169"/>
    </row>
    <row r="20" spans="2:9" x14ac:dyDescent="0.25">
      <c r="B20" s="1101" t="s">
        <v>724</v>
      </c>
      <c r="C20" s="1102"/>
      <c r="D20" s="1103"/>
      <c r="E20" s="1102"/>
      <c r="F20" s="1102"/>
      <c r="G20" s="1103"/>
      <c r="H20" s="1170">
        <f>SUM(H15:H19)</f>
        <v>556800000</v>
      </c>
    </row>
    <row r="21" spans="2:9" x14ac:dyDescent="0.25">
      <c r="B21" s="1176"/>
      <c r="C21" s="1076"/>
      <c r="E21" s="1076"/>
      <c r="F21" s="2460" t="s">
        <v>729</v>
      </c>
      <c r="G21" s="2461"/>
      <c r="H21" s="1177">
        <f>H20/E14</f>
        <v>11111.111111111111</v>
      </c>
      <c r="I21" s="1123" t="s">
        <v>730</v>
      </c>
    </row>
    <row r="22" spans="2:9" x14ac:dyDescent="0.25">
      <c r="H22" s="1178"/>
    </row>
    <row r="23" spans="2:9" x14ac:dyDescent="0.25">
      <c r="B23" s="914" t="s">
        <v>583</v>
      </c>
      <c r="E23" s="1121"/>
    </row>
    <row r="24" spans="2:9" x14ac:dyDescent="0.25">
      <c r="B24" s="914" t="s">
        <v>731</v>
      </c>
      <c r="E24" s="1179"/>
    </row>
    <row r="25" spans="2:9" x14ac:dyDescent="0.25">
      <c r="E25" s="914"/>
      <c r="G25" s="1180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5703125" defaultRowHeight="12.75" x14ac:dyDescent="0.25"/>
  <cols>
    <col min="1" max="1" width="8.5703125" style="987"/>
    <col min="2" max="2" width="5.5703125" style="986" customWidth="1"/>
    <col min="3" max="3" width="63.5703125" style="987" customWidth="1"/>
    <col min="4" max="4" width="15.5703125" style="987" customWidth="1"/>
    <col min="5" max="5" width="15" style="987" customWidth="1"/>
    <col min="6" max="6" width="15.42578125" style="987" customWidth="1"/>
    <col min="7" max="7" width="14.5703125" style="987" customWidth="1"/>
    <col min="8" max="8" width="11.42578125" style="987" customWidth="1"/>
    <col min="9" max="9" width="12.42578125" style="987" customWidth="1"/>
    <col min="10" max="10" width="11" style="987" bestFit="1" customWidth="1"/>
    <col min="11" max="16384" width="8.5703125" style="987"/>
  </cols>
  <sheetData>
    <row r="2" spans="2:10" ht="19.5" thickBot="1" x14ac:dyDescent="0.3">
      <c r="B2" s="988" t="s">
        <v>542</v>
      </c>
    </row>
    <row r="3" spans="2:10" x14ac:dyDescent="0.25">
      <c r="B3" s="2466" t="s">
        <v>359</v>
      </c>
      <c r="C3" s="2467"/>
      <c r="D3" s="989"/>
      <c r="E3" s="989"/>
      <c r="F3" s="989"/>
      <c r="G3" s="989"/>
      <c r="H3" s="991" t="s">
        <v>379</v>
      </c>
      <c r="I3" s="992">
        <f>'HPP REF '!N3</f>
        <v>1382.6516399999998</v>
      </c>
    </row>
    <row r="4" spans="2:10" x14ac:dyDescent="0.25">
      <c r="B4" s="2468" t="s">
        <v>411</v>
      </c>
      <c r="C4" s="2469"/>
      <c r="H4" s="993" t="s">
        <v>83</v>
      </c>
      <c r="I4" s="994">
        <f>'HPP REF '!N4</f>
        <v>25</v>
      </c>
    </row>
    <row r="5" spans="2:10" x14ac:dyDescent="0.25">
      <c r="B5" s="2468" t="s">
        <v>412</v>
      </c>
      <c r="C5" s="2469"/>
      <c r="H5" s="993" t="s">
        <v>413</v>
      </c>
      <c r="I5" s="994">
        <f>I4*I3</f>
        <v>34566.290999999997</v>
      </c>
    </row>
    <row r="6" spans="2:10" ht="13.5" thickBot="1" x14ac:dyDescent="0.3">
      <c r="B6" s="965" t="s">
        <v>414</v>
      </c>
      <c r="C6" s="966"/>
      <c r="D6" s="995"/>
      <c r="E6" s="995"/>
      <c r="F6" s="995"/>
      <c r="G6" s="995"/>
      <c r="H6" s="997"/>
      <c r="I6" s="1184">
        <v>16000</v>
      </c>
    </row>
    <row r="7" spans="2:10" ht="15" x14ac:dyDescent="0.25">
      <c r="B7" s="2470" t="s">
        <v>99</v>
      </c>
      <c r="C7" s="2472" t="s">
        <v>285</v>
      </c>
      <c r="D7" s="2462" t="s">
        <v>543</v>
      </c>
      <c r="E7" s="2474"/>
      <c r="F7" s="2462" t="s">
        <v>439</v>
      </c>
      <c r="G7" s="2462"/>
      <c r="H7" s="2462"/>
      <c r="I7" s="2463"/>
    </row>
    <row r="8" spans="2:10" ht="15.75" thickBot="1" x14ac:dyDescent="0.3">
      <c r="B8" s="2471"/>
      <c r="C8" s="2473"/>
      <c r="D8" s="1041" t="s">
        <v>440</v>
      </c>
      <c r="E8" s="1041" t="s">
        <v>441</v>
      </c>
      <c r="F8" s="1041" t="s">
        <v>440</v>
      </c>
      <c r="G8" s="1041" t="s">
        <v>441</v>
      </c>
      <c r="H8" s="1042" t="s">
        <v>416</v>
      </c>
      <c r="I8" s="1053" t="s">
        <v>226</v>
      </c>
    </row>
    <row r="9" spans="2:10" ht="13.5" thickTop="1" x14ac:dyDescent="0.25">
      <c r="B9" s="1043">
        <v>1</v>
      </c>
      <c r="C9" s="1063" t="s">
        <v>544</v>
      </c>
      <c r="D9" s="1059">
        <v>962709313.75999999</v>
      </c>
      <c r="E9" s="1059">
        <f t="shared" ref="E9:E15" si="0">D9/12</f>
        <v>80225776.146666661</v>
      </c>
      <c r="F9" s="1059">
        <f>G9*12</f>
        <v>531927347.99999374</v>
      </c>
      <c r="G9" s="1059">
        <v>44327278.999999478</v>
      </c>
      <c r="H9" s="1060">
        <f>$G$9/($I$5*1000)</f>
        <v>1.2823845925499926</v>
      </c>
      <c r="I9" s="1060">
        <f>($G$9/$I$6)/$I$5</f>
        <v>8.0149037034374551E-2</v>
      </c>
      <c r="J9" s="987">
        <f>D9/12</f>
        <v>80225776.146666661</v>
      </c>
    </row>
    <row r="10" spans="2:10" x14ac:dyDescent="0.25">
      <c r="B10" s="1008">
        <f t="shared" ref="B10:B15" si="1">B9+1</f>
        <v>2</v>
      </c>
      <c r="C10" s="1063" t="s">
        <v>545</v>
      </c>
      <c r="D10" s="1013">
        <v>269614444.44</v>
      </c>
      <c r="E10" s="1013">
        <f t="shared" si="0"/>
        <v>22467870.370000001</v>
      </c>
      <c r="F10" s="1013">
        <v>0</v>
      </c>
      <c r="G10" s="1013">
        <v>0</v>
      </c>
      <c r="H10" s="1014">
        <f>$G$10/($I$5*1000)</f>
        <v>0</v>
      </c>
      <c r="I10" s="1014">
        <f>($G$10/$I$6)/$I$5</f>
        <v>0</v>
      </c>
    </row>
    <row r="11" spans="2:10" x14ac:dyDescent="0.25">
      <c r="B11" s="1008">
        <f t="shared" si="1"/>
        <v>3</v>
      </c>
      <c r="C11" s="1063" t="s">
        <v>546</v>
      </c>
      <c r="D11" s="1013">
        <v>0</v>
      </c>
      <c r="E11" s="1013">
        <f t="shared" si="0"/>
        <v>0</v>
      </c>
      <c r="F11" s="1013">
        <v>0</v>
      </c>
      <c r="G11" s="1013">
        <v>0</v>
      </c>
      <c r="H11" s="1014">
        <f>$G$11/($I$5*1000)</f>
        <v>0</v>
      </c>
      <c r="I11" s="1014">
        <f>($G$11/$I$6)/$I$5</f>
        <v>0</v>
      </c>
    </row>
    <row r="12" spans="2:10" x14ac:dyDescent="0.25">
      <c r="B12" s="1008">
        <f t="shared" si="1"/>
        <v>4</v>
      </c>
      <c r="C12" s="1063" t="s">
        <v>547</v>
      </c>
      <c r="D12" s="1013">
        <v>0</v>
      </c>
      <c r="E12" s="1013">
        <f t="shared" si="0"/>
        <v>0</v>
      </c>
      <c r="F12" s="1013">
        <v>0</v>
      </c>
      <c r="G12" s="1013">
        <v>0</v>
      </c>
      <c r="H12" s="1014">
        <f>$G$12/($I$5*1000)</f>
        <v>0</v>
      </c>
      <c r="I12" s="1014">
        <f>($G$12/$I$6)/$I$5</f>
        <v>0</v>
      </c>
    </row>
    <row r="13" spans="2:10" x14ac:dyDescent="0.25">
      <c r="B13" s="1008">
        <f t="shared" si="1"/>
        <v>5</v>
      </c>
      <c r="C13" s="1063" t="s">
        <v>548</v>
      </c>
      <c r="D13" s="1013">
        <v>0</v>
      </c>
      <c r="E13" s="1013">
        <f t="shared" si="0"/>
        <v>0</v>
      </c>
      <c r="F13" s="1013">
        <v>0</v>
      </c>
      <c r="G13" s="1013">
        <v>0</v>
      </c>
      <c r="H13" s="1014">
        <f>$G$13/($I$5*1000)</f>
        <v>0</v>
      </c>
      <c r="I13" s="1014">
        <f>($G$13/$I$6)/$I$5</f>
        <v>0</v>
      </c>
    </row>
    <row r="14" spans="2:10" x14ac:dyDescent="0.25">
      <c r="B14" s="1008">
        <f t="shared" si="1"/>
        <v>6</v>
      </c>
      <c r="C14" s="1063" t="s">
        <v>549</v>
      </c>
      <c r="D14" s="1013">
        <v>0</v>
      </c>
      <c r="E14" s="1013">
        <f t="shared" si="0"/>
        <v>0</v>
      </c>
      <c r="F14" s="1064">
        <v>0</v>
      </c>
      <c r="G14" s="1013">
        <v>0</v>
      </c>
      <c r="H14" s="1014">
        <f>$G$14/($I$5*1000)</f>
        <v>0</v>
      </c>
      <c r="I14" s="1014">
        <f>($G$14/$I$6)/$I$5</f>
        <v>0</v>
      </c>
    </row>
    <row r="15" spans="2:10" x14ac:dyDescent="0.25">
      <c r="B15" s="1008">
        <f t="shared" si="1"/>
        <v>7</v>
      </c>
      <c r="C15" s="1063" t="s">
        <v>550</v>
      </c>
      <c r="D15" s="1013">
        <v>12576902836.549999</v>
      </c>
      <c r="E15" s="1013">
        <f t="shared" si="0"/>
        <v>1048075236.3791666</v>
      </c>
      <c r="F15" s="1005">
        <f>G15*12</f>
        <v>12048990312</v>
      </c>
      <c r="G15" s="1013">
        <v>1004082526</v>
      </c>
      <c r="H15" s="1014">
        <f>$G$15/($I$5*1000)</f>
        <v>29.048026182502486</v>
      </c>
      <c r="I15" s="1014">
        <f>($G$15/$I$6)/$I$5</f>
        <v>1.8155016364064054</v>
      </c>
    </row>
    <row r="16" spans="2:10" x14ac:dyDescent="0.25">
      <c r="B16" s="1008"/>
      <c r="C16" s="1015"/>
      <c r="D16" s="1013"/>
      <c r="E16" s="1013"/>
      <c r="F16" s="1013"/>
      <c r="G16" s="1013"/>
      <c r="H16" s="1014"/>
      <c r="I16" s="1014"/>
    </row>
    <row r="17" spans="2:9" x14ac:dyDescent="0.25">
      <c r="B17" s="1008"/>
      <c r="C17" s="1015"/>
      <c r="D17" s="1013"/>
      <c r="E17" s="1013"/>
      <c r="F17" s="1013"/>
      <c r="G17" s="1013"/>
      <c r="H17" s="1014"/>
      <c r="I17" s="1014"/>
    </row>
    <row r="18" spans="2:9" x14ac:dyDescent="0.25">
      <c r="B18" s="1008"/>
      <c r="C18" s="1015"/>
      <c r="D18" s="1013"/>
      <c r="E18" s="1013"/>
      <c r="F18" s="1013"/>
      <c r="G18" s="1013"/>
      <c r="H18" s="1014"/>
      <c r="I18" s="1014"/>
    </row>
    <row r="19" spans="2:9" ht="13.5" thickBot="1" x14ac:dyDescent="0.3">
      <c r="B19" s="1046"/>
      <c r="C19" s="1047"/>
      <c r="D19" s="1048"/>
      <c r="E19" s="1048"/>
      <c r="F19" s="1048"/>
      <c r="G19" s="1048"/>
      <c r="H19" s="1062"/>
      <c r="I19" s="1062"/>
    </row>
    <row r="20" spans="2:9" ht="16.5" thickTop="1" thickBot="1" x14ac:dyDescent="0.3">
      <c r="B20" s="2464" t="s">
        <v>486</v>
      </c>
      <c r="C20" s="2465"/>
      <c r="D20" s="1054">
        <f t="shared" ref="D20:I20" si="2">SUM(D9:D19)</f>
        <v>13809226594.75</v>
      </c>
      <c r="E20" s="1054">
        <f t="shared" si="2"/>
        <v>1150768882.8958333</v>
      </c>
      <c r="F20" s="1055">
        <f t="shared" si="2"/>
        <v>12580917659.999994</v>
      </c>
      <c r="G20" s="1055">
        <f t="shared" si="2"/>
        <v>1048409804.9999995</v>
      </c>
      <c r="H20" s="1056">
        <f t="shared" si="2"/>
        <v>30.330410775052478</v>
      </c>
      <c r="I20" s="1056">
        <f t="shared" si="2"/>
        <v>1.8956506734407799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5703125" defaultRowHeight="12.75" x14ac:dyDescent="0.25"/>
  <cols>
    <col min="1" max="1" width="8.5703125" style="987"/>
    <col min="2" max="2" width="5.5703125" style="986" customWidth="1"/>
    <col min="3" max="3" width="49.42578125" style="987" customWidth="1"/>
    <col min="4" max="4" width="16.5703125" style="987" customWidth="1"/>
    <col min="5" max="5" width="15.5703125" style="987" customWidth="1"/>
    <col min="6" max="7" width="15" style="987" customWidth="1"/>
    <col min="8" max="8" width="15.42578125" style="987" customWidth="1"/>
    <col min="9" max="9" width="14.5703125" style="987" customWidth="1"/>
    <col min="10" max="10" width="11.42578125" style="987" customWidth="1"/>
    <col min="11" max="11" width="12.42578125" style="987" customWidth="1"/>
    <col min="12" max="12" width="17.5703125" style="987" customWidth="1"/>
    <col min="13" max="16384" width="8.5703125" style="987"/>
  </cols>
  <sheetData>
    <row r="1" spans="2:11" ht="5.0999999999999996" customHeight="1" x14ac:dyDescent="0.25"/>
    <row r="2" spans="2:11" ht="23.85" customHeight="1" thickBot="1" x14ac:dyDescent="0.3">
      <c r="B2" s="988" t="s">
        <v>484</v>
      </c>
    </row>
    <row r="3" spans="2:11" ht="14.85" customHeight="1" x14ac:dyDescent="0.25">
      <c r="B3" s="2466" t="s">
        <v>359</v>
      </c>
      <c r="C3" s="2467"/>
      <c r="D3" s="888"/>
      <c r="E3" s="989"/>
      <c r="F3" s="989"/>
      <c r="G3" s="989"/>
      <c r="H3" s="989"/>
      <c r="I3" s="989"/>
      <c r="J3" s="991" t="s">
        <v>379</v>
      </c>
      <c r="K3" s="992">
        <f>'HPP REF '!N3</f>
        <v>1382.6516399999998</v>
      </c>
    </row>
    <row r="4" spans="2:11" ht="14.85" customHeight="1" x14ac:dyDescent="0.25">
      <c r="B4" s="2468" t="s">
        <v>411</v>
      </c>
      <c r="C4" s="2469"/>
      <c r="D4" s="893"/>
      <c r="J4" s="993" t="s">
        <v>83</v>
      </c>
      <c r="K4" s="994">
        <f>'HPP REF '!N4</f>
        <v>25</v>
      </c>
    </row>
    <row r="5" spans="2:11" ht="14.85" customHeight="1" x14ac:dyDescent="0.25">
      <c r="B5" s="2468" t="s">
        <v>412</v>
      </c>
      <c r="C5" s="2469"/>
      <c r="D5" s="893"/>
      <c r="J5" s="993" t="s">
        <v>413</v>
      </c>
      <c r="K5" s="994">
        <f>K4*K3</f>
        <v>34566.290999999997</v>
      </c>
    </row>
    <row r="6" spans="2:11" ht="14.85" customHeight="1" thickBot="1" x14ac:dyDescent="0.3">
      <c r="B6" s="965" t="s">
        <v>414</v>
      </c>
      <c r="C6" s="966"/>
      <c r="D6" s="966"/>
      <c r="E6" s="995"/>
      <c r="F6" s="995"/>
      <c r="G6" s="995"/>
      <c r="H6" s="995"/>
      <c r="I6" s="995"/>
      <c r="J6" s="997"/>
      <c r="K6" s="1184">
        <v>16000</v>
      </c>
    </row>
    <row r="7" spans="2:11" ht="15.6" customHeight="1" x14ac:dyDescent="0.25">
      <c r="B7" s="2470" t="s">
        <v>99</v>
      </c>
      <c r="C7" s="2472" t="s">
        <v>285</v>
      </c>
      <c r="D7" s="2475" t="s">
        <v>438</v>
      </c>
      <c r="E7" s="2462"/>
      <c r="F7" s="2474"/>
      <c r="G7" s="2475" t="s">
        <v>439</v>
      </c>
      <c r="H7" s="2462"/>
      <c r="I7" s="2462"/>
      <c r="J7" s="2462"/>
      <c r="K7" s="2463"/>
    </row>
    <row r="8" spans="2:11" ht="15" customHeight="1" thickBot="1" x14ac:dyDescent="0.3">
      <c r="B8" s="2471"/>
      <c r="C8" s="2473"/>
      <c r="D8" s="1040" t="s">
        <v>485</v>
      </c>
      <c r="E8" s="1041" t="s">
        <v>440</v>
      </c>
      <c r="F8" s="1041" t="s">
        <v>441</v>
      </c>
      <c r="G8" s="1040" t="s">
        <v>485</v>
      </c>
      <c r="H8" s="1041" t="s">
        <v>440</v>
      </c>
      <c r="I8" s="1041" t="s">
        <v>441</v>
      </c>
      <c r="J8" s="1042" t="s">
        <v>416</v>
      </c>
      <c r="K8" s="1053" t="s">
        <v>226</v>
      </c>
    </row>
    <row r="9" spans="2:11" ht="23.85" customHeight="1" thickTop="1" thickBot="1" x14ac:dyDescent="0.3">
      <c r="B9" s="2464" t="s">
        <v>486</v>
      </c>
      <c r="C9" s="2465"/>
      <c r="D9" s="1054">
        <f t="shared" ref="D9:K9" si="0">SUM(D10:D75)</f>
        <v>679712126808.7334</v>
      </c>
      <c r="E9" s="1054">
        <f t="shared" si="0"/>
        <v>41807174181.37001</v>
      </c>
      <c r="F9" s="1054">
        <f t="shared" si="0"/>
        <v>3483931181.7808337</v>
      </c>
      <c r="G9" s="1055">
        <f t="shared" si="0"/>
        <v>775031394297.89551</v>
      </c>
      <c r="H9" s="1055">
        <f t="shared" si="0"/>
        <v>50174217449.730003</v>
      </c>
      <c r="I9" s="1055">
        <f t="shared" si="0"/>
        <v>4181184787.4775009</v>
      </c>
      <c r="J9" s="1056">
        <f t="shared" si="0"/>
        <v>120.96133737569646</v>
      </c>
      <c r="K9" s="1056">
        <f t="shared" si="0"/>
        <v>7.5600835859810305</v>
      </c>
    </row>
    <row r="10" spans="2:11" ht="13.5" thickTop="1" x14ac:dyDescent="0.25">
      <c r="B10" s="1043">
        <v>1</v>
      </c>
      <c r="C10" s="1057" t="s">
        <v>487</v>
      </c>
      <c r="D10" s="1058">
        <v>3844320790</v>
      </c>
      <c r="E10" s="1059">
        <v>192216039.49999997</v>
      </c>
      <c r="F10" s="1059">
        <v>16018003.291666664</v>
      </c>
      <c r="G10" s="1059">
        <v>3844320789.5999999</v>
      </c>
      <c r="H10" s="1059">
        <f>I10*12</f>
        <v>192216039.48000002</v>
      </c>
      <c r="I10" s="1059">
        <v>16018003.290000001</v>
      </c>
      <c r="J10" s="1060">
        <f>$I$10/($K$5*1000)</f>
        <v>0.46339953829585018</v>
      </c>
      <c r="K10" s="1060">
        <f>($I$10/$K$6)/$K$5</f>
        <v>2.8962471143490636E-2</v>
      </c>
    </row>
    <row r="11" spans="2:11" x14ac:dyDescent="0.25">
      <c r="B11" s="1008">
        <f>B10+1</f>
        <v>2</v>
      </c>
      <c r="C11" s="1061" t="s">
        <v>488</v>
      </c>
      <c r="D11" s="1011">
        <v>247144032</v>
      </c>
      <c r="E11" s="1013">
        <v>12357201.600000001</v>
      </c>
      <c r="F11" s="1013">
        <v>1029766.8000000002</v>
      </c>
      <c r="G11" s="1013">
        <v>247144031.75</v>
      </c>
      <c r="H11" s="1013">
        <f>I11*12</f>
        <v>12357201.5875</v>
      </c>
      <c r="I11" s="1013">
        <v>1029766.7989583333</v>
      </c>
      <c r="J11" s="1014">
        <f>$I$11/($K$5*1000)</f>
        <v>2.9791070119682014E-2</v>
      </c>
      <c r="K11" s="1014">
        <f>($I$11/$K$6)/$K$5</f>
        <v>1.8619418824801261E-3</v>
      </c>
    </row>
    <row r="12" spans="2:11" x14ac:dyDescent="0.25">
      <c r="B12" s="1008">
        <f t="shared" ref="B12:B71" si="1">B11+1</f>
        <v>3</v>
      </c>
      <c r="C12" s="1061" t="s">
        <v>489</v>
      </c>
      <c r="D12" s="1011">
        <v>199088248</v>
      </c>
      <c r="E12" s="1013">
        <v>12429395.071824417</v>
      </c>
      <c r="F12" s="1013">
        <v>1035782.9226520347</v>
      </c>
      <c r="G12" s="1013">
        <v>397086862.12595332</v>
      </c>
      <c r="H12" s="1013">
        <f t="shared" ref="H12:H71" si="2">I12*12</f>
        <v>19854343.106297664</v>
      </c>
      <c r="I12" s="1013">
        <v>1654528.5921914722</v>
      </c>
      <c r="J12" s="1014">
        <f>$I$12/($K$5*1000)</f>
        <v>4.786537821461586E-2</v>
      </c>
      <c r="K12" s="1014">
        <f>($I$12/$K$6)/$K$5</f>
        <v>2.9915861384134912E-3</v>
      </c>
    </row>
    <row r="13" spans="2:11" x14ac:dyDescent="0.25">
      <c r="B13" s="1008">
        <f t="shared" si="1"/>
        <v>4</v>
      </c>
      <c r="C13" s="1061" t="s">
        <v>490</v>
      </c>
      <c r="D13" s="1011">
        <v>53111657402</v>
      </c>
      <c r="E13" s="1013">
        <v>2655582870.099999</v>
      </c>
      <c r="F13" s="1013">
        <v>221298572.50833324</v>
      </c>
      <c r="G13" s="1013">
        <v>53111657403.529999</v>
      </c>
      <c r="H13" s="1013">
        <f t="shared" si="2"/>
        <v>2655582870.1764994</v>
      </c>
      <c r="I13" s="1013">
        <v>221298572.51470828</v>
      </c>
      <c r="J13" s="1014">
        <f>$I$13/($K$5*1000)</f>
        <v>6.4021497856020559</v>
      </c>
      <c r="K13" s="1014">
        <f>($I$13/$K$6)/$K$5</f>
        <v>0.4001343616001285</v>
      </c>
    </row>
    <row r="14" spans="2:11" x14ac:dyDescent="0.25">
      <c r="B14" s="1008">
        <f t="shared" si="1"/>
        <v>5</v>
      </c>
      <c r="C14" s="1061" t="s">
        <v>491</v>
      </c>
      <c r="D14" s="1011">
        <v>1392076443.1299996</v>
      </c>
      <c r="E14" s="1013">
        <v>70956821.50959149</v>
      </c>
      <c r="F14" s="1013">
        <v>5913068.4591326239</v>
      </c>
      <c r="G14" s="1013">
        <v>1500316391.3773193</v>
      </c>
      <c r="H14" s="1013">
        <f t="shared" si="2"/>
        <v>75015819.56886597</v>
      </c>
      <c r="I14" s="1013">
        <v>6251318.2974054972</v>
      </c>
      <c r="J14" s="1014">
        <f>$I$14/($K$5*1000)</f>
        <v>0.18085013221133553</v>
      </c>
      <c r="K14" s="1014">
        <f>($I$14/$K$6)/$K$5</f>
        <v>1.1303133263208471E-2</v>
      </c>
    </row>
    <row r="15" spans="2:11" x14ac:dyDescent="0.25">
      <c r="B15" s="1008">
        <f t="shared" si="1"/>
        <v>6</v>
      </c>
      <c r="C15" s="1061" t="s">
        <v>492</v>
      </c>
      <c r="D15" s="1011">
        <v>22378266872</v>
      </c>
      <c r="E15" s="1013">
        <v>1118913343.5999999</v>
      </c>
      <c r="F15" s="1013">
        <v>93242778.633333325</v>
      </c>
      <c r="G15" s="1013">
        <v>22378266872.27499</v>
      </c>
      <c r="H15" s="1013">
        <f t="shared" si="2"/>
        <v>1118913343.6137495</v>
      </c>
      <c r="I15" s="1013">
        <v>93242778.63447912</v>
      </c>
      <c r="J15" s="1014">
        <f>$I$15/($K$5*1000)</f>
        <v>2.6975060365741617</v>
      </c>
      <c r="K15" s="1014">
        <f>($I$15/$K$6)/$K$5</f>
        <v>0.16859412728588513</v>
      </c>
    </row>
    <row r="16" spans="2:11" x14ac:dyDescent="0.25">
      <c r="B16" s="1008">
        <f t="shared" si="1"/>
        <v>7</v>
      </c>
      <c r="C16" s="1061" t="s">
        <v>493</v>
      </c>
      <c r="D16" s="1011">
        <v>22378266872</v>
      </c>
      <c r="E16" s="1013">
        <v>1118913343.5999999</v>
      </c>
      <c r="F16" s="1013">
        <v>93242778.633333325</v>
      </c>
      <c r="G16" s="1013">
        <v>22378266872.274998</v>
      </c>
      <c r="H16" s="1013">
        <f t="shared" si="2"/>
        <v>1118913343.61375</v>
      </c>
      <c r="I16" s="1013">
        <v>93242778.634479165</v>
      </c>
      <c r="J16" s="1014">
        <f>$I$16/($K$5*1000)</f>
        <v>2.697506036574163</v>
      </c>
      <c r="K16" s="1014">
        <f>($I$16/$K$6)/$K$5</f>
        <v>0.16859412728588521</v>
      </c>
    </row>
    <row r="17" spans="2:11" x14ac:dyDescent="0.25">
      <c r="B17" s="1008">
        <f t="shared" si="1"/>
        <v>8</v>
      </c>
      <c r="C17" s="1061" t="s">
        <v>494</v>
      </c>
      <c r="D17" s="1011">
        <v>22548996820</v>
      </c>
      <c r="E17" s="1013">
        <v>1127449840.9999998</v>
      </c>
      <c r="F17" s="1013">
        <v>93954153.416666642</v>
      </c>
      <c r="G17" s="1013">
        <v>22548996819.889999</v>
      </c>
      <c r="H17" s="1013">
        <f t="shared" si="2"/>
        <v>1127449840.9944999</v>
      </c>
      <c r="I17" s="1013">
        <v>93954153.416208327</v>
      </c>
      <c r="J17" s="1014">
        <f>$I$17/($K$5*1000)</f>
        <v>2.7180860514137408</v>
      </c>
      <c r="K17" s="1014">
        <f>($I$17/$K$6)/$K$5</f>
        <v>0.1698803782133588</v>
      </c>
    </row>
    <row r="18" spans="2:11" x14ac:dyDescent="0.25">
      <c r="B18" s="1008">
        <f t="shared" si="1"/>
        <v>9</v>
      </c>
      <c r="C18" s="1061" t="s">
        <v>495</v>
      </c>
      <c r="D18" s="1011">
        <v>3242778116</v>
      </c>
      <c r="E18" s="1013">
        <v>166633458.44554368</v>
      </c>
      <c r="F18" s="1013">
        <v>13886121.53712864</v>
      </c>
      <c r="G18" s="1013">
        <v>3602342327.2934937</v>
      </c>
      <c r="H18" s="1013">
        <f t="shared" si="2"/>
        <v>180117116.36467469</v>
      </c>
      <c r="I18" s="1013">
        <v>15009759.697056225</v>
      </c>
      <c r="J18" s="1014">
        <f>$I$18/($K$5*1000)</f>
        <v>0.43423113278356146</v>
      </c>
      <c r="K18" s="1014">
        <f>($I$18/$K$6)/$K$5</f>
        <v>2.7139445798972591E-2</v>
      </c>
    </row>
    <row r="19" spans="2:11" x14ac:dyDescent="0.25">
      <c r="B19" s="1008">
        <f t="shared" si="1"/>
        <v>10</v>
      </c>
      <c r="C19" s="1061" t="s">
        <v>496</v>
      </c>
      <c r="D19" s="1011">
        <v>3088358215.0299997</v>
      </c>
      <c r="E19" s="1013">
        <v>167987620.50608689</v>
      </c>
      <c r="F19" s="1013">
        <v>13998968.375507241</v>
      </c>
      <c r="G19" s="1013">
        <v>4173934995.3969541</v>
      </c>
      <c r="H19" s="1013">
        <f t="shared" si="2"/>
        <v>208696749.76984769</v>
      </c>
      <c r="I19" s="1013">
        <v>17391395.814153973</v>
      </c>
      <c r="J19" s="1014">
        <f>$I$19/($K$5*1000)</f>
        <v>0.50313167282408089</v>
      </c>
      <c r="K19" s="1014">
        <f>($I$19/$K$6)/$K$5</f>
        <v>3.1445729551505062E-2</v>
      </c>
    </row>
    <row r="20" spans="2:11" x14ac:dyDescent="0.25">
      <c r="B20" s="1008">
        <f t="shared" si="1"/>
        <v>11</v>
      </c>
      <c r="C20" s="1061" t="s">
        <v>497</v>
      </c>
      <c r="D20" s="1011">
        <v>1306714556.04</v>
      </c>
      <c r="E20" s="1013">
        <v>65335727.801999979</v>
      </c>
      <c r="F20" s="1013">
        <v>5444643.9834999982</v>
      </c>
      <c r="G20" s="1013">
        <v>1306714556.04</v>
      </c>
      <c r="H20" s="1013">
        <f t="shared" si="2"/>
        <v>65335727.801999986</v>
      </c>
      <c r="I20" s="1013">
        <v>5444643.9834999992</v>
      </c>
      <c r="J20" s="1014">
        <f>$I$20/($K$5*1000)</f>
        <v>0.157513109621741</v>
      </c>
      <c r="K20" s="1014">
        <f>($I$20/$K$6)/$K$5</f>
        <v>9.8445693513588128E-3</v>
      </c>
    </row>
    <row r="21" spans="2:11" x14ac:dyDescent="0.25">
      <c r="B21" s="1008">
        <f t="shared" si="1"/>
        <v>12</v>
      </c>
      <c r="C21" s="1061" t="s">
        <v>490</v>
      </c>
      <c r="D21" s="1011">
        <v>0</v>
      </c>
      <c r="E21" s="1013">
        <v>0</v>
      </c>
      <c r="F21" s="1013">
        <v>0</v>
      </c>
      <c r="G21" s="1013">
        <v>0</v>
      </c>
      <c r="H21" s="1013">
        <f t="shared" si="2"/>
        <v>0</v>
      </c>
      <c r="I21" s="1013">
        <v>0</v>
      </c>
      <c r="J21" s="1014">
        <f>$I$21/($K$5*1000)</f>
        <v>0</v>
      </c>
      <c r="K21" s="1014">
        <f>($I$21/$K$6)/$K$5</f>
        <v>0</v>
      </c>
    </row>
    <row r="22" spans="2:11" x14ac:dyDescent="0.25">
      <c r="B22" s="1008">
        <f t="shared" si="1"/>
        <v>13</v>
      </c>
      <c r="C22" s="1061" t="s">
        <v>498</v>
      </c>
      <c r="D22" s="1011">
        <v>26865966199</v>
      </c>
      <c r="E22" s="1013">
        <v>1343298309.95</v>
      </c>
      <c r="F22" s="1013">
        <v>111941525.82916667</v>
      </c>
      <c r="G22" s="1013">
        <v>26865966198.669998</v>
      </c>
      <c r="H22" s="1013">
        <f t="shared" si="2"/>
        <v>1895783032.6504397</v>
      </c>
      <c r="I22" s="1013">
        <v>157981919.38753664</v>
      </c>
      <c r="J22" s="1014">
        <f>$I$22/($K$5*1000)</f>
        <v>4.5704041370113053</v>
      </c>
      <c r="K22" s="1014">
        <f>($I$22/$K$6)/$K$5</f>
        <v>0.28565025856320658</v>
      </c>
    </row>
    <row r="23" spans="2:11" x14ac:dyDescent="0.25">
      <c r="B23" s="1008">
        <f t="shared" si="1"/>
        <v>14</v>
      </c>
      <c r="C23" s="1061" t="s">
        <v>499</v>
      </c>
      <c r="D23" s="1011">
        <v>808088751</v>
      </c>
      <c r="E23" s="1013">
        <v>52164852.670642003</v>
      </c>
      <c r="F23" s="1013">
        <v>4347071.0558868339</v>
      </c>
      <c r="G23" s="1013">
        <v>1748921960.5313604</v>
      </c>
      <c r="H23" s="1013">
        <f t="shared" si="2"/>
        <v>87446098.026568025</v>
      </c>
      <c r="I23" s="1013">
        <v>7287174.8355473354</v>
      </c>
      <c r="J23" s="1014">
        <f>$I$23/($K$5*1000)</f>
        <v>0.21081737799254585</v>
      </c>
      <c r="K23" s="1014">
        <f>($I$23/$K$6)/$K$5</f>
        <v>1.3176086124534116E-2</v>
      </c>
    </row>
    <row r="24" spans="2:11" x14ac:dyDescent="0.25">
      <c r="B24" s="1008">
        <f t="shared" si="1"/>
        <v>15</v>
      </c>
      <c r="C24" s="1061" t="s">
        <v>500</v>
      </c>
      <c r="D24" s="1011">
        <v>669445527</v>
      </c>
      <c r="E24" s="1013">
        <v>33472276.350000005</v>
      </c>
      <c r="F24" s="1013">
        <v>2789356.3625000003</v>
      </c>
      <c r="G24" s="1013">
        <v>669445526.98000002</v>
      </c>
      <c r="H24" s="1013">
        <f t="shared" si="2"/>
        <v>33472276.348999999</v>
      </c>
      <c r="I24" s="1013">
        <v>2789356.3624166665</v>
      </c>
      <c r="J24" s="1014">
        <f>$I$24/($K$5*1000)</f>
        <v>8.0695853726877043E-2</v>
      </c>
      <c r="K24" s="1014">
        <f>($I$24/$K$6)/$K$5</f>
        <v>5.0434908579298152E-3</v>
      </c>
    </row>
    <row r="25" spans="2:11" x14ac:dyDescent="0.25">
      <c r="B25" s="1008">
        <f t="shared" si="1"/>
        <v>16</v>
      </c>
      <c r="C25" s="1061" t="s">
        <v>490</v>
      </c>
      <c r="D25" s="1011">
        <v>0</v>
      </c>
      <c r="E25" s="1013">
        <v>0</v>
      </c>
      <c r="F25" s="1013">
        <v>0</v>
      </c>
      <c r="G25" s="1013">
        <v>0</v>
      </c>
      <c r="H25" s="1013">
        <f t="shared" si="2"/>
        <v>0</v>
      </c>
      <c r="I25" s="1013">
        <v>0</v>
      </c>
      <c r="J25" s="1014">
        <f>$I$25/($K$5*1000)</f>
        <v>0</v>
      </c>
      <c r="K25" s="1014">
        <f>($I$25/$K$6)/$K$5</f>
        <v>0</v>
      </c>
    </row>
    <row r="26" spans="2:11" x14ac:dyDescent="0.25">
      <c r="B26" s="1008">
        <f t="shared" si="1"/>
        <v>17</v>
      </c>
      <c r="C26" s="1061" t="s">
        <v>501</v>
      </c>
      <c r="D26" s="1011">
        <v>35739000</v>
      </c>
      <c r="E26" s="1013">
        <v>3573900</v>
      </c>
      <c r="F26" s="1013">
        <v>297825</v>
      </c>
      <c r="G26" s="1013">
        <v>35739000</v>
      </c>
      <c r="H26" s="1013">
        <f t="shared" si="2"/>
        <v>3573900</v>
      </c>
      <c r="I26" s="1013">
        <v>297825</v>
      </c>
      <c r="J26" s="1014">
        <f>$I$26/($K$5*1000)</f>
        <v>8.6160531368552097E-3</v>
      </c>
      <c r="K26" s="1014">
        <f>($I$26/$K$6)/$K$5</f>
        <v>5.3850332105345061E-4</v>
      </c>
    </row>
    <row r="27" spans="2:11" x14ac:dyDescent="0.25">
      <c r="B27" s="1008">
        <f t="shared" si="1"/>
        <v>18</v>
      </c>
      <c r="C27" s="1061" t="s">
        <v>502</v>
      </c>
      <c r="D27" s="1011">
        <v>537402145</v>
      </c>
      <c r="E27" s="1013">
        <v>26870107.250000004</v>
      </c>
      <c r="F27" s="1013">
        <v>2239175.604166667</v>
      </c>
      <c r="G27" s="1013">
        <v>537402145</v>
      </c>
      <c r="H27" s="1013">
        <f t="shared" si="2"/>
        <v>26870107.25</v>
      </c>
      <c r="I27" s="1013">
        <v>2239175.6041666665</v>
      </c>
      <c r="J27" s="1014">
        <f>$I$27/($K$5*1000)</f>
        <v>6.477916893561611E-2</v>
      </c>
      <c r="K27" s="1014">
        <f>($I$27/$K$6)/$K$5</f>
        <v>4.048698058476006E-3</v>
      </c>
    </row>
    <row r="28" spans="2:11" x14ac:dyDescent="0.25">
      <c r="B28" s="1008">
        <f t="shared" si="1"/>
        <v>19</v>
      </c>
      <c r="C28" s="1061" t="s">
        <v>503</v>
      </c>
      <c r="D28" s="1011">
        <v>1071796228</v>
      </c>
      <c r="E28" s="1013">
        <v>26794905.699999999</v>
      </c>
      <c r="F28" s="1013">
        <v>2232908.8083333331</v>
      </c>
      <c r="G28" s="1013">
        <v>1071796228</v>
      </c>
      <c r="H28" s="1013">
        <f t="shared" si="2"/>
        <v>53589811.399999991</v>
      </c>
      <c r="I28" s="1013">
        <v>4465817.6166666662</v>
      </c>
      <c r="J28" s="1014">
        <f>$I$28/($K$5*1000)</f>
        <v>0.12919574207908699</v>
      </c>
      <c r="K28" s="1014">
        <f>($I$28/$K$6)/$K$5</f>
        <v>8.0747338799429386E-3</v>
      </c>
    </row>
    <row r="29" spans="2:11" x14ac:dyDescent="0.25">
      <c r="B29" s="1008">
        <f t="shared" si="1"/>
        <v>20</v>
      </c>
      <c r="C29" s="1061" t="s">
        <v>504</v>
      </c>
      <c r="D29" s="1011">
        <v>236594750</v>
      </c>
      <c r="E29" s="1013">
        <v>67601093.483989701</v>
      </c>
      <c r="F29" s="1013">
        <v>5633424.4569991417</v>
      </c>
      <c r="G29" s="1013">
        <v>3751924228.7191768</v>
      </c>
      <c r="H29" s="1013">
        <f t="shared" si="2"/>
        <v>199425948.93595883</v>
      </c>
      <c r="I29" s="1013">
        <v>16618829.077996569</v>
      </c>
      <c r="J29" s="1014">
        <f>$I$29/($K$5*1000)</f>
        <v>0.48078137969724805</v>
      </c>
      <c r="K29" s="1014">
        <f>($I$29/$K$6)/$K$5</f>
        <v>3.0048836231078006E-2</v>
      </c>
    </row>
    <row r="30" spans="2:11" x14ac:dyDescent="0.25">
      <c r="B30" s="1008">
        <f t="shared" si="1"/>
        <v>21</v>
      </c>
      <c r="C30" s="1061" t="s">
        <v>505</v>
      </c>
      <c r="D30" s="1011">
        <v>30414179484</v>
      </c>
      <c r="E30" s="1013">
        <v>1612030479.5500002</v>
      </c>
      <c r="F30" s="1013">
        <v>134335873.29583335</v>
      </c>
      <c r="G30" s="1013">
        <v>30414179484.479996</v>
      </c>
      <c r="H30" s="1013">
        <f t="shared" si="2"/>
        <v>1710615892.4508348</v>
      </c>
      <c r="I30" s="1013">
        <v>142551324.3709029</v>
      </c>
      <c r="J30" s="1014">
        <f>$I$30/($K$5*1000)</f>
        <v>4.1239982725049353</v>
      </c>
      <c r="K30" s="1014">
        <f>($I$30/$K$6)/$K$5</f>
        <v>0.25774989203155851</v>
      </c>
    </row>
    <row r="31" spans="2:11" x14ac:dyDescent="0.25">
      <c r="B31" s="1008">
        <f t="shared" si="1"/>
        <v>22</v>
      </c>
      <c r="C31" s="1061" t="s">
        <v>506</v>
      </c>
      <c r="D31" s="1011">
        <v>15714477178</v>
      </c>
      <c r="E31" s="1013">
        <v>1590698081.0625</v>
      </c>
      <c r="F31" s="1013">
        <v>132558173.421875</v>
      </c>
      <c r="G31" s="1013">
        <v>15714477178.919996</v>
      </c>
      <c r="H31" s="1013">
        <f t="shared" si="2"/>
        <v>1689283494.0092032</v>
      </c>
      <c r="I31" s="1013">
        <v>140773624.50076693</v>
      </c>
      <c r="J31" s="1014">
        <f>$I$31/($K$5*1000)</f>
        <v>4.0725695591918418</v>
      </c>
      <c r="K31" s="1014">
        <f>($I$31/$K$6)/$K$5</f>
        <v>0.25453559744949011</v>
      </c>
    </row>
    <row r="32" spans="2:11" x14ac:dyDescent="0.25">
      <c r="B32" s="1008">
        <f t="shared" si="1"/>
        <v>23</v>
      </c>
      <c r="C32" s="1061" t="s">
        <v>507</v>
      </c>
      <c r="D32" s="1011">
        <v>39160256164.880692</v>
      </c>
      <c r="E32" s="1013">
        <v>1815696823.0725431</v>
      </c>
      <c r="F32" s="1013">
        <v>151308068.5893786</v>
      </c>
      <c r="G32" s="1013">
        <v>39160256163.939995</v>
      </c>
      <c r="H32" s="1013">
        <f t="shared" si="2"/>
        <v>1914282235.9513264</v>
      </c>
      <c r="I32" s="1013">
        <v>159523519.66261053</v>
      </c>
      <c r="J32" s="1014">
        <f>$I$32/($K$5*1000)</f>
        <v>4.6150025081548529</v>
      </c>
      <c r="K32" s="1014">
        <f>($I$32/$K$6)/$K$5</f>
        <v>0.28843765675967831</v>
      </c>
    </row>
    <row r="33" spans="2:12" x14ac:dyDescent="0.25">
      <c r="B33" s="1008">
        <f t="shared" si="1"/>
        <v>24</v>
      </c>
      <c r="C33" s="1061" t="s">
        <v>508</v>
      </c>
      <c r="D33" s="1011">
        <v>26158484525</v>
      </c>
      <c r="E33" s="1013">
        <v>1546139031.6360409</v>
      </c>
      <c r="F33" s="1013">
        <v>128844919.30300342</v>
      </c>
      <c r="G33" s="1013">
        <v>26158484522.87001</v>
      </c>
      <c r="H33" s="1013">
        <f t="shared" si="2"/>
        <v>2104335894.8711185</v>
      </c>
      <c r="I33" s="1013">
        <v>175361324.57259321</v>
      </c>
      <c r="J33" s="1014">
        <f>$I$33/($K$5*1000)</f>
        <v>5.073188921906409</v>
      </c>
      <c r="K33" s="1014">
        <f>($I$33/$K$6)/$K$5</f>
        <v>0.31707430761915056</v>
      </c>
    </row>
    <row r="34" spans="2:12" x14ac:dyDescent="0.25">
      <c r="B34" s="1008">
        <f t="shared" si="1"/>
        <v>25</v>
      </c>
      <c r="C34" s="1061" t="s">
        <v>509</v>
      </c>
      <c r="D34" s="1011">
        <v>44700543389</v>
      </c>
      <c r="E34" s="1013">
        <v>2525781268.3374996</v>
      </c>
      <c r="F34" s="1013">
        <v>210481772.3614583</v>
      </c>
      <c r="G34" s="1013">
        <v>44700543388.480034</v>
      </c>
      <c r="H34" s="1013">
        <f t="shared" si="2"/>
        <v>2624366681.1205378</v>
      </c>
      <c r="I34" s="1013">
        <v>218697223.4267115</v>
      </c>
      <c r="J34" s="1014">
        <f>$I$34/($K$5*1000)</f>
        <v>6.3268929671022995</v>
      </c>
      <c r="K34" s="1014">
        <f>($I$34/$K$6)/$K$5</f>
        <v>0.39543081044389378</v>
      </c>
    </row>
    <row r="35" spans="2:12" x14ac:dyDescent="0.25">
      <c r="B35" s="1008">
        <f t="shared" si="1"/>
        <v>26</v>
      </c>
      <c r="C35" s="1061" t="s">
        <v>510</v>
      </c>
      <c r="D35" s="1011">
        <v>12406716786</v>
      </c>
      <c r="E35" s="1013">
        <v>697263539.22500026</v>
      </c>
      <c r="F35" s="1013">
        <v>58105294.935416691</v>
      </c>
      <c r="G35" s="1013">
        <v>12406716785.500004</v>
      </c>
      <c r="H35" s="1013">
        <f t="shared" si="2"/>
        <v>697263539.18067789</v>
      </c>
      <c r="I35" s="1013">
        <v>58105294.931723163</v>
      </c>
      <c r="J35" s="1014">
        <f>$I$35/($K$5*1000)</f>
        <v>1.6809814779295575</v>
      </c>
      <c r="K35" s="1014">
        <f>($I$35/$K$6)/$K$5</f>
        <v>0.10506134237059735</v>
      </c>
    </row>
    <row r="36" spans="2:12" x14ac:dyDescent="0.25">
      <c r="B36" s="1008">
        <f t="shared" si="1"/>
        <v>27</v>
      </c>
      <c r="C36" s="1061" t="s">
        <v>511</v>
      </c>
      <c r="D36" s="1011">
        <v>2279256408</v>
      </c>
      <c r="E36" s="1013">
        <v>168443707.171875</v>
      </c>
      <c r="F36" s="1013">
        <v>14036975.59765625</v>
      </c>
      <c r="G36" s="1013">
        <v>2279256406.4351387</v>
      </c>
      <c r="H36" s="1013">
        <f t="shared" si="2"/>
        <v>203668384.116157</v>
      </c>
      <c r="I36" s="1013">
        <v>16972365.343013082</v>
      </c>
      <c r="J36" s="1014">
        <f>$I$36/($K$5*1000)</f>
        <v>0.49100915522041638</v>
      </c>
      <c r="K36" s="1014">
        <f>($I$36/$K$6)/$K$5</f>
        <v>3.0688072201276031E-2</v>
      </c>
    </row>
    <row r="37" spans="2:12" x14ac:dyDescent="0.25">
      <c r="B37" s="1008">
        <f t="shared" si="1"/>
        <v>28</v>
      </c>
      <c r="C37" s="1061" t="s">
        <v>512</v>
      </c>
      <c r="D37" s="1011">
        <v>8173671310</v>
      </c>
      <c r="E37" s="1013">
        <v>501654825.27499992</v>
      </c>
      <c r="F37" s="1013">
        <v>41804568.77291666</v>
      </c>
      <c r="G37" s="1013">
        <v>8173671308.9999981</v>
      </c>
      <c r="H37" s="1013">
        <f t="shared" si="2"/>
        <v>518407225.14050961</v>
      </c>
      <c r="I37" s="1013">
        <v>43200602.095042467</v>
      </c>
      <c r="J37" s="1014">
        <f>$I$37/($K$5*1000)</f>
        <v>1.2497899209100123</v>
      </c>
      <c r="K37" s="1014">
        <f>($I$37/$K$6)/$K$5</f>
        <v>7.8111870056875768E-2</v>
      </c>
    </row>
    <row r="38" spans="2:12" x14ac:dyDescent="0.25">
      <c r="B38" s="1008">
        <f t="shared" si="1"/>
        <v>29</v>
      </c>
      <c r="C38" s="1061" t="s">
        <v>513</v>
      </c>
      <c r="D38" s="1011">
        <v>8136945794.652689</v>
      </c>
      <c r="E38" s="1013">
        <v>469788395.43263459</v>
      </c>
      <c r="F38" s="1013">
        <v>39149032.952719547</v>
      </c>
      <c r="G38" s="1013">
        <v>8136945802.1199989</v>
      </c>
      <c r="H38" s="1013">
        <f t="shared" si="2"/>
        <v>469788395.77994156</v>
      </c>
      <c r="I38" s="1013">
        <v>39149032.981661797</v>
      </c>
      <c r="J38" s="1014">
        <f>$I$38/($K$5*1000)</f>
        <v>1.1325783544917156</v>
      </c>
      <c r="K38" s="1014">
        <f>($I$38/$K$6)/$K$5</f>
        <v>7.0786147155732226E-2</v>
      </c>
    </row>
    <row r="39" spans="2:12" x14ac:dyDescent="0.25">
      <c r="B39" s="1008">
        <f t="shared" si="1"/>
        <v>30</v>
      </c>
      <c r="C39" s="1061" t="s">
        <v>514</v>
      </c>
      <c r="D39" s="1011">
        <v>5554219736</v>
      </c>
      <c r="E39" s="1013">
        <v>370213728.22500008</v>
      </c>
      <c r="F39" s="1013">
        <v>30851144.018750008</v>
      </c>
      <c r="G39" s="1013">
        <v>5554219736.7600012</v>
      </c>
      <c r="H39" s="1013">
        <f t="shared" si="2"/>
        <v>370213728.37244105</v>
      </c>
      <c r="I39" s="1013">
        <v>30851144.031036757</v>
      </c>
      <c r="J39" s="1014">
        <f>$I$39/($K$5*1000)</f>
        <v>0.89252109898157017</v>
      </c>
      <c r="K39" s="1014">
        <f>($I$39/$K$6)/$K$5</f>
        <v>5.5782568686348143E-2</v>
      </c>
    </row>
    <row r="40" spans="2:12" x14ac:dyDescent="0.25">
      <c r="B40" s="1008">
        <f t="shared" si="1"/>
        <v>31</v>
      </c>
      <c r="C40" s="1061" t="s">
        <v>515</v>
      </c>
      <c r="D40" s="1011">
        <v>28411905935</v>
      </c>
      <c r="E40" s="1013">
        <v>1600990284.1625001</v>
      </c>
      <c r="F40" s="1013">
        <v>133415857.01354168</v>
      </c>
      <c r="G40" s="1013">
        <v>28411905934.010002</v>
      </c>
      <c r="H40" s="1013">
        <f t="shared" si="2"/>
        <v>1600990284.0066733</v>
      </c>
      <c r="I40" s="1013">
        <v>133415857.00055611</v>
      </c>
      <c r="J40" s="1014">
        <f>$I$40/($K$5*1000)</f>
        <v>3.8597099411260558</v>
      </c>
      <c r="K40" s="1014">
        <f>($I$40/$K$6)/$K$5</f>
        <v>0.24123187132037849</v>
      </c>
      <c r="L40" s="987">
        <f>H40/12</f>
        <v>133415857.00055611</v>
      </c>
    </row>
    <row r="41" spans="2:12" x14ac:dyDescent="0.25">
      <c r="B41" s="1008">
        <f t="shared" si="1"/>
        <v>32</v>
      </c>
      <c r="C41" s="1061" t="s">
        <v>516</v>
      </c>
      <c r="D41" s="1011">
        <v>8813632097</v>
      </c>
      <c r="E41" s="1013">
        <v>557196884.82499993</v>
      </c>
      <c r="F41" s="1013">
        <v>46433073.735416658</v>
      </c>
      <c r="G41" s="1013">
        <v>8813632095.9899998</v>
      </c>
      <c r="H41" s="1013">
        <f t="shared" si="2"/>
        <v>557196884.7227875</v>
      </c>
      <c r="I41" s="1013">
        <v>46433073.726898961</v>
      </c>
      <c r="J41" s="1014">
        <f>$I$41/($K$5*1000)</f>
        <v>1.343305063505337</v>
      </c>
      <c r="K41" s="1014">
        <f>($I$41/$K$6)/$K$5</f>
        <v>8.3956566469083574E-2</v>
      </c>
    </row>
    <row r="42" spans="2:12" x14ac:dyDescent="0.25">
      <c r="B42" s="1008">
        <f t="shared" si="1"/>
        <v>33</v>
      </c>
      <c r="C42" s="1061" t="s">
        <v>517</v>
      </c>
      <c r="D42" s="1011">
        <v>4990631887</v>
      </c>
      <c r="E42" s="1013">
        <v>359915737.76250005</v>
      </c>
      <c r="F42" s="1013">
        <v>29992978.146875005</v>
      </c>
      <c r="G42" s="1013">
        <v>4990631885.8800001</v>
      </c>
      <c r="H42" s="1013">
        <f t="shared" si="2"/>
        <v>359915737.56721592</v>
      </c>
      <c r="I42" s="1013">
        <v>29992978.130601324</v>
      </c>
      <c r="J42" s="1014">
        <f>$I$42/($K$5*1000)</f>
        <v>0.8676944289626366</v>
      </c>
      <c r="K42" s="1014">
        <f>($I$42/$K$6)/$K$5</f>
        <v>5.4230901810164794E-2</v>
      </c>
    </row>
    <row r="43" spans="2:12" x14ac:dyDescent="0.25">
      <c r="B43" s="1008">
        <f t="shared" si="1"/>
        <v>34</v>
      </c>
      <c r="C43" s="1061" t="s">
        <v>518</v>
      </c>
      <c r="D43" s="1011">
        <v>11752092639</v>
      </c>
      <c r="E43" s="1013">
        <v>611861933.47500002</v>
      </c>
      <c r="F43" s="1013">
        <v>50988494.456250004</v>
      </c>
      <c r="G43" s="1013">
        <v>11752092638.839998</v>
      </c>
      <c r="H43" s="1013">
        <f t="shared" si="2"/>
        <v>611861933.53528774</v>
      </c>
      <c r="I43" s="1013">
        <v>50988494.461273976</v>
      </c>
      <c r="J43" s="1014">
        <f>$I$43/($K$5*1000)</f>
        <v>1.4750930165250873</v>
      </c>
      <c r="K43" s="1014">
        <f>($I$43/$K$6)/$K$5</f>
        <v>9.2193313532817969E-2</v>
      </c>
    </row>
    <row r="44" spans="2:12" x14ac:dyDescent="0.25">
      <c r="B44" s="1008">
        <f t="shared" si="1"/>
        <v>35</v>
      </c>
      <c r="C44" s="1061" t="s">
        <v>519</v>
      </c>
      <c r="D44" s="1011">
        <v>9891619567</v>
      </c>
      <c r="E44" s="1013">
        <v>899876594.18749964</v>
      </c>
      <c r="F44" s="1013">
        <v>74989716.182291642</v>
      </c>
      <c r="G44" s="1013">
        <v>9891619567.5300026</v>
      </c>
      <c r="H44" s="1013">
        <f t="shared" si="2"/>
        <v>899876594.12820303</v>
      </c>
      <c r="I44" s="1013">
        <v>74989716.177350253</v>
      </c>
      <c r="J44" s="1014">
        <f>$I$44/($K$5*1000)</f>
        <v>2.1694464175329151</v>
      </c>
      <c r="K44" s="1014">
        <f>($I$44/$K$6)/$K$5</f>
        <v>0.13559040109580722</v>
      </c>
    </row>
    <row r="45" spans="2:12" x14ac:dyDescent="0.25">
      <c r="B45" s="1008">
        <f t="shared" si="1"/>
        <v>36</v>
      </c>
      <c r="C45" s="1061" t="s">
        <v>520</v>
      </c>
      <c r="D45" s="1011">
        <v>4518985787</v>
      </c>
      <c r="E45" s="1013">
        <v>244637940.60000005</v>
      </c>
      <c r="F45" s="1013">
        <v>20386495.050000004</v>
      </c>
      <c r="G45" s="1013">
        <v>4518985787.3899994</v>
      </c>
      <c r="H45" s="1013">
        <f t="shared" si="2"/>
        <v>244637940.5848676</v>
      </c>
      <c r="I45" s="1013">
        <v>20386495.048738968</v>
      </c>
      <c r="J45" s="1014">
        <f>$I$45/($K$5*1000)</f>
        <v>0.58977965118499309</v>
      </c>
      <c r="K45" s="1014">
        <f>($I$45/$K$6)/$K$5</f>
        <v>3.6861228199062075E-2</v>
      </c>
    </row>
    <row r="46" spans="2:12" x14ac:dyDescent="0.25">
      <c r="B46" s="1008">
        <f t="shared" si="1"/>
        <v>37</v>
      </c>
      <c r="C46" s="1061" t="s">
        <v>521</v>
      </c>
      <c r="D46" s="1011">
        <v>34206697993</v>
      </c>
      <c r="E46" s="1013">
        <v>3139434562.2500439</v>
      </c>
      <c r="F46" s="1013">
        <v>261619546.85417032</v>
      </c>
      <c r="G46" s="1013">
        <v>121634364373.43024</v>
      </c>
      <c r="H46" s="1013">
        <f t="shared" si="2"/>
        <v>7874623587.8125553</v>
      </c>
      <c r="I46" s="1013">
        <v>656218632.3177129</v>
      </c>
      <c r="J46" s="1014">
        <f>$I$46/($K$5*1000)</f>
        <v>18.984351902774669</v>
      </c>
      <c r="K46" s="1014">
        <f>($I$46/$K$6)/$K$5</f>
        <v>1.1865219939234168</v>
      </c>
    </row>
    <row r="47" spans="2:12" x14ac:dyDescent="0.25">
      <c r="B47" s="1008">
        <f t="shared" si="1"/>
        <v>38</v>
      </c>
      <c r="C47" s="1061" t="s">
        <v>522</v>
      </c>
      <c r="D47" s="1011">
        <v>93804025615</v>
      </c>
      <c r="E47" s="1013">
        <v>6310838834.0541668</v>
      </c>
      <c r="F47" s="1013">
        <v>525903236.17118055</v>
      </c>
      <c r="G47" s="1013">
        <v>93804025613.289978</v>
      </c>
      <c r="H47" s="1013">
        <f t="shared" si="2"/>
        <v>6332772167.2313156</v>
      </c>
      <c r="I47" s="1013">
        <v>527731013.93594301</v>
      </c>
      <c r="J47" s="1014">
        <f>$I$47/($K$5*1000)</f>
        <v>15.2672155058795</v>
      </c>
      <c r="K47" s="1014">
        <f>($I$47/$K$6)/$K$5</f>
        <v>0.95420096911746888</v>
      </c>
    </row>
    <row r="48" spans="2:12" x14ac:dyDescent="0.25">
      <c r="B48" s="1008">
        <f t="shared" si="1"/>
        <v>39</v>
      </c>
      <c r="C48" s="1061" t="s">
        <v>523</v>
      </c>
      <c r="D48" s="1011">
        <v>69305898501</v>
      </c>
      <c r="E48" s="1013">
        <v>4714142216.8125</v>
      </c>
      <c r="F48" s="1013">
        <v>392845184.734375</v>
      </c>
      <c r="G48" s="1013">
        <v>69305898500.289993</v>
      </c>
      <c r="H48" s="1013">
        <f t="shared" si="2"/>
        <v>4714142216.7859001</v>
      </c>
      <c r="I48" s="1013">
        <v>392845184.7321583</v>
      </c>
      <c r="J48" s="1014">
        <f>$I$48/($K$5*1000)</f>
        <v>11.364979387929075</v>
      </c>
      <c r="K48" s="1014">
        <f>($I$48/$K$6)/$K$5</f>
        <v>0.71031121174556733</v>
      </c>
    </row>
    <row r="49" spans="2:11" x14ac:dyDescent="0.25">
      <c r="B49" s="1008">
        <f t="shared" si="1"/>
        <v>40</v>
      </c>
      <c r="C49" s="1061" t="s">
        <v>524</v>
      </c>
      <c r="D49" s="1011">
        <v>1222833568</v>
      </c>
      <c r="E49" s="1013">
        <v>76427098</v>
      </c>
      <c r="F49" s="1013">
        <v>6368924.833333333</v>
      </c>
      <c r="G49" s="1013">
        <v>1222833567.6900001</v>
      </c>
      <c r="H49" s="1013">
        <f t="shared" si="2"/>
        <v>76427097.980625004</v>
      </c>
      <c r="I49" s="1013">
        <v>6368924.8317187503</v>
      </c>
      <c r="J49" s="1014">
        <f>$I$49/($K$5*1000)</f>
        <v>0.18425247972710609</v>
      </c>
      <c r="K49" s="1014">
        <f>($I$49/$K$6)/$K$5</f>
        <v>1.1515779982944133E-2</v>
      </c>
    </row>
    <row r="50" spans="2:11" x14ac:dyDescent="0.25">
      <c r="B50" s="1008">
        <f t="shared" si="1"/>
        <v>41</v>
      </c>
      <c r="C50" s="1061" t="s">
        <v>525</v>
      </c>
      <c r="D50" s="1011">
        <v>2557397646</v>
      </c>
      <c r="E50" s="1013">
        <v>127869882.30000001</v>
      </c>
      <c r="F50" s="1013">
        <v>10655823.525</v>
      </c>
      <c r="G50" s="1013">
        <v>2557397645.6100001</v>
      </c>
      <c r="H50" s="1013">
        <f t="shared" si="2"/>
        <v>127869882.28050001</v>
      </c>
      <c r="I50" s="1013">
        <v>10655823.523375001</v>
      </c>
      <c r="J50" s="1014">
        <f>$I$50/($K$5*1000)</f>
        <v>0.30827211179165853</v>
      </c>
      <c r="K50" s="1014">
        <f>($I$50/$K$6)/$K$5</f>
        <v>1.9267006986978658E-2</v>
      </c>
    </row>
    <row r="51" spans="2:11" x14ac:dyDescent="0.25">
      <c r="B51" s="1008">
        <f t="shared" si="1"/>
        <v>42</v>
      </c>
      <c r="C51" s="1061" t="s">
        <v>526</v>
      </c>
      <c r="D51" s="1011">
        <v>30580769059</v>
      </c>
      <c r="E51" s="1013">
        <v>1658149317.4009175</v>
      </c>
      <c r="F51" s="1013">
        <v>138179109.7834098</v>
      </c>
      <c r="G51" s="1013">
        <v>30797884415.073391</v>
      </c>
      <c r="H51" s="1013">
        <f t="shared" si="2"/>
        <v>2888992764.2857904</v>
      </c>
      <c r="I51" s="1013">
        <v>240749397.02381587</v>
      </c>
      <c r="J51" s="1014">
        <f>$I$51/($K$5*1000)</f>
        <v>6.9648605638312731</v>
      </c>
      <c r="K51" s="1014">
        <f>($I$51/$K$6)/$K$5</f>
        <v>0.43530378523945462</v>
      </c>
    </row>
    <row r="52" spans="2:11" x14ac:dyDescent="0.25">
      <c r="B52" s="1008">
        <f t="shared" si="1"/>
        <v>43</v>
      </c>
      <c r="C52" s="1061" t="s">
        <v>527</v>
      </c>
      <c r="D52" s="1011">
        <v>2460303143</v>
      </c>
      <c r="E52" s="1013">
        <v>153768946.4375</v>
      </c>
      <c r="F52" s="1013">
        <v>12814078.869791666</v>
      </c>
      <c r="G52" s="1013">
        <v>2460303143</v>
      </c>
      <c r="H52" s="1013">
        <f t="shared" si="2"/>
        <v>153768946.4375</v>
      </c>
      <c r="I52" s="1013">
        <v>12814078.869791666</v>
      </c>
      <c r="J52" s="1014">
        <f>$I$52/($K$5*1000)</f>
        <v>0.37071026422220615</v>
      </c>
      <c r="K52" s="1014">
        <f>($I$52/$K$6)/$K$5</f>
        <v>2.3169391513887888E-2</v>
      </c>
    </row>
    <row r="53" spans="2:11" x14ac:dyDescent="0.25">
      <c r="B53" s="1008">
        <f t="shared" si="1"/>
        <v>44</v>
      </c>
      <c r="C53" s="1061" t="s">
        <v>526</v>
      </c>
      <c r="D53" s="1011">
        <v>0</v>
      </c>
      <c r="E53" s="1013">
        <v>0</v>
      </c>
      <c r="F53" s="1013">
        <v>0</v>
      </c>
      <c r="G53" s="1013">
        <v>0</v>
      </c>
      <c r="H53" s="1013">
        <f t="shared" si="2"/>
        <v>0</v>
      </c>
      <c r="I53" s="1013">
        <v>0</v>
      </c>
      <c r="J53" s="1014">
        <f>$I$53/($K$5*1000)</f>
        <v>0</v>
      </c>
      <c r="K53" s="1014">
        <f>($I$53/$K$6)/$K$5</f>
        <v>0</v>
      </c>
    </row>
    <row r="54" spans="2:11" x14ac:dyDescent="0.25">
      <c r="B54" s="1008">
        <f t="shared" si="1"/>
        <v>45</v>
      </c>
      <c r="C54" s="1061" t="s">
        <v>526</v>
      </c>
      <c r="D54" s="1011">
        <v>0</v>
      </c>
      <c r="E54" s="1013">
        <v>0</v>
      </c>
      <c r="F54" s="1013">
        <v>0</v>
      </c>
      <c r="G54" s="1013">
        <v>0</v>
      </c>
      <c r="H54" s="1013">
        <f t="shared" si="2"/>
        <v>0</v>
      </c>
      <c r="I54" s="1013">
        <v>0</v>
      </c>
      <c r="J54" s="1014">
        <f>$I$54/($K$5*1000)</f>
        <v>0</v>
      </c>
      <c r="K54" s="1014">
        <f>($I$54/$K$6)/$K$5</f>
        <v>0</v>
      </c>
    </row>
    <row r="55" spans="2:11" x14ac:dyDescent="0.25">
      <c r="B55" s="1008">
        <f t="shared" si="1"/>
        <v>46</v>
      </c>
      <c r="C55" s="1061" t="s">
        <v>508</v>
      </c>
      <c r="D55" s="1011">
        <v>0</v>
      </c>
      <c r="E55" s="1013">
        <v>0</v>
      </c>
      <c r="F55" s="1013">
        <v>0</v>
      </c>
      <c r="G55" s="1013">
        <v>0</v>
      </c>
      <c r="H55" s="1013">
        <f t="shared" si="2"/>
        <v>0</v>
      </c>
      <c r="I55" s="1013">
        <v>0</v>
      </c>
      <c r="J55" s="1014">
        <f>$I$55/($K$5*1000)</f>
        <v>0</v>
      </c>
      <c r="K55" s="1014">
        <f>($I$55/$K$6)/$K$5</f>
        <v>0</v>
      </c>
    </row>
    <row r="56" spans="2:11" x14ac:dyDescent="0.25">
      <c r="B56" s="1008">
        <f t="shared" si="1"/>
        <v>47</v>
      </c>
      <c r="C56" s="1061" t="s">
        <v>528</v>
      </c>
      <c r="D56" s="1011">
        <v>814629325</v>
      </c>
      <c r="E56" s="1013">
        <v>138420459.72499999</v>
      </c>
      <c r="F56" s="1013">
        <v>11535038.310416667</v>
      </c>
      <c r="G56" s="1013">
        <v>814629325</v>
      </c>
      <c r="H56" s="1013">
        <f t="shared" si="2"/>
        <v>138420459.72499999</v>
      </c>
      <c r="I56" s="1013">
        <v>11535038.310416667</v>
      </c>
      <c r="J56" s="1014">
        <f>$I$56/($K$5*1000)</f>
        <v>0.33370772439590546</v>
      </c>
      <c r="K56" s="1014">
        <f>($I$56/$K$6)/$K$5</f>
        <v>2.0856732774744091E-2</v>
      </c>
    </row>
    <row r="57" spans="2:11" x14ac:dyDescent="0.25">
      <c r="B57" s="1008">
        <f t="shared" si="1"/>
        <v>48</v>
      </c>
      <c r="C57" s="1061" t="s">
        <v>490</v>
      </c>
      <c r="D57" s="1011">
        <v>0</v>
      </c>
      <c r="E57" s="1013">
        <v>0</v>
      </c>
      <c r="F57" s="1013">
        <v>0</v>
      </c>
      <c r="G57" s="1013">
        <v>0</v>
      </c>
      <c r="H57" s="1013">
        <f t="shared" si="2"/>
        <v>0</v>
      </c>
      <c r="I57" s="1013">
        <v>0</v>
      </c>
      <c r="J57" s="1014">
        <f>$I$57/($K$5*1000)</f>
        <v>0</v>
      </c>
      <c r="K57" s="1014">
        <f>($I$57/$K$6)/$K$5</f>
        <v>0</v>
      </c>
    </row>
    <row r="58" spans="2:11" x14ac:dyDescent="0.25">
      <c r="B58" s="1008">
        <f t="shared" si="1"/>
        <v>49</v>
      </c>
      <c r="C58" s="1061" t="s">
        <v>529</v>
      </c>
      <c r="D58" s="1011">
        <v>3324550757</v>
      </c>
      <c r="E58" s="1013">
        <v>166227537.84999993</v>
      </c>
      <c r="F58" s="1013">
        <v>13852294.820833327</v>
      </c>
      <c r="G58" s="1013">
        <v>3324550757.3499999</v>
      </c>
      <c r="H58" s="1013">
        <f t="shared" si="2"/>
        <v>166227537.86750001</v>
      </c>
      <c r="I58" s="1013">
        <v>13852294.822291667</v>
      </c>
      <c r="J58" s="1014">
        <f>$I$58/($K$5*1000)</f>
        <v>0.40074576766977016</v>
      </c>
      <c r="K58" s="1014">
        <f>($I$58/$K$6)/$K$5</f>
        <v>2.5046610479360638E-2</v>
      </c>
    </row>
    <row r="59" spans="2:11" x14ac:dyDescent="0.25">
      <c r="B59" s="1008">
        <f t="shared" si="1"/>
        <v>50</v>
      </c>
      <c r="C59" s="1061" t="s">
        <v>530</v>
      </c>
      <c r="D59" s="1011">
        <v>1457273906</v>
      </c>
      <c r="E59" s="1013">
        <v>72863695.299999997</v>
      </c>
      <c r="F59" s="1013">
        <v>6071974.6083333334</v>
      </c>
      <c r="G59" s="1013">
        <v>1457273906</v>
      </c>
      <c r="H59" s="1013">
        <f t="shared" si="2"/>
        <v>72863695.299999997</v>
      </c>
      <c r="I59" s="1013">
        <v>6071974.6083333334</v>
      </c>
      <c r="J59" s="1014">
        <f>$I$59/($K$5*1000)</f>
        <v>0.17566173380688524</v>
      </c>
      <c r="K59" s="1014">
        <f>($I$59/$K$6)/$K$5</f>
        <v>1.0978858362930327E-2</v>
      </c>
    </row>
    <row r="60" spans="2:11" x14ac:dyDescent="0.25">
      <c r="B60" s="1008">
        <f t="shared" si="1"/>
        <v>51</v>
      </c>
      <c r="C60" s="1061" t="s">
        <v>490</v>
      </c>
      <c r="D60" s="1011">
        <v>0</v>
      </c>
      <c r="E60" s="1013">
        <v>0</v>
      </c>
      <c r="F60" s="1013">
        <v>0</v>
      </c>
      <c r="G60" s="1013">
        <v>0</v>
      </c>
      <c r="H60" s="1013">
        <f t="shared" si="2"/>
        <v>0</v>
      </c>
      <c r="I60" s="1013">
        <v>0</v>
      </c>
      <c r="J60" s="1014">
        <f>$I$60/($K$5*1000)</f>
        <v>0</v>
      </c>
      <c r="K60" s="1014">
        <f>($I$60/$K$6)/$K$5</f>
        <v>0</v>
      </c>
    </row>
    <row r="61" spans="2:11" x14ac:dyDescent="0.25">
      <c r="B61" s="1008">
        <f t="shared" si="1"/>
        <v>52</v>
      </c>
      <c r="C61" s="1061" t="s">
        <v>531</v>
      </c>
      <c r="D61" s="1011">
        <v>702420000</v>
      </c>
      <c r="E61" s="1013">
        <v>58515250</v>
      </c>
      <c r="F61" s="1013">
        <v>4876270.833333333</v>
      </c>
      <c r="G61" s="1013">
        <v>702420000</v>
      </c>
      <c r="H61" s="1013">
        <f t="shared" si="2"/>
        <v>92109000</v>
      </c>
      <c r="I61" s="1013">
        <v>7675750</v>
      </c>
      <c r="J61" s="1014">
        <f>$I$61/($K$5*1000)</f>
        <v>0.22205882603950769</v>
      </c>
      <c r="K61" s="1014">
        <f>($I$61/$K$6)/$K$5</f>
        <v>1.3878676627469231E-2</v>
      </c>
    </row>
    <row r="62" spans="2:11" x14ac:dyDescent="0.25">
      <c r="B62" s="1008">
        <f t="shared" si="1"/>
        <v>53</v>
      </c>
      <c r="C62" s="1061" t="s">
        <v>532</v>
      </c>
      <c r="D62" s="1011">
        <v>2093240354</v>
      </c>
      <c r="E62" s="1013">
        <v>287495712.54999989</v>
      </c>
      <c r="F62" s="1013">
        <v>23957976.045833323</v>
      </c>
      <c r="G62" s="1013">
        <v>2093240354</v>
      </c>
      <c r="H62" s="1013">
        <f t="shared" si="2"/>
        <v>287495712.54999995</v>
      </c>
      <c r="I62" s="1013">
        <v>23957976.045833331</v>
      </c>
      <c r="J62" s="1014">
        <f>$I$62/($K$5*1000)</f>
        <v>0.69310230726904809</v>
      </c>
      <c r="K62" s="1014">
        <f>($I$62/$K$6)/$K$5</f>
        <v>4.3318894204315506E-2</v>
      </c>
    </row>
    <row r="63" spans="2:11" x14ac:dyDescent="0.25">
      <c r="B63" s="1008">
        <f t="shared" si="1"/>
        <v>54</v>
      </c>
      <c r="C63" s="1061" t="s">
        <v>533</v>
      </c>
      <c r="D63" s="1011">
        <v>0</v>
      </c>
      <c r="E63" s="1013">
        <v>0</v>
      </c>
      <c r="F63" s="1013">
        <v>0</v>
      </c>
      <c r="G63" s="1013">
        <v>0</v>
      </c>
      <c r="H63" s="1013">
        <f t="shared" si="2"/>
        <v>0</v>
      </c>
      <c r="I63" s="1013">
        <v>0</v>
      </c>
      <c r="J63" s="1014">
        <f>$I$63/($K$5*1000)</f>
        <v>0</v>
      </c>
      <c r="K63" s="1014">
        <f>($I$63/$K$6)/$K$5</f>
        <v>0</v>
      </c>
    </row>
    <row r="64" spans="2:11" x14ac:dyDescent="0.25">
      <c r="B64" s="1008">
        <f t="shared" si="1"/>
        <v>55</v>
      </c>
      <c r="C64" s="1061" t="s">
        <v>534</v>
      </c>
      <c r="D64" s="1011">
        <v>68073000</v>
      </c>
      <c r="E64" s="1013">
        <v>13614600</v>
      </c>
      <c r="F64" s="1013">
        <v>1134550</v>
      </c>
      <c r="G64" s="1013">
        <v>68073000</v>
      </c>
      <c r="H64" s="1013">
        <f t="shared" si="2"/>
        <v>13614600</v>
      </c>
      <c r="I64" s="1013">
        <v>1134550</v>
      </c>
      <c r="J64" s="1014">
        <f>$I$64/($K$5*1000)</f>
        <v>3.2822439642135742E-2</v>
      </c>
      <c r="K64" s="1014">
        <f>($I$64/$K$6)/$K$5</f>
        <v>2.0514024776334839E-3</v>
      </c>
    </row>
    <row r="65" spans="2:11" x14ac:dyDescent="0.25">
      <c r="B65" s="1008">
        <f t="shared" si="1"/>
        <v>56</v>
      </c>
      <c r="C65" s="1061" t="s">
        <v>535</v>
      </c>
      <c r="D65" s="1011">
        <v>140550000</v>
      </c>
      <c r="E65" s="1013">
        <v>28110000</v>
      </c>
      <c r="F65" s="1013">
        <v>2342500</v>
      </c>
      <c r="G65" s="1013">
        <v>140550000</v>
      </c>
      <c r="H65" s="1013">
        <f t="shared" si="2"/>
        <v>28110000</v>
      </c>
      <c r="I65" s="1013">
        <v>2342500</v>
      </c>
      <c r="J65" s="1014">
        <f>$I$65/($K$5*1000)</f>
        <v>6.7768335341503658E-2</v>
      </c>
      <c r="K65" s="1014">
        <f>($I$65/$K$6)/$K$5</f>
        <v>4.2355209588439795E-3</v>
      </c>
    </row>
    <row r="66" spans="2:11" x14ac:dyDescent="0.25">
      <c r="B66" s="1008">
        <f t="shared" si="1"/>
        <v>57</v>
      </c>
      <c r="C66" s="1061" t="s">
        <v>536</v>
      </c>
      <c r="D66" s="1011">
        <v>3453064640</v>
      </c>
      <c r="E66" s="1013">
        <v>373988923.72499996</v>
      </c>
      <c r="F66" s="1013">
        <v>31165743.643749997</v>
      </c>
      <c r="G66" s="1013">
        <v>4405170868</v>
      </c>
      <c r="H66" s="1013">
        <f t="shared" si="2"/>
        <v>896034173.60000002</v>
      </c>
      <c r="I66" s="1013">
        <v>74669514.466666669</v>
      </c>
      <c r="J66" s="1014">
        <f>$I$66/($K$5*1000)</f>
        <v>2.1601830079676954</v>
      </c>
      <c r="K66" s="1014">
        <f>($I$66/$K$6)/$K$5</f>
        <v>0.13501143799798096</v>
      </c>
    </row>
    <row r="67" spans="2:11" x14ac:dyDescent="0.25">
      <c r="B67" s="1008">
        <f t="shared" si="1"/>
        <v>58</v>
      </c>
      <c r="C67" s="1061" t="s">
        <v>537</v>
      </c>
      <c r="D67" s="1011">
        <v>1542535419</v>
      </c>
      <c r="E67" s="1013">
        <v>294442763.82414317</v>
      </c>
      <c r="F67" s="1013">
        <v>24536896.985345263</v>
      </c>
      <c r="G67" s="1013">
        <v>1976060354.2647929</v>
      </c>
      <c r="H67" s="1013">
        <f t="shared" si="2"/>
        <v>298253959.59197366</v>
      </c>
      <c r="I67" s="1013">
        <v>24854496.632664472</v>
      </c>
      <c r="J67" s="1014">
        <f>$I$67/($K$5*1000)</f>
        <v>0.71903857526005532</v>
      </c>
      <c r="K67" s="1014">
        <f>($I$67/$K$6)/$K$5</f>
        <v>4.4939910953753458E-2</v>
      </c>
    </row>
    <row r="68" spans="2:11" x14ac:dyDescent="0.25">
      <c r="B68" s="1008">
        <f t="shared" si="1"/>
        <v>59</v>
      </c>
      <c r="C68" s="1061" t="s">
        <v>538</v>
      </c>
      <c r="D68" s="1011">
        <v>11270000</v>
      </c>
      <c r="E68" s="1013">
        <v>2253999.9999999995</v>
      </c>
      <c r="F68" s="1013">
        <v>187833.33333333328</v>
      </c>
      <c r="G68" s="1013">
        <v>11270000</v>
      </c>
      <c r="H68" s="1013">
        <f t="shared" si="2"/>
        <v>2254000</v>
      </c>
      <c r="I68" s="1013">
        <v>187833.33333333334</v>
      </c>
      <c r="J68" s="1014">
        <f>$I$68/($K$5*1000)</f>
        <v>5.4340031255691659E-3</v>
      </c>
      <c r="K68" s="1014">
        <f>($I$68/$K$6)/$K$5</f>
        <v>3.3962519534807292E-4</v>
      </c>
    </row>
    <row r="69" spans="2:11" x14ac:dyDescent="0.25">
      <c r="B69" s="1008">
        <f t="shared" si="1"/>
        <v>60</v>
      </c>
      <c r="C69" s="1061" t="s">
        <v>539</v>
      </c>
      <c r="D69" s="1011">
        <v>26932688</v>
      </c>
      <c r="E69" s="1013">
        <v>5386537.5999999996</v>
      </c>
      <c r="F69" s="1013">
        <v>448878.1333333333</v>
      </c>
      <c r="G69" s="1013">
        <v>26932688</v>
      </c>
      <c r="H69" s="1013">
        <f t="shared" si="2"/>
        <v>5386537.5380002018</v>
      </c>
      <c r="I69" s="1013">
        <v>448878.12816668348</v>
      </c>
      <c r="J69" s="1014">
        <f>$I$69/($K$5*1000)</f>
        <v>1.298600790483085E-2</v>
      </c>
      <c r="K69" s="1014">
        <f>($I$69/$K$6)/$K$5</f>
        <v>8.1162549405192823E-4</v>
      </c>
    </row>
    <row r="70" spans="2:11" x14ac:dyDescent="0.25">
      <c r="B70" s="1008">
        <f t="shared" si="1"/>
        <v>61</v>
      </c>
      <c r="C70" s="1061" t="s">
        <v>540</v>
      </c>
      <c r="D70" s="1011">
        <v>30000000</v>
      </c>
      <c r="E70" s="1013">
        <v>6000000</v>
      </c>
      <c r="F70" s="1013">
        <v>500000</v>
      </c>
      <c r="G70" s="1013">
        <v>30000000.340209961</v>
      </c>
      <c r="H70" s="1013">
        <f t="shared" si="2"/>
        <v>6000000.0680419924</v>
      </c>
      <c r="I70" s="1013">
        <v>500000.00567016605</v>
      </c>
      <c r="J70" s="1014">
        <f>$I$70/($K$5*1000)</f>
        <v>1.4464959681967789E-2</v>
      </c>
      <c r="K70" s="1014">
        <f>($I$70/$K$6)/$K$5</f>
        <v>9.0405998012298692E-4</v>
      </c>
    </row>
    <row r="71" spans="2:11" x14ac:dyDescent="0.25">
      <c r="B71" s="1008">
        <f t="shared" si="1"/>
        <v>62</v>
      </c>
      <c r="C71" s="1061" t="s">
        <v>541</v>
      </c>
      <c r="D71" s="1011">
        <v>6869341541</v>
      </c>
      <c r="E71" s="1013">
        <v>344483481.40046716</v>
      </c>
      <c r="F71" s="1013">
        <v>28706956.783372264</v>
      </c>
      <c r="G71" s="1013">
        <v>6950653888.9573593</v>
      </c>
      <c r="H71" s="1013">
        <f t="shared" si="2"/>
        <v>347532694.44786799</v>
      </c>
      <c r="I71" s="1013">
        <v>28961057.870655663</v>
      </c>
      <c r="J71" s="1014">
        <f>$I$71/($K$5*1000)</f>
        <v>0.83784105939094433</v>
      </c>
      <c r="K71" s="1014">
        <f>($I$71/$K$6)/$K$5</f>
        <v>5.2365066211934021E-2</v>
      </c>
    </row>
    <row r="72" spans="2:11" x14ac:dyDescent="0.25">
      <c r="B72" s="1008"/>
      <c r="C72" s="1015"/>
      <c r="D72" s="1015"/>
      <c r="E72" s="1013"/>
      <c r="F72" s="1013"/>
      <c r="G72" s="1013"/>
      <c r="H72" s="1013"/>
      <c r="I72" s="1013"/>
      <c r="J72" s="1014"/>
      <c r="K72" s="1014"/>
    </row>
    <row r="73" spans="2:11" x14ac:dyDescent="0.25">
      <c r="B73" s="1008"/>
      <c r="C73" s="1015"/>
      <c r="D73" s="1015"/>
      <c r="E73" s="1013"/>
      <c r="F73" s="1013"/>
      <c r="G73" s="1013"/>
      <c r="H73" s="1013"/>
      <c r="I73" s="1013"/>
      <c r="J73" s="1014"/>
      <c r="K73" s="1014"/>
    </row>
    <row r="74" spans="2:11" x14ac:dyDescent="0.25">
      <c r="B74" s="1008"/>
      <c r="C74" s="1015"/>
      <c r="D74" s="1015"/>
      <c r="E74" s="1013"/>
      <c r="F74" s="1013"/>
      <c r="G74" s="1013"/>
      <c r="H74" s="1013"/>
      <c r="I74" s="1013"/>
      <c r="J74" s="1014"/>
      <c r="K74" s="1014"/>
    </row>
    <row r="75" spans="2:11" ht="13.5" thickBot="1" x14ac:dyDescent="0.3">
      <c r="B75" s="1046"/>
      <c r="C75" s="1047"/>
      <c r="D75" s="1047"/>
      <c r="E75" s="1048"/>
      <c r="F75" s="1048"/>
      <c r="G75" s="1048"/>
      <c r="H75" s="1048"/>
      <c r="I75" s="1048"/>
      <c r="J75" s="1062"/>
      <c r="K75" s="1062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5703125" defaultRowHeight="15" x14ac:dyDescent="0.25"/>
  <cols>
    <col min="1" max="1" width="8.5703125" style="343"/>
    <col min="2" max="2" width="52.5703125" style="343" customWidth="1"/>
    <col min="3" max="4" width="17.5703125" style="970" customWidth="1"/>
    <col min="5" max="5" width="55.42578125" style="343" customWidth="1"/>
    <col min="6" max="6" width="17.5703125" style="970" customWidth="1"/>
    <col min="7" max="16384" width="8.5703125" style="343"/>
  </cols>
  <sheetData>
    <row r="1" spans="2:6" x14ac:dyDescent="0.25">
      <c r="C1" s="970" t="s">
        <v>407</v>
      </c>
      <c r="F1" s="970" t="s">
        <v>407</v>
      </c>
    </row>
    <row r="2" spans="2:6" ht="19.5" thickBot="1" x14ac:dyDescent="0.3">
      <c r="B2" s="969" t="s">
        <v>381</v>
      </c>
      <c r="C2" s="1039">
        <f>'JULI 2025'!AM6</f>
        <v>25</v>
      </c>
      <c r="E2" s="969" t="s">
        <v>382</v>
      </c>
      <c r="F2" s="1039">
        <f>'JULI 2025'!AM6</f>
        <v>25</v>
      </c>
    </row>
    <row r="3" spans="2:6" x14ac:dyDescent="0.25">
      <c r="B3" s="2476" t="s">
        <v>383</v>
      </c>
      <c r="C3" s="971" t="s">
        <v>384</v>
      </c>
      <c r="E3" s="2476" t="s">
        <v>383</v>
      </c>
      <c r="F3" s="971" t="s">
        <v>384</v>
      </c>
    </row>
    <row r="4" spans="2:6" ht="15.75" thickBot="1" x14ac:dyDescent="0.3">
      <c r="B4" s="2477"/>
      <c r="C4" s="972" t="s">
        <v>385</v>
      </c>
      <c r="E4" s="2477"/>
      <c r="F4" s="972" t="s">
        <v>385</v>
      </c>
    </row>
    <row r="5" spans="2:6" ht="15.75" thickTop="1" x14ac:dyDescent="0.25">
      <c r="B5" s="973" t="s">
        <v>386</v>
      </c>
      <c r="C5" s="974">
        <v>1648879.5518207287</v>
      </c>
      <c r="E5" s="975" t="s">
        <v>387</v>
      </c>
      <c r="F5" s="976">
        <v>4911824.2689075638</v>
      </c>
    </row>
    <row r="6" spans="2:6" x14ac:dyDescent="0.25">
      <c r="B6" s="973" t="s">
        <v>148</v>
      </c>
      <c r="C6" s="974">
        <v>2678431.3725490198</v>
      </c>
      <c r="E6" s="973" t="s">
        <v>388</v>
      </c>
      <c r="F6" s="974">
        <v>1230672.2689075631</v>
      </c>
    </row>
    <row r="7" spans="2:6" x14ac:dyDescent="0.25">
      <c r="B7" s="973" t="s">
        <v>389</v>
      </c>
      <c r="C7" s="974">
        <v>288459.3837535014</v>
      </c>
      <c r="E7" s="973" t="s">
        <v>390</v>
      </c>
      <c r="F7" s="974">
        <v>1084733.893557423</v>
      </c>
    </row>
    <row r="8" spans="2:6" x14ac:dyDescent="0.25">
      <c r="B8" s="973" t="s">
        <v>391</v>
      </c>
      <c r="C8" s="974">
        <v>404271.70868347352</v>
      </c>
      <c r="E8" s="973" t="s">
        <v>392</v>
      </c>
      <c r="F8" s="974">
        <v>833815.51820728299</v>
      </c>
    </row>
    <row r="9" spans="2:6" x14ac:dyDescent="0.25">
      <c r="B9" s="973" t="s">
        <v>393</v>
      </c>
      <c r="C9" s="974">
        <v>150891.40056022411</v>
      </c>
      <c r="E9" s="973" t="s">
        <v>394</v>
      </c>
      <c r="F9" s="974">
        <v>949299.71988795535</v>
      </c>
    </row>
    <row r="10" spans="2:6" x14ac:dyDescent="0.25">
      <c r="B10" s="973" t="s">
        <v>395</v>
      </c>
      <c r="C10" s="974">
        <v>58543.417366946771</v>
      </c>
      <c r="E10" s="973" t="s">
        <v>396</v>
      </c>
      <c r="F10" s="974">
        <v>1106022.4089635855</v>
      </c>
    </row>
    <row r="11" spans="2:6" x14ac:dyDescent="0.25">
      <c r="B11" s="973" t="s">
        <v>397</v>
      </c>
      <c r="C11" s="974">
        <v>87425.770308123247</v>
      </c>
      <c r="E11" s="973" t="s">
        <v>398</v>
      </c>
      <c r="F11" s="974">
        <v>5634698.8795518195</v>
      </c>
    </row>
    <row r="12" spans="2:6" ht="15.75" thickBot="1" x14ac:dyDescent="0.3">
      <c r="B12" s="973" t="s">
        <v>399</v>
      </c>
      <c r="C12" s="974">
        <v>254341.73669467788</v>
      </c>
      <c r="E12" s="977"/>
      <c r="F12" s="978"/>
    </row>
    <row r="13" spans="2:6" x14ac:dyDescent="0.25">
      <c r="B13" s="973" t="s">
        <v>400</v>
      </c>
      <c r="C13" s="974">
        <v>114733.89355742298</v>
      </c>
      <c r="E13" s="979" t="s">
        <v>1</v>
      </c>
      <c r="F13" s="980">
        <f>SUM(F5:F12)</f>
        <v>15751066.957983192</v>
      </c>
    </row>
    <row r="14" spans="2:6" x14ac:dyDescent="0.25">
      <c r="B14" s="973" t="s">
        <v>401</v>
      </c>
      <c r="C14" s="974">
        <v>203159.6638655462</v>
      </c>
      <c r="E14" s="981" t="s">
        <v>402</v>
      </c>
      <c r="F14" s="982">
        <f>F13*F2</f>
        <v>393776673.94957978</v>
      </c>
    </row>
    <row r="15" spans="2:6" ht="15.75" thickBot="1" x14ac:dyDescent="0.3">
      <c r="B15" s="973" t="s">
        <v>403</v>
      </c>
      <c r="C15" s="974">
        <v>580672.26890756306</v>
      </c>
      <c r="E15" s="983" t="s">
        <v>404</v>
      </c>
      <c r="F15" s="984">
        <f>F14*12</f>
        <v>4725320087.3949575</v>
      </c>
    </row>
    <row r="16" spans="2:6" ht="15.75" thickBot="1" x14ac:dyDescent="0.3">
      <c r="B16" s="977" t="s">
        <v>405</v>
      </c>
      <c r="C16" s="978">
        <v>4089635.8543417375</v>
      </c>
    </row>
    <row r="17" spans="2:6" x14ac:dyDescent="0.25">
      <c r="B17" s="979" t="s">
        <v>406</v>
      </c>
      <c r="C17" s="980">
        <f>SUM(C5:C16)</f>
        <v>10559446.022408964</v>
      </c>
      <c r="E17" s="343" t="s">
        <v>409</v>
      </c>
    </row>
    <row r="18" spans="2:6" x14ac:dyDescent="0.25">
      <c r="B18" s="981" t="s">
        <v>402</v>
      </c>
      <c r="C18" s="982">
        <f>C17*C2</f>
        <v>263986150.56022412</v>
      </c>
      <c r="E18" s="343" t="s">
        <v>408</v>
      </c>
      <c r="F18" s="985">
        <f>F14+C18</f>
        <v>657762824.50980389</v>
      </c>
    </row>
    <row r="19" spans="2:6" ht="15.75" thickBot="1" x14ac:dyDescent="0.3">
      <c r="B19" s="983" t="s">
        <v>404</v>
      </c>
      <c r="C19" s="984">
        <f>C18*12</f>
        <v>3167833806.7226896</v>
      </c>
      <c r="E19" s="343" t="s">
        <v>188</v>
      </c>
      <c r="F19" s="985">
        <f>F18*12</f>
        <v>7893153894.1176472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5703125" defaultRowHeight="12.75" x14ac:dyDescent="0.25"/>
  <cols>
    <col min="1" max="1" width="8.5703125" style="987"/>
    <col min="2" max="2" width="6.42578125" style="986" customWidth="1"/>
    <col min="3" max="3" width="48.42578125" style="987" customWidth="1"/>
    <col min="4" max="4" width="4.5703125" style="986" customWidth="1"/>
    <col min="5" max="5" width="23.5703125" style="987" customWidth="1"/>
    <col min="6" max="6" width="9.5703125" style="986" customWidth="1"/>
    <col min="7" max="7" width="9.42578125" style="987" customWidth="1"/>
    <col min="8" max="8" width="9.5703125" style="986" customWidth="1"/>
    <col min="9" max="9" width="16.5703125" style="987" customWidth="1"/>
    <col min="10" max="10" width="16.42578125" style="986" customWidth="1"/>
    <col min="11" max="11" width="13.5703125" style="986" customWidth="1"/>
    <col min="12" max="12" width="18.5703125" style="986" customWidth="1"/>
    <col min="13" max="16384" width="8.5703125" style="987"/>
  </cols>
  <sheetData>
    <row r="2" spans="2:12" ht="19.5" thickBot="1" x14ac:dyDescent="0.3">
      <c r="B2" s="988" t="s">
        <v>410</v>
      </c>
    </row>
    <row r="3" spans="2:12" x14ac:dyDescent="0.25">
      <c r="B3" s="2466" t="s">
        <v>359</v>
      </c>
      <c r="C3" s="2467"/>
      <c r="D3" s="890"/>
      <c r="E3" s="989"/>
      <c r="F3" s="990"/>
      <c r="G3" s="989"/>
      <c r="H3" s="990"/>
      <c r="I3" s="989"/>
      <c r="J3" s="991" t="s">
        <v>379</v>
      </c>
      <c r="K3" s="992">
        <f>'HPP REF '!N3</f>
        <v>1382.6516399999998</v>
      </c>
    </row>
    <row r="4" spans="2:12" x14ac:dyDescent="0.25">
      <c r="B4" s="2468" t="s">
        <v>411</v>
      </c>
      <c r="C4" s="2469"/>
      <c r="D4" s="894"/>
      <c r="J4" s="993" t="s">
        <v>83</v>
      </c>
      <c r="K4" s="994">
        <f>'HPP REF '!N4</f>
        <v>25</v>
      </c>
    </row>
    <row r="5" spans="2:12" x14ac:dyDescent="0.25">
      <c r="B5" s="2468" t="s">
        <v>412</v>
      </c>
      <c r="C5" s="2469"/>
      <c r="D5" s="894"/>
      <c r="J5" s="993" t="s">
        <v>413</v>
      </c>
      <c r="K5" s="994">
        <f>K4*K3</f>
        <v>34566.290999999997</v>
      </c>
    </row>
    <row r="6" spans="2:12" ht="13.5" thickBot="1" x14ac:dyDescent="0.3">
      <c r="B6" s="965" t="s">
        <v>414</v>
      </c>
      <c r="C6" s="966"/>
      <c r="D6" s="967"/>
      <c r="E6" s="995"/>
      <c r="F6" s="996"/>
      <c r="G6" s="995"/>
      <c r="H6" s="996"/>
      <c r="I6" s="995"/>
      <c r="J6" s="997"/>
      <c r="K6" s="1184">
        <v>16000</v>
      </c>
    </row>
    <row r="7" spans="2:12" ht="13.5" thickBot="1" x14ac:dyDescent="0.3">
      <c r="B7" s="998" t="s">
        <v>99</v>
      </c>
      <c r="C7" s="2479" t="s">
        <v>285</v>
      </c>
      <c r="D7" s="2479"/>
      <c r="E7" s="2479"/>
      <c r="F7" s="2479"/>
      <c r="G7" s="2480" t="s">
        <v>219</v>
      </c>
      <c r="H7" s="2481"/>
      <c r="I7" s="998" t="s">
        <v>415</v>
      </c>
      <c r="J7" s="998" t="s">
        <v>416</v>
      </c>
      <c r="K7" s="998" t="s">
        <v>226</v>
      </c>
    </row>
    <row r="8" spans="2:12" ht="13.5" thickTop="1" x14ac:dyDescent="0.25">
      <c r="B8" s="999">
        <v>1</v>
      </c>
      <c r="C8" s="1000" t="s">
        <v>371</v>
      </c>
      <c r="D8" s="1001"/>
      <c r="E8" s="1002" t="s">
        <v>417</v>
      </c>
      <c r="F8" s="1003">
        <f>(100%-0.8%-1.1*5%)*80%*K5</f>
        <v>25910.891733600001</v>
      </c>
      <c r="G8" s="1004" t="s">
        <v>286</v>
      </c>
      <c r="H8" s="1004">
        <v>90</v>
      </c>
      <c r="I8" s="1005">
        <f>H8*F8*1000</f>
        <v>2331980256.0240002</v>
      </c>
      <c r="J8" s="1006">
        <f>I8/($K$5*1000)</f>
        <v>67.463999999999999</v>
      </c>
      <c r="K8" s="1006">
        <f t="shared" ref="K8:K21" si="0">(I8/$K$6)/$K$5</f>
        <v>4.2165000000000008</v>
      </c>
      <c r="L8" s="1007"/>
    </row>
    <row r="9" spans="2:12" x14ac:dyDescent="0.25">
      <c r="B9" s="1008"/>
      <c r="C9" s="1009"/>
      <c r="D9" s="405"/>
      <c r="E9" s="1010" t="s">
        <v>418</v>
      </c>
      <c r="F9" s="1011">
        <f>(100%-0.8%-1.1*5%)*20%*K5</f>
        <v>6477.7229334000003</v>
      </c>
      <c r="G9" s="1012" t="s">
        <v>286</v>
      </c>
      <c r="H9" s="1012">
        <v>150</v>
      </c>
      <c r="I9" s="1013">
        <f>H9*F9*1000</f>
        <v>971658440.00999999</v>
      </c>
      <c r="J9" s="1014">
        <f t="shared" ref="J9:J21" si="1">I9/($K$5*1000)</f>
        <v>28.11</v>
      </c>
      <c r="K9" s="1014">
        <f t="shared" si="0"/>
        <v>1.7568750000000002</v>
      </c>
      <c r="L9" s="1007"/>
    </row>
    <row r="10" spans="2:12" x14ac:dyDescent="0.25">
      <c r="B10" s="1015"/>
      <c r="C10" s="1016"/>
      <c r="D10" s="1017"/>
      <c r="E10" s="1018" t="s">
        <v>419</v>
      </c>
      <c r="F10" s="1019">
        <f>1.1*5%*K5</f>
        <v>1901.1460050000001</v>
      </c>
      <c r="G10" s="1012" t="s">
        <v>286</v>
      </c>
      <c r="H10" s="1008">
        <v>150</v>
      </c>
      <c r="I10" s="1013">
        <f>H10*F10*1000</f>
        <v>285171900.75</v>
      </c>
      <c r="J10" s="1014">
        <f t="shared" si="1"/>
        <v>8.25</v>
      </c>
      <c r="K10" s="1014">
        <f t="shared" si="0"/>
        <v>0.515625</v>
      </c>
      <c r="L10" s="1007"/>
    </row>
    <row r="11" spans="2:12" x14ac:dyDescent="0.25">
      <c r="B11" s="1008">
        <v>2</v>
      </c>
      <c r="C11" s="1020" t="s">
        <v>372</v>
      </c>
      <c r="D11" s="1021"/>
      <c r="E11" s="1018" t="s">
        <v>420</v>
      </c>
      <c r="F11" s="1019">
        <v>1</v>
      </c>
      <c r="G11" s="1019" t="s">
        <v>286</v>
      </c>
      <c r="H11" s="1008">
        <v>77</v>
      </c>
      <c r="I11" s="1013">
        <f>H11*8000*F11*1000</f>
        <v>616000000</v>
      </c>
      <c r="J11" s="1014">
        <f t="shared" si="1"/>
        <v>17.820830126090183</v>
      </c>
      <c r="K11" s="1014">
        <f t="shared" si="0"/>
        <v>1.1138018828806366</v>
      </c>
      <c r="L11" s="1007"/>
    </row>
    <row r="12" spans="2:12" x14ac:dyDescent="0.25">
      <c r="B12" s="1008"/>
      <c r="C12" s="1016"/>
      <c r="D12" s="1017"/>
      <c r="E12" s="1018" t="s">
        <v>421</v>
      </c>
      <c r="F12" s="1008">
        <v>2</v>
      </c>
      <c r="G12" s="1019" t="s">
        <v>286</v>
      </c>
      <c r="H12" s="1008">
        <v>79</v>
      </c>
      <c r="I12" s="1013">
        <f>H12*5000*F12*1000</f>
        <v>790000000</v>
      </c>
      <c r="J12" s="1014">
        <f t="shared" si="1"/>
        <v>22.854636038329943</v>
      </c>
      <c r="K12" s="1014">
        <f t="shared" si="0"/>
        <v>1.4284147523956217</v>
      </c>
      <c r="L12" s="1007"/>
    </row>
    <row r="13" spans="2:12" x14ac:dyDescent="0.25">
      <c r="B13" s="1008"/>
      <c r="C13" s="1016"/>
      <c r="D13" s="1017"/>
      <c r="E13" s="1018" t="s">
        <v>422</v>
      </c>
      <c r="F13" s="1008">
        <v>1</v>
      </c>
      <c r="G13" s="1019" t="s">
        <v>286</v>
      </c>
      <c r="H13" s="1008">
        <v>77</v>
      </c>
      <c r="I13" s="1013">
        <f>H13*3000*F13*1000</f>
        <v>231000000</v>
      </c>
      <c r="J13" s="1014">
        <f t="shared" si="1"/>
        <v>6.682811297283819</v>
      </c>
      <c r="K13" s="1014">
        <f t="shared" si="0"/>
        <v>0.41767570608023874</v>
      </c>
      <c r="L13" s="1007"/>
    </row>
    <row r="14" spans="2:12" x14ac:dyDescent="0.25">
      <c r="B14" s="1008"/>
      <c r="C14" s="1016"/>
      <c r="D14" s="1017"/>
      <c r="E14" s="1018" t="s">
        <v>423</v>
      </c>
      <c r="F14" s="1008">
        <v>1</v>
      </c>
      <c r="G14" s="1019" t="s">
        <v>286</v>
      </c>
      <c r="H14" s="1008">
        <v>83</v>
      </c>
      <c r="I14" s="1013">
        <f>H14*3000*F14*1000</f>
        <v>249000000</v>
      </c>
      <c r="J14" s="1014">
        <f t="shared" si="1"/>
        <v>7.2035498399293116</v>
      </c>
      <c r="K14" s="1014">
        <f t="shared" si="0"/>
        <v>0.45022186499558198</v>
      </c>
      <c r="L14" s="1007"/>
    </row>
    <row r="15" spans="2:12" x14ac:dyDescent="0.25">
      <c r="B15" s="1008">
        <v>3</v>
      </c>
      <c r="C15" s="1016" t="s">
        <v>424</v>
      </c>
      <c r="D15" s="1017">
        <v>0</v>
      </c>
      <c r="E15" s="1018" t="s">
        <v>425</v>
      </c>
      <c r="F15" s="1013">
        <f>F8-(8000*D15)</f>
        <v>25910.891733600001</v>
      </c>
      <c r="G15" s="1019" t="s">
        <v>286</v>
      </c>
      <c r="H15" s="1022">
        <v>43</v>
      </c>
      <c r="I15" s="1013">
        <f>H15*F15*1000</f>
        <v>1114168344.5448</v>
      </c>
      <c r="J15" s="1014">
        <f>I15/($K$5*1000)</f>
        <v>32.232800000000005</v>
      </c>
      <c r="K15" s="1014">
        <f>(I15/$K$6)/$K$5</f>
        <v>2.0145500000000003</v>
      </c>
      <c r="L15" s="1007"/>
    </row>
    <row r="16" spans="2:12" x14ac:dyDescent="0.25">
      <c r="B16" s="1008"/>
      <c r="C16" s="1016"/>
      <c r="D16" s="1017">
        <v>0</v>
      </c>
      <c r="E16" s="1018" t="s">
        <v>426</v>
      </c>
      <c r="F16" s="1013">
        <f>F9-(10000*D16)</f>
        <v>6477.7229334000003</v>
      </c>
      <c r="G16" s="1019" t="s">
        <v>286</v>
      </c>
      <c r="H16" s="1022">
        <v>43</v>
      </c>
      <c r="I16" s="1013">
        <f>H16*F16*1000</f>
        <v>278542086.13620001</v>
      </c>
      <c r="J16" s="1014">
        <f>I16/($K$5*1000)</f>
        <v>8.0582000000000011</v>
      </c>
      <c r="K16" s="1014">
        <f>(I16/$K$6)/$K$5</f>
        <v>0.50363750000000007</v>
      </c>
      <c r="L16" s="1007"/>
    </row>
    <row r="17" spans="2:12" x14ac:dyDescent="0.25">
      <c r="B17" s="1008"/>
      <c r="C17" s="1016"/>
      <c r="D17" s="1017">
        <v>0</v>
      </c>
      <c r="E17" s="1018" t="s">
        <v>427</v>
      </c>
      <c r="F17" s="1013">
        <f>F10-(3000*D17)</f>
        <v>1901.1460050000001</v>
      </c>
      <c r="G17" s="1019" t="s">
        <v>286</v>
      </c>
      <c r="H17" s="1022">
        <v>43</v>
      </c>
      <c r="I17" s="1013">
        <f>H17*F17*1000</f>
        <v>81749278.215000004</v>
      </c>
      <c r="J17" s="1014">
        <f>I17/($K$5*1000)</f>
        <v>2.3650000000000002</v>
      </c>
      <c r="K17" s="1014">
        <f>(I17/$K$6)/$K$5</f>
        <v>0.14781250000000001</v>
      </c>
      <c r="L17" s="1007"/>
    </row>
    <row r="18" spans="2:12" x14ac:dyDescent="0.25">
      <c r="B18" s="1008">
        <v>3</v>
      </c>
      <c r="C18" s="1020" t="s">
        <v>428</v>
      </c>
      <c r="D18" s="1021"/>
      <c r="E18" s="1018" t="s">
        <v>429</v>
      </c>
      <c r="F18" s="1019">
        <f>SUM(F8:F10)</f>
        <v>34289.760672000004</v>
      </c>
      <c r="G18" s="1019" t="s">
        <v>286</v>
      </c>
      <c r="H18" s="1008">
        <v>22</v>
      </c>
      <c r="I18" s="1013">
        <f>H18*F18*1000</f>
        <v>754374734.78400004</v>
      </c>
      <c r="J18" s="1014">
        <f t="shared" si="1"/>
        <v>21.824000000000002</v>
      </c>
      <c r="K18" s="1014">
        <f t="shared" si="0"/>
        <v>1.3640000000000003</v>
      </c>
      <c r="L18" s="1007"/>
    </row>
    <row r="19" spans="2:12" x14ac:dyDescent="0.25">
      <c r="B19" s="1008">
        <f t="shared" ref="B19:B24" si="2">B18+1</f>
        <v>4</v>
      </c>
      <c r="C19" s="1020" t="s">
        <v>430</v>
      </c>
      <c r="D19" s="1021"/>
      <c r="E19" s="1018" t="s">
        <v>429</v>
      </c>
      <c r="F19" s="1013">
        <f>F18</f>
        <v>34289.760672000004</v>
      </c>
      <c r="G19" s="1019" t="s">
        <v>286</v>
      </c>
      <c r="H19" s="1008">
        <v>26</v>
      </c>
      <c r="I19" s="1013">
        <f>H19*F18*1000</f>
        <v>891533777.47200012</v>
      </c>
      <c r="J19" s="1014">
        <f t="shared" si="1"/>
        <v>25.792000000000005</v>
      </c>
      <c r="K19" s="1014">
        <f t="shared" si="0"/>
        <v>1.6120000000000003</v>
      </c>
    </row>
    <row r="20" spans="2:12" x14ac:dyDescent="0.25">
      <c r="B20" s="1008">
        <f t="shared" si="2"/>
        <v>5</v>
      </c>
      <c r="C20" s="1020" t="s">
        <v>431</v>
      </c>
      <c r="D20" s="1021"/>
      <c r="E20" s="1018" t="s">
        <v>429</v>
      </c>
      <c r="F20" s="1019">
        <f>F18</f>
        <v>34289.760672000004</v>
      </c>
      <c r="G20" s="1019" t="s">
        <v>286</v>
      </c>
      <c r="H20" s="1008">
        <v>3</v>
      </c>
      <c r="I20" s="1013">
        <f>H20*F20*1000</f>
        <v>102869282.01600002</v>
      </c>
      <c r="J20" s="1014">
        <f t="shared" si="1"/>
        <v>2.9760000000000004</v>
      </c>
      <c r="K20" s="1014">
        <f t="shared" si="0"/>
        <v>0.18600000000000003</v>
      </c>
    </row>
    <row r="21" spans="2:12" x14ac:dyDescent="0.25">
      <c r="B21" s="1008">
        <f t="shared" si="2"/>
        <v>6</v>
      </c>
      <c r="C21" s="1020" t="s">
        <v>432</v>
      </c>
      <c r="D21" s="1021"/>
      <c r="E21" s="1018" t="s">
        <v>429</v>
      </c>
      <c r="F21" s="1019">
        <f>F20</f>
        <v>34289.760672000004</v>
      </c>
      <c r="G21" s="1019" t="s">
        <v>286</v>
      </c>
      <c r="H21" s="1008">
        <v>3</v>
      </c>
      <c r="I21" s="1013">
        <f>H21*F21*1000</f>
        <v>102869282.01600002</v>
      </c>
      <c r="J21" s="1014">
        <f t="shared" si="1"/>
        <v>2.9760000000000004</v>
      </c>
      <c r="K21" s="1014">
        <f t="shared" si="0"/>
        <v>0.18600000000000003</v>
      </c>
    </row>
    <row r="22" spans="2:12" x14ac:dyDescent="0.25">
      <c r="B22" s="1008">
        <f t="shared" si="2"/>
        <v>7</v>
      </c>
      <c r="C22" s="1020" t="s">
        <v>433</v>
      </c>
      <c r="D22" s="1021"/>
      <c r="E22" s="1015"/>
      <c r="F22" s="1015"/>
      <c r="G22" s="1015"/>
      <c r="H22" s="1015"/>
      <c r="I22" s="1013"/>
      <c r="J22" s="1014"/>
      <c r="K22" s="1014"/>
    </row>
    <row r="23" spans="2:12" x14ac:dyDescent="0.25">
      <c r="B23" s="1008">
        <f t="shared" si="2"/>
        <v>8</v>
      </c>
      <c r="C23" s="1020" t="s">
        <v>434</v>
      </c>
      <c r="D23" s="1021"/>
      <c r="E23" s="1015"/>
      <c r="F23" s="1015"/>
      <c r="G23" s="1015"/>
      <c r="H23" s="1008"/>
      <c r="I23" s="1013"/>
      <c r="J23" s="1014"/>
      <c r="K23" s="1014"/>
    </row>
    <row r="24" spans="2:12" ht="13.5" thickBot="1" x14ac:dyDescent="0.3">
      <c r="B24" s="1023">
        <f t="shared" si="2"/>
        <v>9</v>
      </c>
      <c r="C24" s="1024" t="s">
        <v>435</v>
      </c>
      <c r="D24" s="1025"/>
      <c r="E24" s="1026"/>
      <c r="F24" s="1027"/>
      <c r="G24" s="1028"/>
      <c r="H24" s="1023"/>
      <c r="I24" s="1029"/>
      <c r="J24" s="1030"/>
      <c r="K24" s="1023"/>
    </row>
    <row r="25" spans="2:12" ht="14.25" thickTop="1" thickBot="1" x14ac:dyDescent="0.3">
      <c r="B25" s="2478" t="s">
        <v>436</v>
      </c>
      <c r="C25" s="2478"/>
      <c r="D25" s="2478"/>
      <c r="E25" s="2478"/>
      <c r="F25" s="2478"/>
      <c r="G25" s="2478"/>
      <c r="H25" s="2478"/>
      <c r="I25" s="1031">
        <f>SUM(I8:I24)</f>
        <v>8800917381.9680023</v>
      </c>
      <c r="J25" s="1032">
        <f>SUM(J8:J24)</f>
        <v>254.60982730163329</v>
      </c>
      <c r="K25" s="1032">
        <f>SUM(K8:K24)</f>
        <v>15.913114206352081</v>
      </c>
      <c r="L25" s="1033"/>
    </row>
    <row r="26" spans="2:12" x14ac:dyDescent="0.25">
      <c r="C26" s="931"/>
      <c r="D26" s="1034"/>
      <c r="E26" s="931"/>
      <c r="F26" s="1034"/>
      <c r="G26" s="1035"/>
      <c r="J26" s="1034"/>
    </row>
    <row r="27" spans="2:12" x14ac:dyDescent="0.25">
      <c r="C27" s="931"/>
      <c r="D27" s="1034"/>
      <c r="E27" s="931"/>
      <c r="F27" s="1034"/>
      <c r="G27" s="1035"/>
      <c r="J27" s="1034"/>
    </row>
    <row r="28" spans="2:12" x14ac:dyDescent="0.25">
      <c r="C28" s="931"/>
      <c r="D28" s="1034"/>
      <c r="E28" s="931"/>
      <c r="F28" s="1036"/>
      <c r="G28" s="1037"/>
      <c r="J28" s="1034"/>
    </row>
    <row r="29" spans="2:12" x14ac:dyDescent="0.25">
      <c r="C29" s="1038"/>
      <c r="D29" s="1036"/>
      <c r="E29" s="1038"/>
      <c r="F29" s="1034"/>
      <c r="G29" s="1035"/>
      <c r="J29" s="1034"/>
    </row>
    <row r="30" spans="2:12" x14ac:dyDescent="0.25">
      <c r="E30" s="931"/>
      <c r="F30" s="1034"/>
      <c r="G30" s="1035"/>
      <c r="J30" s="1034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5703125" defaultRowHeight="12.75" x14ac:dyDescent="0.25"/>
  <cols>
    <col min="1" max="1" width="8.5703125" style="987"/>
    <col min="2" max="2" width="5.5703125" style="986" customWidth="1"/>
    <col min="3" max="3" width="64.42578125" style="987" customWidth="1"/>
    <col min="4" max="4" width="15.5703125" style="987" customWidth="1"/>
    <col min="5" max="5" width="15" style="987" customWidth="1"/>
    <col min="6" max="6" width="15.42578125" style="987" customWidth="1"/>
    <col min="7" max="7" width="14.5703125" style="987" customWidth="1"/>
    <col min="8" max="8" width="11.42578125" style="987" customWidth="1"/>
    <col min="9" max="9" width="12.42578125" style="987" customWidth="1"/>
    <col min="10" max="16384" width="8.5703125" style="987"/>
  </cols>
  <sheetData>
    <row r="1" spans="2:9" ht="5.0999999999999996" customHeight="1" x14ac:dyDescent="0.25"/>
    <row r="2" spans="2:9" ht="26.85" customHeight="1" thickBot="1" x14ac:dyDescent="0.3">
      <c r="B2" s="988" t="s">
        <v>437</v>
      </c>
    </row>
    <row r="3" spans="2:9" ht="14.85" customHeight="1" x14ac:dyDescent="0.25">
      <c r="B3" s="2466" t="s">
        <v>359</v>
      </c>
      <c r="C3" s="2467"/>
      <c r="D3" s="989"/>
      <c r="E3" s="989"/>
      <c r="F3" s="989"/>
      <c r="G3" s="989"/>
      <c r="H3" s="991" t="s">
        <v>379</v>
      </c>
      <c r="I3" s="992">
        <f>'HPP REF '!N3</f>
        <v>1382.6516399999998</v>
      </c>
    </row>
    <row r="4" spans="2:9" ht="14.85" customHeight="1" x14ac:dyDescent="0.25">
      <c r="B4" s="2468" t="s">
        <v>411</v>
      </c>
      <c r="C4" s="2469"/>
      <c r="H4" s="993" t="s">
        <v>83</v>
      </c>
      <c r="I4" s="994">
        <f>'SUMMARY HPP '!I4</f>
        <v>25</v>
      </c>
    </row>
    <row r="5" spans="2:9" ht="14.85" customHeight="1" x14ac:dyDescent="0.25">
      <c r="B5" s="2468" t="s">
        <v>412</v>
      </c>
      <c r="C5" s="2469"/>
      <c r="H5" s="993" t="s">
        <v>413</v>
      </c>
      <c r="I5" s="994">
        <f>I4*I3</f>
        <v>34566.290999999997</v>
      </c>
    </row>
    <row r="6" spans="2:9" ht="14.85" customHeight="1" thickBot="1" x14ac:dyDescent="0.3">
      <c r="B6" s="965" t="s">
        <v>414</v>
      </c>
      <c r="C6" s="966"/>
      <c r="D6" s="995"/>
      <c r="E6" s="995"/>
      <c r="F6" s="995"/>
      <c r="G6" s="995"/>
      <c r="H6" s="997"/>
      <c r="I6" s="1184">
        <v>16000</v>
      </c>
    </row>
    <row r="7" spans="2:9" ht="15.6" customHeight="1" x14ac:dyDescent="0.25">
      <c r="B7" s="2472" t="s">
        <v>99</v>
      </c>
      <c r="C7" s="2472" t="s">
        <v>285</v>
      </c>
      <c r="D7" s="2482" t="s">
        <v>438</v>
      </c>
      <c r="E7" s="2482"/>
      <c r="F7" s="2482" t="s">
        <v>439</v>
      </c>
      <c r="G7" s="2482"/>
      <c r="H7" s="2482"/>
      <c r="I7" s="2482"/>
    </row>
    <row r="8" spans="2:9" ht="15" customHeight="1" thickBot="1" x14ac:dyDescent="0.3">
      <c r="B8" s="2473"/>
      <c r="C8" s="2473"/>
      <c r="D8" s="1041" t="s">
        <v>440</v>
      </c>
      <c r="E8" s="1041" t="s">
        <v>441</v>
      </c>
      <c r="F8" s="1041" t="s">
        <v>440</v>
      </c>
      <c r="G8" s="1041" t="s">
        <v>441</v>
      </c>
      <c r="H8" s="1042" t="s">
        <v>416</v>
      </c>
      <c r="I8" s="1042" t="s">
        <v>226</v>
      </c>
    </row>
    <row r="9" spans="2:9" ht="13.5" thickTop="1" x14ac:dyDescent="0.25">
      <c r="B9" s="1043">
        <v>1</v>
      </c>
      <c r="C9" s="1044" t="s">
        <v>442</v>
      </c>
      <c r="D9" s="1005">
        <v>305458258</v>
      </c>
      <c r="E9" s="1005">
        <f>IFERROR(D9/12,0)</f>
        <v>25454854.833333332</v>
      </c>
      <c r="F9" s="1045">
        <f>G9*12</f>
        <v>366549909.59999996</v>
      </c>
      <c r="G9" s="1045">
        <v>30545825.799999997</v>
      </c>
      <c r="H9" s="1006">
        <f>G9/($I$5*1000)</f>
        <v>0.88368826727750449</v>
      </c>
      <c r="I9" s="1006">
        <f>(G9/$I$6)/$I$5</f>
        <v>5.5230516704844038E-2</v>
      </c>
    </row>
    <row r="10" spans="2:9" x14ac:dyDescent="0.25">
      <c r="B10" s="1008">
        <f>B9+1</f>
        <v>2</v>
      </c>
      <c r="C10" s="1015" t="s">
        <v>443</v>
      </c>
      <c r="D10" s="1013">
        <v>2628729528.8000002</v>
      </c>
      <c r="E10" s="1013">
        <f t="shared" ref="E10:E50" si="0">IFERROR(D10/12,0)</f>
        <v>219060794.06666669</v>
      </c>
      <c r="F10" s="1045">
        <f>G10*12</f>
        <v>3548784863.8800001</v>
      </c>
      <c r="G10" s="1045">
        <v>295732071.99000001</v>
      </c>
      <c r="H10" s="1006">
        <f t="shared" ref="H10:H50" si="1">G10/($I$5*1000)</f>
        <v>8.5555048989780254</v>
      </c>
      <c r="I10" s="1006">
        <f t="shared" ref="I10:I50" si="2">(G10/$I$6)/$I$5</f>
        <v>0.53471905618612658</v>
      </c>
    </row>
    <row r="11" spans="2:9" x14ac:dyDescent="0.25">
      <c r="B11" s="1008">
        <f t="shared" ref="B11:B50" si="3">B10+1</f>
        <v>3</v>
      </c>
      <c r="C11" s="1015" t="s">
        <v>444</v>
      </c>
      <c r="D11" s="1013">
        <v>720175678</v>
      </c>
      <c r="E11" s="1013">
        <f t="shared" si="0"/>
        <v>60014639.833333336</v>
      </c>
      <c r="F11" s="1045">
        <f t="shared" ref="F11:F49" si="4">G11*12</f>
        <v>756184461.9000001</v>
      </c>
      <c r="G11" s="1045">
        <v>63015371.825000003</v>
      </c>
      <c r="H11" s="1006">
        <f t="shared" si="1"/>
        <v>1.8230296049119068</v>
      </c>
      <c r="I11" s="1006">
        <f t="shared" si="2"/>
        <v>0.11393935030699419</v>
      </c>
    </row>
    <row r="12" spans="2:9" x14ac:dyDescent="0.25">
      <c r="B12" s="1008">
        <f t="shared" si="3"/>
        <v>4</v>
      </c>
      <c r="C12" s="1015" t="s">
        <v>445</v>
      </c>
      <c r="D12" s="1013">
        <v>2428347903</v>
      </c>
      <c r="E12" s="1013">
        <f t="shared" si="0"/>
        <v>202362325.25</v>
      </c>
      <c r="F12" s="1045">
        <f t="shared" si="4"/>
        <v>2220000000</v>
      </c>
      <c r="G12" s="1045">
        <v>185000000</v>
      </c>
      <c r="H12" s="1006">
        <f t="shared" si="1"/>
        <v>5.3520350216342276</v>
      </c>
      <c r="I12" s="1006">
        <f t="shared" si="2"/>
        <v>0.33450218885213923</v>
      </c>
    </row>
    <row r="13" spans="2:9" x14ac:dyDescent="0.25">
      <c r="B13" s="1008">
        <f t="shared" si="3"/>
        <v>5</v>
      </c>
      <c r="C13" s="1015" t="s">
        <v>446</v>
      </c>
      <c r="D13" s="1013">
        <v>110862850</v>
      </c>
      <c r="E13" s="1013">
        <f t="shared" si="0"/>
        <v>9238570.833333334</v>
      </c>
      <c r="F13" s="1045">
        <f t="shared" si="4"/>
        <v>110862850</v>
      </c>
      <c r="G13" s="1045">
        <v>9238570.833333334</v>
      </c>
      <c r="H13" s="1006">
        <f t="shared" si="1"/>
        <v>0.26727110621539735</v>
      </c>
      <c r="I13" s="1006">
        <f t="shared" si="2"/>
        <v>1.6704444138462334E-2</v>
      </c>
    </row>
    <row r="14" spans="2:9" x14ac:dyDescent="0.25">
      <c r="B14" s="1008">
        <f t="shared" si="3"/>
        <v>6</v>
      </c>
      <c r="C14" s="1015" t="s">
        <v>447</v>
      </c>
      <c r="D14" s="1013">
        <v>126990400</v>
      </c>
      <c r="E14" s="1013">
        <f t="shared" si="0"/>
        <v>10582533.333333334</v>
      </c>
      <c r="F14" s="1045">
        <f t="shared" si="4"/>
        <v>110000400</v>
      </c>
      <c r="G14" s="1045">
        <v>9166700</v>
      </c>
      <c r="H14" s="1006">
        <f t="shared" si="1"/>
        <v>0.26519188882602418</v>
      </c>
      <c r="I14" s="1006">
        <f t="shared" si="2"/>
        <v>1.6574493051626515E-2</v>
      </c>
    </row>
    <row r="15" spans="2:9" x14ac:dyDescent="0.25">
      <c r="B15" s="1008">
        <f t="shared" si="3"/>
        <v>7</v>
      </c>
      <c r="C15" s="1015" t="s">
        <v>448</v>
      </c>
      <c r="D15" s="1013">
        <v>108868060</v>
      </c>
      <c r="E15" s="1013">
        <f t="shared" si="0"/>
        <v>9072338.333333334</v>
      </c>
      <c r="F15" s="1045">
        <f t="shared" si="4"/>
        <v>100000000</v>
      </c>
      <c r="G15" s="1045">
        <v>8333333.333333333</v>
      </c>
      <c r="H15" s="1006">
        <f t="shared" si="1"/>
        <v>0.2410826586321724</v>
      </c>
      <c r="I15" s="1006">
        <f t="shared" si="2"/>
        <v>1.5067666164510773E-2</v>
      </c>
    </row>
    <row r="16" spans="2:9" x14ac:dyDescent="0.25">
      <c r="B16" s="1008">
        <f t="shared" si="3"/>
        <v>8</v>
      </c>
      <c r="C16" s="1015" t="s">
        <v>449</v>
      </c>
      <c r="D16" s="1013">
        <v>203000</v>
      </c>
      <c r="E16" s="1013">
        <f t="shared" si="0"/>
        <v>16916.666666666668</v>
      </c>
      <c r="F16" s="1045">
        <f t="shared" si="4"/>
        <v>0</v>
      </c>
      <c r="G16" s="1045">
        <v>0</v>
      </c>
      <c r="H16" s="1006">
        <f t="shared" si="1"/>
        <v>0</v>
      </c>
      <c r="I16" s="1006">
        <f t="shared" si="2"/>
        <v>0</v>
      </c>
    </row>
    <row r="17" spans="2:9" x14ac:dyDescent="0.25">
      <c r="B17" s="1008">
        <f t="shared" si="3"/>
        <v>9</v>
      </c>
      <c r="C17" s="1015" t="s">
        <v>450</v>
      </c>
      <c r="D17" s="1013">
        <v>108952486</v>
      </c>
      <c r="E17" s="1013">
        <f t="shared" si="0"/>
        <v>9079373.833333334</v>
      </c>
      <c r="F17" s="1045">
        <f t="shared" si="4"/>
        <v>114400110.30000001</v>
      </c>
      <c r="G17" s="1045">
        <v>9533342.5250000004</v>
      </c>
      <c r="H17" s="1006">
        <f t="shared" si="1"/>
        <v>0.27579882738937772</v>
      </c>
      <c r="I17" s="1006">
        <f t="shared" si="2"/>
        <v>1.7237426711836108E-2</v>
      </c>
    </row>
    <row r="18" spans="2:9" x14ac:dyDescent="0.25">
      <c r="B18" s="1008">
        <f t="shared" si="3"/>
        <v>10</v>
      </c>
      <c r="C18" s="1015" t="s">
        <v>451</v>
      </c>
      <c r="D18" s="1013">
        <v>32369030</v>
      </c>
      <c r="E18" s="1013">
        <f t="shared" si="0"/>
        <v>2697419.1666666665</v>
      </c>
      <c r="F18" s="1045">
        <f t="shared" si="4"/>
        <v>33987481.5</v>
      </c>
      <c r="G18" s="1045">
        <v>2832290.125</v>
      </c>
      <c r="H18" s="1006">
        <f t="shared" si="1"/>
        <v>8.1937924002317752E-2</v>
      </c>
      <c r="I18" s="1006">
        <f t="shared" si="2"/>
        <v>5.1211202501448595E-3</v>
      </c>
    </row>
    <row r="19" spans="2:9" x14ac:dyDescent="0.25">
      <c r="B19" s="1008">
        <f t="shared" si="3"/>
        <v>11</v>
      </c>
      <c r="C19" s="1015" t="s">
        <v>452</v>
      </c>
      <c r="D19" s="1013">
        <v>179265600</v>
      </c>
      <c r="E19" s="1013">
        <f t="shared" si="0"/>
        <v>14938800</v>
      </c>
      <c r="F19" s="1045">
        <f t="shared" si="4"/>
        <v>188228880</v>
      </c>
      <c r="G19" s="1045">
        <v>15685740</v>
      </c>
      <c r="H19" s="1006">
        <f t="shared" si="1"/>
        <v>0.45378718821756142</v>
      </c>
      <c r="I19" s="1006">
        <f t="shared" si="2"/>
        <v>2.8361699263597592E-2</v>
      </c>
    </row>
    <row r="20" spans="2:9" x14ac:dyDescent="0.25">
      <c r="B20" s="1008">
        <f t="shared" si="3"/>
        <v>12</v>
      </c>
      <c r="C20" s="1015" t="s">
        <v>453</v>
      </c>
      <c r="D20" s="1013">
        <v>253700695</v>
      </c>
      <c r="E20" s="1013">
        <f t="shared" si="0"/>
        <v>21141724.583333332</v>
      </c>
      <c r="F20" s="1045">
        <f t="shared" si="4"/>
        <v>266385729.75</v>
      </c>
      <c r="G20" s="1045">
        <v>22198810.8125</v>
      </c>
      <c r="H20" s="1006">
        <f t="shared" si="1"/>
        <v>0.64220979949801382</v>
      </c>
      <c r="I20" s="1006">
        <f t="shared" si="2"/>
        <v>4.0138112468625864E-2</v>
      </c>
    </row>
    <row r="21" spans="2:9" x14ac:dyDescent="0.25">
      <c r="B21" s="1008">
        <f t="shared" si="3"/>
        <v>13</v>
      </c>
      <c r="C21" s="1015" t="s">
        <v>454</v>
      </c>
      <c r="D21" s="1013">
        <v>1859843066</v>
      </c>
      <c r="E21" s="1013">
        <f t="shared" si="0"/>
        <v>154986922.16666666</v>
      </c>
      <c r="F21" s="1045">
        <f t="shared" si="4"/>
        <v>335473201</v>
      </c>
      <c r="G21" s="1045">
        <v>27956100.083333332</v>
      </c>
      <c r="H21" s="1006">
        <f t="shared" si="1"/>
        <v>0.80876771196925157</v>
      </c>
      <c r="I21" s="1006">
        <f t="shared" si="2"/>
        <v>5.0547981998078223E-2</v>
      </c>
    </row>
    <row r="22" spans="2:9" x14ac:dyDescent="0.25">
      <c r="B22" s="1008">
        <f t="shared" si="3"/>
        <v>14</v>
      </c>
      <c r="C22" s="1015" t="s">
        <v>455</v>
      </c>
      <c r="D22" s="1013">
        <v>694460474</v>
      </c>
      <c r="E22" s="1013">
        <f t="shared" si="0"/>
        <v>57871706.166666664</v>
      </c>
      <c r="F22" s="1045">
        <f t="shared" si="4"/>
        <v>268391053.16000003</v>
      </c>
      <c r="G22" s="1045">
        <v>22365921.096666668</v>
      </c>
      <c r="H22" s="1006">
        <f t="shared" si="1"/>
        <v>0.64704428648901524</v>
      </c>
      <c r="I22" s="1006">
        <f t="shared" si="2"/>
        <v>4.0440267905563453E-2</v>
      </c>
    </row>
    <row r="23" spans="2:9" x14ac:dyDescent="0.25">
      <c r="B23" s="1008">
        <f t="shared" si="3"/>
        <v>15</v>
      </c>
      <c r="C23" s="1015" t="s">
        <v>456</v>
      </c>
      <c r="D23" s="1013"/>
      <c r="E23" s="1013">
        <f t="shared" si="0"/>
        <v>0</v>
      </c>
      <c r="F23" s="1045">
        <f t="shared" si="4"/>
        <v>60000000</v>
      </c>
      <c r="G23" s="1045">
        <v>5000000</v>
      </c>
      <c r="H23" s="1006">
        <f t="shared" si="1"/>
        <v>0.14464959517930345</v>
      </c>
      <c r="I23" s="1006">
        <f t="shared" si="2"/>
        <v>9.0405996987064658E-3</v>
      </c>
    </row>
    <row r="24" spans="2:9" x14ac:dyDescent="0.25">
      <c r="B24" s="1008">
        <f t="shared" si="3"/>
        <v>16</v>
      </c>
      <c r="C24" s="1015" t="s">
        <v>457</v>
      </c>
      <c r="D24" s="1013">
        <v>659276883</v>
      </c>
      <c r="E24" s="1013">
        <f t="shared" si="0"/>
        <v>54939740.25</v>
      </c>
      <c r="F24" s="1045">
        <f t="shared" si="4"/>
        <v>1518332400</v>
      </c>
      <c r="G24" s="1045">
        <v>126527700</v>
      </c>
      <c r="H24" s="1006">
        <f t="shared" si="1"/>
        <v>3.6604361167936705</v>
      </c>
      <c r="I24" s="1006">
        <f t="shared" si="2"/>
        <v>0.22877725729960441</v>
      </c>
    </row>
    <row r="25" spans="2:9" x14ac:dyDescent="0.25">
      <c r="B25" s="1008">
        <f t="shared" si="3"/>
        <v>17</v>
      </c>
      <c r="C25" s="1015" t="s">
        <v>458</v>
      </c>
      <c r="D25" s="1013"/>
      <c r="E25" s="1013">
        <f t="shared" si="0"/>
        <v>0</v>
      </c>
      <c r="F25" s="1045">
        <f t="shared" si="4"/>
        <v>197000000</v>
      </c>
      <c r="G25" s="1045">
        <v>16416666.666666666</v>
      </c>
      <c r="H25" s="1006">
        <f t="shared" si="1"/>
        <v>0.47493283750537962</v>
      </c>
      <c r="I25" s="1006">
        <f t="shared" si="2"/>
        <v>2.9683302344086226E-2</v>
      </c>
    </row>
    <row r="26" spans="2:9" x14ac:dyDescent="0.25">
      <c r="B26" s="1008">
        <f t="shared" si="3"/>
        <v>18</v>
      </c>
      <c r="C26" s="1015" t="s">
        <v>459</v>
      </c>
      <c r="D26" s="1013">
        <v>62716328</v>
      </c>
      <c r="E26" s="1013">
        <f t="shared" si="0"/>
        <v>5226360.666666667</v>
      </c>
      <c r="F26" s="1045">
        <f t="shared" si="4"/>
        <v>80400000</v>
      </c>
      <c r="G26" s="1045">
        <v>6700000</v>
      </c>
      <c r="H26" s="1006">
        <f t="shared" si="1"/>
        <v>0.19383045754026662</v>
      </c>
      <c r="I26" s="1006">
        <f t="shared" si="2"/>
        <v>1.2114403596266664E-2</v>
      </c>
    </row>
    <row r="27" spans="2:9" x14ac:dyDescent="0.25">
      <c r="B27" s="1008">
        <f t="shared" si="3"/>
        <v>19</v>
      </c>
      <c r="C27" s="1015" t="s">
        <v>460</v>
      </c>
      <c r="D27" s="1013">
        <v>1756590</v>
      </c>
      <c r="E27" s="1013">
        <f t="shared" si="0"/>
        <v>146382.5</v>
      </c>
      <c r="F27" s="1045">
        <f t="shared" si="4"/>
        <v>6840000</v>
      </c>
      <c r="G27" s="1045">
        <v>570000</v>
      </c>
      <c r="H27" s="1006">
        <f t="shared" si="1"/>
        <v>1.6490053850440594E-2</v>
      </c>
      <c r="I27" s="1006">
        <f t="shared" si="2"/>
        <v>1.0306283656525371E-3</v>
      </c>
    </row>
    <row r="28" spans="2:9" x14ac:dyDescent="0.25">
      <c r="B28" s="1008">
        <f t="shared" si="3"/>
        <v>20</v>
      </c>
      <c r="C28" s="1015" t="s">
        <v>461</v>
      </c>
      <c r="D28" s="1013">
        <v>1193620819.1700001</v>
      </c>
      <c r="E28" s="1013">
        <f t="shared" si="0"/>
        <v>99468401.597500011</v>
      </c>
      <c r="F28" s="1045">
        <f t="shared" si="4"/>
        <v>1193620819.1700001</v>
      </c>
      <c r="G28" s="1045">
        <v>99468401.597500011</v>
      </c>
      <c r="H28" s="1006">
        <f t="shared" si="1"/>
        <v>2.8776128048421512</v>
      </c>
      <c r="I28" s="1006">
        <f t="shared" si="2"/>
        <v>0.17985080030263445</v>
      </c>
    </row>
    <row r="29" spans="2:9" x14ac:dyDescent="0.25">
      <c r="B29" s="1008">
        <f t="shared" si="3"/>
        <v>21</v>
      </c>
      <c r="C29" s="1015" t="s">
        <v>462</v>
      </c>
      <c r="D29" s="1013">
        <v>488020500</v>
      </c>
      <c r="E29" s="1013">
        <f t="shared" si="0"/>
        <v>40668375</v>
      </c>
      <c r="F29" s="1045">
        <f t="shared" si="4"/>
        <v>264000000</v>
      </c>
      <c r="G29" s="1045">
        <v>22000000</v>
      </c>
      <c r="H29" s="1006">
        <f t="shared" si="1"/>
        <v>0.63645821878893516</v>
      </c>
      <c r="I29" s="1006">
        <f t="shared" si="2"/>
        <v>3.9778638674308447E-2</v>
      </c>
    </row>
    <row r="30" spans="2:9" x14ac:dyDescent="0.25">
      <c r="B30" s="1008">
        <f t="shared" si="3"/>
        <v>22</v>
      </c>
      <c r="C30" s="1015" t="s">
        <v>463</v>
      </c>
      <c r="D30" s="1013">
        <v>68171900</v>
      </c>
      <c r="E30" s="1013">
        <f t="shared" si="0"/>
        <v>5680991.666666667</v>
      </c>
      <c r="F30" s="1045">
        <f t="shared" si="4"/>
        <v>258000000</v>
      </c>
      <c r="G30" s="1045">
        <v>21500000</v>
      </c>
      <c r="H30" s="1006">
        <f t="shared" si="1"/>
        <v>0.62199325927100479</v>
      </c>
      <c r="I30" s="1006">
        <f t="shared" si="2"/>
        <v>3.8874578704437807E-2</v>
      </c>
    </row>
    <row r="31" spans="2:9" x14ac:dyDescent="0.25">
      <c r="B31" s="1008">
        <f t="shared" si="3"/>
        <v>23</v>
      </c>
      <c r="C31" s="1015" t="s">
        <v>464</v>
      </c>
      <c r="D31" s="1013">
        <v>1186354647</v>
      </c>
      <c r="E31" s="1013">
        <f t="shared" si="0"/>
        <v>98862887.25</v>
      </c>
      <c r="F31" s="1045">
        <f t="shared" si="4"/>
        <v>10000000</v>
      </c>
      <c r="G31" s="1045">
        <v>833333.33333333337</v>
      </c>
      <c r="H31" s="1006">
        <f t="shared" si="1"/>
        <v>2.4108265863217241E-2</v>
      </c>
      <c r="I31" s="1006">
        <f t="shared" si="2"/>
        <v>1.5067666164510778E-3</v>
      </c>
    </row>
    <row r="32" spans="2:9" x14ac:dyDescent="0.25">
      <c r="B32" s="1008">
        <f t="shared" si="3"/>
        <v>24</v>
      </c>
      <c r="C32" s="1015" t="s">
        <v>465</v>
      </c>
      <c r="D32" s="1013">
        <v>847778298.30999994</v>
      </c>
      <c r="E32" s="1013">
        <f t="shared" si="0"/>
        <v>70648191.525833324</v>
      </c>
      <c r="F32" s="1045">
        <f t="shared" si="4"/>
        <v>907122779.19169986</v>
      </c>
      <c r="G32" s="1045">
        <v>75593564.932641655</v>
      </c>
      <c r="H32" s="1006">
        <f t="shared" si="1"/>
        <v>2.1869157131334007</v>
      </c>
      <c r="I32" s="1006">
        <f t="shared" si="2"/>
        <v>0.13668223207083757</v>
      </c>
    </row>
    <row r="33" spans="2:9" x14ac:dyDescent="0.25">
      <c r="B33" s="1008">
        <f t="shared" si="3"/>
        <v>25</v>
      </c>
      <c r="C33" s="1015" t="s">
        <v>466</v>
      </c>
      <c r="D33" s="1013">
        <v>245454645</v>
      </c>
      <c r="E33" s="1013">
        <f t="shared" si="0"/>
        <v>20454553.75</v>
      </c>
      <c r="F33" s="1045">
        <f t="shared" si="4"/>
        <v>270000109.5</v>
      </c>
      <c r="G33" s="1045">
        <v>22500009.125</v>
      </c>
      <c r="H33" s="1006">
        <f t="shared" si="1"/>
        <v>0.65092344229237675</v>
      </c>
      <c r="I33" s="1006">
        <f t="shared" si="2"/>
        <v>4.0682715143273547E-2</v>
      </c>
    </row>
    <row r="34" spans="2:9" x14ac:dyDescent="0.25">
      <c r="B34" s="1008">
        <f t="shared" si="3"/>
        <v>26</v>
      </c>
      <c r="C34" s="1015" t="s">
        <v>467</v>
      </c>
      <c r="D34" s="1013"/>
      <c r="E34" s="1013">
        <f t="shared" si="0"/>
        <v>0</v>
      </c>
      <c r="F34" s="1045">
        <f t="shared" si="4"/>
        <v>0</v>
      </c>
      <c r="G34" s="1045">
        <v>0</v>
      </c>
      <c r="H34" s="1006">
        <f t="shared" si="1"/>
        <v>0</v>
      </c>
      <c r="I34" s="1006">
        <f t="shared" si="2"/>
        <v>0</v>
      </c>
    </row>
    <row r="35" spans="2:9" x14ac:dyDescent="0.25">
      <c r="B35" s="1008">
        <f t="shared" si="3"/>
        <v>27</v>
      </c>
      <c r="C35" s="1015" t="s">
        <v>468</v>
      </c>
      <c r="D35" s="1013"/>
      <c r="E35" s="1013">
        <f t="shared" si="0"/>
        <v>0</v>
      </c>
      <c r="F35" s="1045">
        <f t="shared" si="4"/>
        <v>0</v>
      </c>
      <c r="G35" s="1045">
        <v>0</v>
      </c>
      <c r="H35" s="1006">
        <f t="shared" si="1"/>
        <v>0</v>
      </c>
      <c r="I35" s="1006">
        <f t="shared" si="2"/>
        <v>0</v>
      </c>
    </row>
    <row r="36" spans="2:9" x14ac:dyDescent="0.25">
      <c r="B36" s="1008">
        <f t="shared" si="3"/>
        <v>28</v>
      </c>
      <c r="C36" s="1015" t="s">
        <v>469</v>
      </c>
      <c r="D36" s="1013">
        <v>188207400</v>
      </c>
      <c r="E36" s="1013">
        <f t="shared" si="0"/>
        <v>15683950</v>
      </c>
      <c r="F36" s="1045">
        <f t="shared" si="4"/>
        <v>207028140</v>
      </c>
      <c r="G36" s="1045">
        <v>17252345</v>
      </c>
      <c r="H36" s="1006">
        <f t="shared" si="1"/>
        <v>0.49910894402873596</v>
      </c>
      <c r="I36" s="1006">
        <f t="shared" si="2"/>
        <v>3.1194309001796004E-2</v>
      </c>
    </row>
    <row r="37" spans="2:9" x14ac:dyDescent="0.25">
      <c r="B37" s="1008">
        <f t="shared" si="3"/>
        <v>29</v>
      </c>
      <c r="C37" s="1015" t="s">
        <v>470</v>
      </c>
      <c r="D37" s="1013">
        <v>4384212523</v>
      </c>
      <c r="E37" s="1013">
        <f t="shared" si="0"/>
        <v>365351043.58333331</v>
      </c>
      <c r="F37" s="1045">
        <f t="shared" si="4"/>
        <v>666345107</v>
      </c>
      <c r="G37" s="1045">
        <v>55528758.916666664</v>
      </c>
      <c r="H37" s="1006">
        <f t="shared" si="1"/>
        <v>1.6064424996209938</v>
      </c>
      <c r="I37" s="1006">
        <f t="shared" si="2"/>
        <v>0.10040265622631213</v>
      </c>
    </row>
    <row r="38" spans="2:9" x14ac:dyDescent="0.25">
      <c r="B38" s="1008">
        <f t="shared" si="3"/>
        <v>30</v>
      </c>
      <c r="C38" s="1015" t="s">
        <v>471</v>
      </c>
      <c r="D38" s="1013">
        <v>108648500</v>
      </c>
      <c r="E38" s="1013">
        <f t="shared" si="0"/>
        <v>9054041.666666666</v>
      </c>
      <c r="F38" s="1045">
        <f t="shared" si="4"/>
        <v>114080925</v>
      </c>
      <c r="G38" s="1045">
        <v>9506743.75</v>
      </c>
      <c r="H38" s="1006">
        <f t="shared" si="1"/>
        <v>0.27502932698217464</v>
      </c>
      <c r="I38" s="1006">
        <f t="shared" si="2"/>
        <v>1.7189332936385915E-2</v>
      </c>
    </row>
    <row r="39" spans="2:9" x14ac:dyDescent="0.25">
      <c r="B39" s="1008">
        <f t="shared" si="3"/>
        <v>31</v>
      </c>
      <c r="C39" s="1015" t="s">
        <v>472</v>
      </c>
      <c r="D39" s="1013">
        <v>80056015</v>
      </c>
      <c r="E39" s="1013">
        <f t="shared" si="0"/>
        <v>6671334.583333333</v>
      </c>
      <c r="F39" s="1045">
        <f t="shared" si="4"/>
        <v>0</v>
      </c>
      <c r="G39" s="1045">
        <v>0</v>
      </c>
      <c r="H39" s="1006">
        <f t="shared" si="1"/>
        <v>0</v>
      </c>
      <c r="I39" s="1006">
        <f t="shared" si="2"/>
        <v>0</v>
      </c>
    </row>
    <row r="40" spans="2:9" x14ac:dyDescent="0.25">
      <c r="B40" s="1008">
        <f t="shared" si="3"/>
        <v>32</v>
      </c>
      <c r="C40" s="1015" t="s">
        <v>473</v>
      </c>
      <c r="D40" s="1013">
        <v>84564877</v>
      </c>
      <c r="E40" s="1013">
        <f t="shared" si="0"/>
        <v>7047073.083333333</v>
      </c>
      <c r="F40" s="1045">
        <f t="shared" si="4"/>
        <v>88793120.849999994</v>
      </c>
      <c r="G40" s="1045">
        <v>7399426.7374999998</v>
      </c>
      <c r="H40" s="1006">
        <f t="shared" si="1"/>
        <v>0.21406481642765779</v>
      </c>
      <c r="I40" s="1006">
        <f t="shared" si="2"/>
        <v>1.3379051026728614E-2</v>
      </c>
    </row>
    <row r="41" spans="2:9" x14ac:dyDescent="0.25">
      <c r="B41" s="1008">
        <f t="shared" si="3"/>
        <v>33</v>
      </c>
      <c r="C41" s="1015" t="s">
        <v>474</v>
      </c>
      <c r="D41" s="1013"/>
      <c r="E41" s="1013">
        <f t="shared" si="0"/>
        <v>0</v>
      </c>
      <c r="F41" s="1045">
        <f t="shared" si="4"/>
        <v>0</v>
      </c>
      <c r="G41" s="1045">
        <v>0</v>
      </c>
      <c r="H41" s="1006">
        <f t="shared" si="1"/>
        <v>0</v>
      </c>
      <c r="I41" s="1006">
        <f t="shared" si="2"/>
        <v>0</v>
      </c>
    </row>
    <row r="42" spans="2:9" x14ac:dyDescent="0.25">
      <c r="B42" s="1008">
        <f t="shared" si="3"/>
        <v>34</v>
      </c>
      <c r="C42" s="1015" t="s">
        <v>475</v>
      </c>
      <c r="D42" s="1013"/>
      <c r="E42" s="1013">
        <f t="shared" si="0"/>
        <v>0</v>
      </c>
      <c r="F42" s="1045">
        <f t="shared" si="4"/>
        <v>0</v>
      </c>
      <c r="G42" s="1045">
        <v>0</v>
      </c>
      <c r="H42" s="1006">
        <f t="shared" si="1"/>
        <v>0</v>
      </c>
      <c r="I42" s="1006">
        <f t="shared" si="2"/>
        <v>0</v>
      </c>
    </row>
    <row r="43" spans="2:9" x14ac:dyDescent="0.25">
      <c r="B43" s="1008">
        <f t="shared" si="3"/>
        <v>35</v>
      </c>
      <c r="C43" s="1015" t="s">
        <v>476</v>
      </c>
      <c r="D43" s="1013">
        <v>3864122096</v>
      </c>
      <c r="E43" s="1013">
        <f t="shared" si="0"/>
        <v>322010174.66666669</v>
      </c>
      <c r="F43" s="1045">
        <f t="shared" si="4"/>
        <v>2223000000</v>
      </c>
      <c r="G43" s="1045">
        <v>185250000</v>
      </c>
      <c r="H43" s="1006">
        <f t="shared" si="1"/>
        <v>5.3592675013931927</v>
      </c>
      <c r="I43" s="1006">
        <f t="shared" si="2"/>
        <v>0.33495421883707455</v>
      </c>
    </row>
    <row r="44" spans="2:9" x14ac:dyDescent="0.25">
      <c r="B44" s="1008">
        <f t="shared" si="3"/>
        <v>36</v>
      </c>
      <c r="C44" s="1015" t="s">
        <v>477</v>
      </c>
      <c r="D44" s="1013">
        <v>810000</v>
      </c>
      <c r="E44" s="1013">
        <f t="shared" si="0"/>
        <v>67500</v>
      </c>
      <c r="F44" s="1045">
        <f t="shared" si="4"/>
        <v>0</v>
      </c>
      <c r="G44" s="1045">
        <v>0</v>
      </c>
      <c r="H44" s="1006">
        <f t="shared" si="1"/>
        <v>0</v>
      </c>
      <c r="I44" s="1006">
        <f t="shared" si="2"/>
        <v>0</v>
      </c>
    </row>
    <row r="45" spans="2:9" x14ac:dyDescent="0.25">
      <c r="B45" s="1008">
        <f t="shared" si="3"/>
        <v>37</v>
      </c>
      <c r="C45" s="1015" t="s">
        <v>478</v>
      </c>
      <c r="D45" s="1013">
        <v>185612516</v>
      </c>
      <c r="E45" s="1013">
        <f t="shared" si="0"/>
        <v>15467709.666666666</v>
      </c>
      <c r="F45" s="1045">
        <f t="shared" si="4"/>
        <v>41405668</v>
      </c>
      <c r="G45" s="1045">
        <v>3450472.3333333335</v>
      </c>
      <c r="H45" s="1006">
        <f t="shared" si="1"/>
        <v>9.9821885238810651E-2</v>
      </c>
      <c r="I45" s="1006">
        <f t="shared" si="2"/>
        <v>6.2388678274256665E-3</v>
      </c>
    </row>
    <row r="46" spans="2:9" x14ac:dyDescent="0.25">
      <c r="B46" s="1008">
        <f t="shared" si="3"/>
        <v>38</v>
      </c>
      <c r="C46" s="1015" t="s">
        <v>479</v>
      </c>
      <c r="D46" s="1013">
        <v>300000</v>
      </c>
      <c r="E46" s="1013">
        <f t="shared" si="0"/>
        <v>25000</v>
      </c>
      <c r="F46" s="1045">
        <f t="shared" si="4"/>
        <v>25000000</v>
      </c>
      <c r="G46" s="1045">
        <v>2083333.3333333333</v>
      </c>
      <c r="H46" s="1006">
        <f t="shared" si="1"/>
        <v>6.0270664658043101E-2</v>
      </c>
      <c r="I46" s="1006">
        <f t="shared" si="2"/>
        <v>3.7669165411276934E-3</v>
      </c>
    </row>
    <row r="47" spans="2:9" x14ac:dyDescent="0.25">
      <c r="B47" s="1008">
        <f t="shared" si="3"/>
        <v>39</v>
      </c>
      <c r="C47" s="1015" t="s">
        <v>480</v>
      </c>
      <c r="D47" s="1013">
        <v>497881607</v>
      </c>
      <c r="E47" s="1013">
        <f t="shared" si="0"/>
        <v>41490133.916666664</v>
      </c>
      <c r="F47" s="1045">
        <f t="shared" si="4"/>
        <v>420000000</v>
      </c>
      <c r="G47" s="1045">
        <v>35000000</v>
      </c>
      <c r="H47" s="1006">
        <f t="shared" si="1"/>
        <v>1.0125471662551242</v>
      </c>
      <c r="I47" s="1006">
        <f t="shared" si="2"/>
        <v>6.3284197890945262E-2</v>
      </c>
    </row>
    <row r="48" spans="2:9" x14ac:dyDescent="0.25">
      <c r="B48" s="1008">
        <f t="shared" si="3"/>
        <v>40</v>
      </c>
      <c r="C48" s="1015" t="s">
        <v>481</v>
      </c>
      <c r="D48" s="1013">
        <v>79298165</v>
      </c>
      <c r="E48" s="1013">
        <f t="shared" si="0"/>
        <v>6608180.416666667</v>
      </c>
      <c r="F48" s="1045">
        <f t="shared" si="4"/>
        <v>12458700</v>
      </c>
      <c r="G48" s="1045">
        <v>1038225</v>
      </c>
      <c r="H48" s="1006">
        <f t="shared" si="1"/>
        <v>3.0035765191006463E-2</v>
      </c>
      <c r="I48" s="1006">
        <f t="shared" si="2"/>
        <v>1.8772353244379039E-3</v>
      </c>
    </row>
    <row r="49" spans="2:9" x14ac:dyDescent="0.25">
      <c r="B49" s="1008">
        <f t="shared" si="3"/>
        <v>41</v>
      </c>
      <c r="C49" s="1015" t="s">
        <v>482</v>
      </c>
      <c r="D49" s="1013"/>
      <c r="E49" s="1013">
        <f t="shared" si="0"/>
        <v>0</v>
      </c>
      <c r="F49" s="1045">
        <f t="shared" si="4"/>
        <v>250000000</v>
      </c>
      <c r="G49" s="1045">
        <v>20833333.333333332</v>
      </c>
      <c r="H49" s="1006">
        <f t="shared" si="1"/>
        <v>0.60270664658043094</v>
      </c>
      <c r="I49" s="1006">
        <f t="shared" si="2"/>
        <v>3.7669165411276941E-2</v>
      </c>
    </row>
    <row r="50" spans="2:9" ht="13.5" thickBot="1" x14ac:dyDescent="0.3">
      <c r="B50" s="1046">
        <f t="shared" si="3"/>
        <v>42</v>
      </c>
      <c r="C50" s="1047" t="s">
        <v>483</v>
      </c>
      <c r="D50" s="1048">
        <v>11059767</v>
      </c>
      <c r="E50" s="1048">
        <f t="shared" si="0"/>
        <v>921647.25</v>
      </c>
      <c r="F50" s="1049">
        <f>G50*12</f>
        <v>0</v>
      </c>
      <c r="G50" s="1049">
        <v>0</v>
      </c>
      <c r="H50" s="1006">
        <f t="shared" si="1"/>
        <v>0</v>
      </c>
      <c r="I50" s="1006">
        <f t="shared" si="2"/>
        <v>0</v>
      </c>
    </row>
    <row r="51" spans="2:9" ht="19.350000000000001" customHeight="1" thickBot="1" x14ac:dyDescent="0.3">
      <c r="D51" s="1050">
        <f t="shared" ref="D51:I51" si="5">SUM(D9:D50)</f>
        <v>23796151105.279999</v>
      </c>
      <c r="E51" s="1050">
        <f t="shared" si="5"/>
        <v>1983012592.1066668</v>
      </c>
      <c r="F51" s="1051">
        <f t="shared" si="5"/>
        <v>17232676709.801701</v>
      </c>
      <c r="G51" s="1051">
        <f t="shared" si="5"/>
        <v>1436056392.483475</v>
      </c>
      <c r="H51" s="1052">
        <f t="shared" si="5"/>
        <v>41.544995165477118</v>
      </c>
      <c r="I51" s="1052">
        <f t="shared" si="5"/>
        <v>2.5965621978423199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70" bestFit="1" customWidth="1"/>
    <col min="2" max="2" width="13.42578125" style="970" customWidth="1"/>
    <col min="3" max="3" width="49.5703125" style="970" bestFit="1" customWidth="1"/>
    <col min="4" max="4" width="39.42578125" style="970" bestFit="1" customWidth="1"/>
    <col min="5" max="5" width="9.42578125" style="970"/>
  </cols>
  <sheetData>
    <row r="1" spans="1:5" ht="24" customHeight="1" x14ac:dyDescent="0.25">
      <c r="A1" s="2483" t="s">
        <v>553</v>
      </c>
      <c r="B1" s="2483" t="s">
        <v>169</v>
      </c>
      <c r="C1" s="2483" t="s">
        <v>554</v>
      </c>
      <c r="D1" s="2483"/>
      <c r="E1" s="1074"/>
    </row>
    <row r="2" spans="1:5" ht="21" customHeight="1" x14ac:dyDescent="0.25">
      <c r="A2" s="2483"/>
      <c r="B2" s="2483"/>
      <c r="C2" s="1074" t="s">
        <v>16</v>
      </c>
      <c r="D2" s="1074" t="s">
        <v>555</v>
      </c>
      <c r="E2" s="1074"/>
    </row>
    <row r="3" spans="1:5" x14ac:dyDescent="0.25">
      <c r="A3" s="1068">
        <v>1</v>
      </c>
      <c r="B3" s="1069">
        <v>45536</v>
      </c>
      <c r="C3" s="1068"/>
      <c r="D3" s="1068"/>
      <c r="E3" s="308"/>
    </row>
    <row r="4" spans="1:5" x14ac:dyDescent="0.25">
      <c r="A4" s="1068">
        <v>2</v>
      </c>
      <c r="B4" s="1069">
        <v>45537</v>
      </c>
      <c r="C4" s="1068"/>
      <c r="D4" s="1068"/>
      <c r="E4" s="308"/>
    </row>
    <row r="5" spans="1:5" x14ac:dyDescent="0.25">
      <c r="A5" s="1068">
        <v>3</v>
      </c>
      <c r="B5" s="1069">
        <v>45538</v>
      </c>
      <c r="C5" s="1068"/>
      <c r="D5" s="1068"/>
      <c r="E5" s="308"/>
    </row>
    <row r="6" spans="1:5" x14ac:dyDescent="0.25">
      <c r="A6" s="1068">
        <v>4</v>
      </c>
      <c r="B6" s="1069">
        <v>45539</v>
      </c>
      <c r="C6" s="1068"/>
      <c r="D6" s="1068"/>
      <c r="E6" s="308"/>
    </row>
    <row r="7" spans="1:5" x14ac:dyDescent="0.25">
      <c r="A7" s="1068">
        <v>5</v>
      </c>
      <c r="B7" s="1069">
        <v>45540</v>
      </c>
      <c r="C7" s="1068"/>
      <c r="D7" s="1068"/>
      <c r="E7" s="308"/>
    </row>
    <row r="8" spans="1:5" x14ac:dyDescent="0.25">
      <c r="A8" s="1068">
        <v>6</v>
      </c>
      <c r="B8" s="1069">
        <v>45541</v>
      </c>
      <c r="C8" s="1068"/>
      <c r="D8" s="1068"/>
      <c r="E8" s="308"/>
    </row>
    <row r="9" spans="1:5" x14ac:dyDescent="0.25">
      <c r="A9" s="1068">
        <v>7</v>
      </c>
      <c r="B9" s="1069">
        <v>45542</v>
      </c>
      <c r="C9" s="1068"/>
      <c r="D9" s="1068"/>
      <c r="E9" s="308"/>
    </row>
    <row r="10" spans="1:5" x14ac:dyDescent="0.25">
      <c r="A10" s="1068">
        <v>8</v>
      </c>
      <c r="B10" s="1069">
        <v>45543</v>
      </c>
      <c r="C10" s="1068"/>
      <c r="D10" s="1068"/>
      <c r="E10" s="308"/>
    </row>
    <row r="11" spans="1:5" x14ac:dyDescent="0.25">
      <c r="A11" s="1068">
        <v>9</v>
      </c>
      <c r="B11" s="1069">
        <v>45544</v>
      </c>
      <c r="C11" s="1068"/>
      <c r="D11" s="1068"/>
      <c r="E11" s="308"/>
    </row>
    <row r="12" spans="1:5" x14ac:dyDescent="0.25">
      <c r="A12" s="1068">
        <v>10</v>
      </c>
      <c r="B12" s="1069">
        <v>45545</v>
      </c>
      <c r="C12" s="1068"/>
      <c r="D12" s="1068"/>
      <c r="E12" s="308"/>
    </row>
    <row r="13" spans="1:5" x14ac:dyDescent="0.25">
      <c r="A13" s="1068">
        <v>11</v>
      </c>
      <c r="B13" s="1069">
        <v>45546</v>
      </c>
      <c r="C13" s="1068"/>
      <c r="D13" s="1068"/>
      <c r="E13" s="308"/>
    </row>
    <row r="14" spans="1:5" x14ac:dyDescent="0.25">
      <c r="A14" s="1068">
        <v>12</v>
      </c>
      <c r="B14" s="1069">
        <v>45547</v>
      </c>
      <c r="C14" s="1068"/>
      <c r="D14" s="1068"/>
      <c r="E14" s="308"/>
    </row>
    <row r="15" spans="1:5" x14ac:dyDescent="0.25">
      <c r="A15" s="1068">
        <v>13</v>
      </c>
      <c r="B15" s="1069">
        <v>45548</v>
      </c>
      <c r="C15" s="1068"/>
      <c r="D15" s="1068"/>
      <c r="E15" s="308"/>
    </row>
    <row r="16" spans="1:5" x14ac:dyDescent="0.25">
      <c r="A16" s="1068">
        <v>14</v>
      </c>
      <c r="B16" s="1069">
        <v>45549</v>
      </c>
      <c r="C16" s="1068"/>
      <c r="D16" s="1068"/>
      <c r="E16" s="308"/>
    </row>
    <row r="17" spans="1:5" x14ac:dyDescent="0.25">
      <c r="A17" s="1068">
        <v>15</v>
      </c>
      <c r="B17" s="1069">
        <v>45550</v>
      </c>
      <c r="C17" s="1068"/>
      <c r="D17" s="1068"/>
      <c r="E17" s="308"/>
    </row>
    <row r="18" spans="1:5" x14ac:dyDescent="0.25">
      <c r="A18" s="1068">
        <v>16</v>
      </c>
      <c r="B18" s="1069">
        <v>45551</v>
      </c>
      <c r="C18" s="1068"/>
      <c r="D18" s="1068"/>
      <c r="E18" s="308"/>
    </row>
    <row r="19" spans="1:5" x14ac:dyDescent="0.25">
      <c r="A19" s="1068">
        <v>17</v>
      </c>
      <c r="B19" s="1069">
        <v>45552</v>
      </c>
      <c r="C19" s="1068"/>
      <c r="D19" s="1068"/>
      <c r="E19" s="308"/>
    </row>
    <row r="20" spans="1:5" x14ac:dyDescent="0.25">
      <c r="A20" s="1068">
        <v>18</v>
      </c>
      <c r="B20" s="1069">
        <v>45553</v>
      </c>
      <c r="C20" s="1068"/>
      <c r="D20" s="1068"/>
      <c r="E20" s="308"/>
    </row>
    <row r="21" spans="1:5" x14ac:dyDescent="0.25">
      <c r="A21" s="1068">
        <v>19</v>
      </c>
      <c r="B21" s="1069">
        <v>45554</v>
      </c>
      <c r="C21" s="1068"/>
      <c r="D21" s="1068"/>
      <c r="E21" s="308"/>
    </row>
    <row r="22" spans="1:5" x14ac:dyDescent="0.25">
      <c r="A22" s="1068">
        <v>20</v>
      </c>
      <c r="B22" s="1069">
        <v>45555</v>
      </c>
      <c r="C22" s="1068"/>
      <c r="D22" s="1068"/>
      <c r="E22" s="308"/>
    </row>
    <row r="23" spans="1:5" x14ac:dyDescent="0.25">
      <c r="A23" s="1068">
        <v>21</v>
      </c>
      <c r="B23" s="1069">
        <v>45556</v>
      </c>
      <c r="C23" s="1068"/>
      <c r="D23" s="1068"/>
      <c r="E23" s="308"/>
    </row>
    <row r="24" spans="1:5" x14ac:dyDescent="0.25">
      <c r="A24" s="1068">
        <v>22</v>
      </c>
      <c r="B24" s="1069">
        <v>45557</v>
      </c>
      <c r="C24" s="1068"/>
      <c r="D24" s="1068"/>
      <c r="E24" s="308"/>
    </row>
    <row r="25" spans="1:5" x14ac:dyDescent="0.25">
      <c r="A25" s="1068">
        <v>23</v>
      </c>
      <c r="B25" s="1069">
        <v>45558</v>
      </c>
      <c r="C25" s="1068"/>
      <c r="D25" s="1068"/>
      <c r="E25" s="308"/>
    </row>
    <row r="26" spans="1:5" ht="120" x14ac:dyDescent="0.25">
      <c r="A26" s="1068">
        <v>24</v>
      </c>
      <c r="B26" s="1069">
        <v>45559</v>
      </c>
      <c r="C26" s="1070" t="s">
        <v>559</v>
      </c>
      <c r="D26" s="1071" t="s">
        <v>556</v>
      </c>
      <c r="E26" s="308"/>
    </row>
    <row r="27" spans="1:5" ht="45" x14ac:dyDescent="0.25">
      <c r="A27" s="1068">
        <v>25</v>
      </c>
      <c r="B27" s="1069">
        <v>45560</v>
      </c>
      <c r="C27" s="1070" t="s">
        <v>557</v>
      </c>
      <c r="D27" s="1072" t="s">
        <v>558</v>
      </c>
      <c r="E27" s="308"/>
    </row>
    <row r="28" spans="1:5" x14ac:dyDescent="0.25">
      <c r="A28" s="1068">
        <v>26</v>
      </c>
      <c r="B28" s="1069">
        <v>45561</v>
      </c>
      <c r="C28" s="1073"/>
      <c r="D28" s="1068"/>
      <c r="E28" s="308"/>
    </row>
    <row r="29" spans="1:5" x14ac:dyDescent="0.25">
      <c r="A29" s="1068">
        <v>27</v>
      </c>
      <c r="B29" s="1069">
        <v>45562</v>
      </c>
      <c r="C29" s="1073"/>
      <c r="D29" s="1068"/>
      <c r="E29" s="308"/>
    </row>
    <row r="30" spans="1:5" x14ac:dyDescent="0.25">
      <c r="A30" s="1068">
        <v>28</v>
      </c>
      <c r="B30" s="1069">
        <v>45563</v>
      </c>
      <c r="C30" s="1073"/>
      <c r="D30" s="1068"/>
      <c r="E30" s="308"/>
    </row>
    <row r="31" spans="1:5" x14ac:dyDescent="0.25">
      <c r="A31" s="1068">
        <v>29</v>
      </c>
      <c r="B31" s="1069">
        <v>45564</v>
      </c>
      <c r="C31" s="1073"/>
      <c r="D31" s="1068"/>
      <c r="E31" s="308"/>
    </row>
    <row r="32" spans="1:5" x14ac:dyDescent="0.25">
      <c r="A32" s="1068">
        <v>30</v>
      </c>
      <c r="B32" s="1069">
        <v>45565</v>
      </c>
      <c r="C32" s="1073"/>
      <c r="D32" s="1068"/>
      <c r="E32" s="308"/>
    </row>
    <row r="33" spans="3:3" x14ac:dyDescent="0.25">
      <c r="C33" s="325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85" t="s">
        <v>172</v>
      </c>
      <c r="B2" s="2485"/>
      <c r="C2" s="2485"/>
      <c r="D2" s="2485"/>
      <c r="E2" s="2485"/>
      <c r="F2" s="2485"/>
      <c r="G2" s="2485"/>
      <c r="H2" s="2485"/>
      <c r="I2" s="2485"/>
      <c r="J2" s="2485"/>
      <c r="K2" s="2485"/>
      <c r="L2" s="2485"/>
      <c r="M2" s="2485"/>
      <c r="N2" s="2485"/>
      <c r="O2" s="2485"/>
      <c r="P2" s="2485"/>
      <c r="Q2" s="2485"/>
      <c r="R2" s="2485"/>
      <c r="S2" s="2485"/>
      <c r="T2" s="2485"/>
    </row>
    <row r="3" spans="1:23" ht="19.5" x14ac:dyDescent="0.3">
      <c r="A3" s="2485" t="s">
        <v>173</v>
      </c>
      <c r="B3" s="248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</row>
    <row r="4" spans="1:23" x14ac:dyDescent="0.25">
      <c r="A4" s="350"/>
      <c r="B4" s="351"/>
      <c r="C4" s="352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4"/>
      <c r="S4" s="355"/>
      <c r="T4" s="356"/>
      <c r="U4" s="356"/>
    </row>
    <row r="5" spans="1:23" ht="15.75" x14ac:dyDescent="0.25">
      <c r="A5" s="2486" t="s">
        <v>212</v>
      </c>
      <c r="B5" s="2487"/>
      <c r="C5" s="2487"/>
      <c r="D5" s="2487"/>
      <c r="E5" s="2487"/>
      <c r="F5" s="2487"/>
      <c r="G5" s="2487"/>
      <c r="H5" s="2487"/>
      <c r="I5" s="2487"/>
      <c r="J5" s="2487"/>
      <c r="K5" s="2487"/>
      <c r="L5" s="2487"/>
      <c r="M5" s="2487"/>
      <c r="N5" s="2487"/>
      <c r="O5" s="2487"/>
      <c r="P5" s="2487"/>
      <c r="Q5" s="2487"/>
      <c r="R5" s="2487"/>
      <c r="S5" s="2487"/>
      <c r="T5" s="2487"/>
      <c r="U5" s="2487"/>
    </row>
    <row r="6" spans="1:23" s="318" customFormat="1" ht="38.85" customHeight="1" x14ac:dyDescent="0.25">
      <c r="A6" s="316" t="s">
        <v>175</v>
      </c>
      <c r="B6" s="316" t="s">
        <v>176</v>
      </c>
      <c r="C6" s="316" t="s">
        <v>177</v>
      </c>
      <c r="D6" s="316" t="s">
        <v>178</v>
      </c>
      <c r="E6" s="316" t="s">
        <v>179</v>
      </c>
      <c r="F6" s="316" t="s">
        <v>180</v>
      </c>
      <c r="G6" s="316" t="s">
        <v>181</v>
      </c>
      <c r="H6" s="316" t="s">
        <v>182</v>
      </c>
      <c r="I6" s="316" t="s">
        <v>183</v>
      </c>
      <c r="J6" s="316" t="s">
        <v>184</v>
      </c>
      <c r="K6" s="316" t="s">
        <v>185</v>
      </c>
      <c r="L6" s="316" t="s">
        <v>186</v>
      </c>
      <c r="M6" s="316" t="s">
        <v>187</v>
      </c>
      <c r="N6" s="339" t="s">
        <v>197</v>
      </c>
      <c r="O6" s="339" t="s">
        <v>198</v>
      </c>
      <c r="P6" s="339" t="s">
        <v>199</v>
      </c>
      <c r="Q6" s="316" t="s">
        <v>200</v>
      </c>
      <c r="R6" s="317" t="s">
        <v>188</v>
      </c>
      <c r="S6" s="316" t="s">
        <v>189</v>
      </c>
      <c r="T6" s="316" t="s">
        <v>190</v>
      </c>
      <c r="U6" s="316" t="s">
        <v>191</v>
      </c>
    </row>
    <row r="7" spans="1:23" x14ac:dyDescent="0.25">
      <c r="A7" s="319">
        <v>1</v>
      </c>
      <c r="B7" s="319" t="s">
        <v>192</v>
      </c>
      <c r="C7" s="320">
        <f>'[6]01 '!$Q$14</f>
        <v>744924</v>
      </c>
      <c r="D7" s="321">
        <f>'[6]02'!$Q$14</f>
        <v>743972</v>
      </c>
      <c r="E7" s="321">
        <f>'[6]03'!$Q$14</f>
        <v>1048435</v>
      </c>
      <c r="F7" s="321">
        <f>'[6]04'!$Q$14</f>
        <v>1114821</v>
      </c>
      <c r="G7" s="321">
        <v>248126</v>
      </c>
      <c r="H7" s="349">
        <v>389481</v>
      </c>
      <c r="I7" s="349">
        <v>104168</v>
      </c>
      <c r="J7" s="349">
        <v>320907</v>
      </c>
      <c r="K7" s="349">
        <v>100743</v>
      </c>
      <c r="L7" s="321">
        <v>512647</v>
      </c>
      <c r="M7" s="349">
        <v>441064</v>
      </c>
      <c r="N7" s="357">
        <v>524002</v>
      </c>
      <c r="O7" s="321">
        <v>568358</v>
      </c>
      <c r="P7" s="321">
        <v>430750</v>
      </c>
      <c r="Q7" s="321"/>
      <c r="R7" s="322">
        <f>SUM(C7:Q7)</f>
        <v>7292398</v>
      </c>
      <c r="S7" s="348"/>
      <c r="T7" s="2484"/>
      <c r="U7" s="2484"/>
    </row>
    <row r="8" spans="1:23" x14ac:dyDescent="0.25">
      <c r="A8" s="319">
        <v>2</v>
      </c>
      <c r="B8" s="319" t="s">
        <v>193</v>
      </c>
      <c r="C8" s="358">
        <v>713300</v>
      </c>
      <c r="D8" s="349">
        <v>708000</v>
      </c>
      <c r="E8" s="349">
        <v>993100</v>
      </c>
      <c r="F8" s="321">
        <v>1056000</v>
      </c>
      <c r="G8" s="349">
        <v>237021</v>
      </c>
      <c r="H8" s="349">
        <v>365100</v>
      </c>
      <c r="I8" s="349">
        <v>44001</v>
      </c>
      <c r="J8" s="349">
        <v>300010</v>
      </c>
      <c r="K8" s="359">
        <v>94507</v>
      </c>
      <c r="L8" s="360">
        <v>488153</v>
      </c>
      <c r="M8" s="359">
        <v>414337</v>
      </c>
      <c r="N8" s="321">
        <v>492952</v>
      </c>
      <c r="O8" s="321">
        <v>532902</v>
      </c>
      <c r="P8" s="321">
        <v>497845</v>
      </c>
      <c r="Q8" s="321"/>
      <c r="R8" s="322">
        <f>SUM(C8:Q8)</f>
        <v>6937228</v>
      </c>
      <c r="S8" s="349"/>
      <c r="T8" s="323">
        <f>R8/R7</f>
        <v>0.95129585631502833</v>
      </c>
      <c r="U8" s="323" t="e">
        <f>S8/S7</f>
        <v>#DIV/0!</v>
      </c>
      <c r="W8" s="321" t="e">
        <f>4984655+#REF!</f>
        <v>#REF!</v>
      </c>
    </row>
    <row r="9" spans="1:23" x14ac:dyDescent="0.25">
      <c r="A9" s="319">
        <v>3</v>
      </c>
      <c r="B9" s="319" t="s">
        <v>64</v>
      </c>
      <c r="C9" s="320">
        <f>'[6]01 '!$P$25</f>
        <v>25659</v>
      </c>
      <c r="D9" s="349">
        <v>28786</v>
      </c>
      <c r="E9" s="321">
        <f>'[6]03'!$P$25</f>
        <v>46938</v>
      </c>
      <c r="F9" s="321">
        <f>'[6]04'!$P$24</f>
        <v>48667</v>
      </c>
      <c r="G9" s="349">
        <v>8070</v>
      </c>
      <c r="H9" s="349">
        <v>19280</v>
      </c>
      <c r="I9" s="349">
        <v>3234</v>
      </c>
      <c r="J9" s="349">
        <v>18283</v>
      </c>
      <c r="K9" s="349">
        <v>5131</v>
      </c>
      <c r="L9" s="321">
        <v>20426</v>
      </c>
      <c r="M9" s="321">
        <v>23275</v>
      </c>
      <c r="N9" s="321">
        <v>27655</v>
      </c>
      <c r="O9" s="321">
        <v>25803</v>
      </c>
      <c r="P9" s="321">
        <v>20173</v>
      </c>
      <c r="Q9" s="321"/>
      <c r="R9" s="322">
        <f>SUM(C9:Q9)</f>
        <v>321380</v>
      </c>
      <c r="S9" s="349"/>
      <c r="T9" s="323">
        <f>R9/R7</f>
        <v>4.4070551278194085E-2</v>
      </c>
      <c r="U9" s="323" t="e">
        <f>S9/S7</f>
        <v>#DIV/0!</v>
      </c>
    </row>
    <row r="10" spans="1:23" x14ac:dyDescent="0.25">
      <c r="A10" s="350"/>
      <c r="B10" s="351"/>
      <c r="C10" s="347">
        <f>C8/C7</f>
        <v>0.95754734711192013</v>
      </c>
      <c r="D10" s="347">
        <f t="shared" ref="D10:P10" si="0">D8/D7</f>
        <v>0.95164871796250394</v>
      </c>
      <c r="E10" s="347">
        <f t="shared" si="0"/>
        <v>0.94722133465593961</v>
      </c>
      <c r="F10" s="347">
        <f t="shared" si="0"/>
        <v>0.94723726948093012</v>
      </c>
      <c r="G10" s="347">
        <f t="shared" si="0"/>
        <v>0.95524451286846201</v>
      </c>
      <c r="H10" s="347">
        <f t="shared" si="0"/>
        <v>0.93740131097537494</v>
      </c>
      <c r="I10" s="347">
        <f t="shared" si="0"/>
        <v>0.42240419322632672</v>
      </c>
      <c r="J10" s="347">
        <f t="shared" si="0"/>
        <v>0.9348814454031853</v>
      </c>
      <c r="K10" s="347">
        <f t="shared" si="0"/>
        <v>0.93809991761214173</v>
      </c>
      <c r="L10" s="347">
        <f t="shared" si="0"/>
        <v>0.95222053381761718</v>
      </c>
      <c r="M10" s="347">
        <f t="shared" si="0"/>
        <v>0.93940335189450963</v>
      </c>
      <c r="N10" s="347">
        <f t="shared" si="0"/>
        <v>0.94074450097518714</v>
      </c>
      <c r="O10" s="347">
        <f t="shared" si="0"/>
        <v>0.93761678378768309</v>
      </c>
      <c r="P10" s="347">
        <f t="shared" si="0"/>
        <v>1.1557632037144516</v>
      </c>
      <c r="Q10" s="353"/>
      <c r="R10" s="354"/>
      <c r="S10" s="355"/>
      <c r="T10" s="356"/>
      <c r="U10" s="356"/>
    </row>
    <row r="11" spans="1:23" x14ac:dyDescent="0.25">
      <c r="A11" s="350"/>
      <c r="B11" s="351"/>
      <c r="C11" s="347">
        <f>C9/C7*1</f>
        <v>3.4445124603315239E-2</v>
      </c>
      <c r="D11" s="347">
        <f t="shared" ref="D11:P11" si="1">D9/D7*1</f>
        <v>3.8692316377498079E-2</v>
      </c>
      <c r="E11" s="347">
        <f t="shared" si="1"/>
        <v>4.4769585143571135E-2</v>
      </c>
      <c r="F11" s="347">
        <f t="shared" si="1"/>
        <v>4.3654541850216312E-2</v>
      </c>
      <c r="G11" s="347">
        <f t="shared" si="1"/>
        <v>3.2523798392752067E-2</v>
      </c>
      <c r="H11" s="347">
        <f t="shared" si="1"/>
        <v>4.9501772872104159E-2</v>
      </c>
      <c r="I11" s="347">
        <f t="shared" si="1"/>
        <v>3.1046002611166579E-2</v>
      </c>
      <c r="J11" s="347">
        <f t="shared" si="1"/>
        <v>5.6972892457939531E-2</v>
      </c>
      <c r="K11" s="347">
        <f t="shared" si="1"/>
        <v>5.0931578372690904E-2</v>
      </c>
      <c r="L11" s="347">
        <f t="shared" si="1"/>
        <v>3.9844181278735659E-2</v>
      </c>
      <c r="M11" s="347">
        <f t="shared" si="1"/>
        <v>5.2770119529138626E-2</v>
      </c>
      <c r="N11" s="347">
        <f t="shared" si="1"/>
        <v>5.2776516120167483E-2</v>
      </c>
      <c r="O11" s="347">
        <f t="shared" si="1"/>
        <v>4.5399202615253063E-2</v>
      </c>
      <c r="P11" s="347">
        <f t="shared" si="1"/>
        <v>4.6832269297736505E-2</v>
      </c>
      <c r="Q11" s="353"/>
      <c r="R11" s="354"/>
      <c r="S11" s="355"/>
      <c r="T11" s="356"/>
      <c r="U11" s="356"/>
    </row>
    <row r="12" spans="1:23" x14ac:dyDescent="0.25">
      <c r="A12" s="350"/>
      <c r="B12" s="351" t="s">
        <v>213</v>
      </c>
      <c r="C12" s="347">
        <f>(C7-C8-C9)/C7</f>
        <v>8.0075282847646197E-3</v>
      </c>
      <c r="D12" s="347">
        <f t="shared" ref="D12:P12" si="2">(D7-D8-D9)/D7</f>
        <v>9.6589656599979576E-3</v>
      </c>
      <c r="E12" s="347">
        <f t="shared" si="2"/>
        <v>8.0090802004893005E-3</v>
      </c>
      <c r="F12" s="347">
        <f t="shared" si="2"/>
        <v>9.1081886688535642E-3</v>
      </c>
      <c r="G12" s="347">
        <f t="shared" si="2"/>
        <v>1.223168873878594E-2</v>
      </c>
      <c r="H12" s="347">
        <f t="shared" si="2"/>
        <v>1.309691615252092E-2</v>
      </c>
      <c r="I12" s="347">
        <f>(I7-I8-I9)/I7</f>
        <v>0.54654980416250676</v>
      </c>
      <c r="J12" s="347">
        <f t="shared" si="2"/>
        <v>8.1456621388751264E-3</v>
      </c>
      <c r="K12" s="347">
        <f t="shared" si="2"/>
        <v>1.0968504015167307E-2</v>
      </c>
      <c r="L12" s="347">
        <f t="shared" si="2"/>
        <v>7.9352849036471492E-3</v>
      </c>
      <c r="M12" s="347">
        <f t="shared" si="2"/>
        <v>7.8265285763517312E-3</v>
      </c>
      <c r="N12" s="347">
        <f t="shared" si="2"/>
        <v>6.4789829046454023E-3</v>
      </c>
      <c r="O12" s="347">
        <f t="shared" si="2"/>
        <v>1.6984013597063821E-2</v>
      </c>
      <c r="P12" s="347">
        <f t="shared" si="2"/>
        <v>-0.20259547301218805</v>
      </c>
      <c r="Q12" s="353"/>
      <c r="R12" s="354"/>
      <c r="S12" s="355"/>
      <c r="T12" s="356"/>
      <c r="U12" s="356"/>
    </row>
    <row r="13" spans="1:23" x14ac:dyDescent="0.25">
      <c r="A13" s="350"/>
      <c r="B13" s="351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53"/>
      <c r="R13" s="354"/>
      <c r="S13" s="355"/>
      <c r="T13" s="356"/>
      <c r="U13" s="356"/>
    </row>
    <row r="14" spans="1:23" ht="15.75" x14ac:dyDescent="0.25">
      <c r="A14" s="2486" t="s">
        <v>214</v>
      </c>
      <c r="B14" s="2487"/>
      <c r="C14" s="2487"/>
      <c r="D14" s="2487"/>
      <c r="E14" s="2487"/>
      <c r="F14" s="2487"/>
      <c r="G14" s="2487"/>
      <c r="H14" s="2487"/>
      <c r="I14" s="2487"/>
      <c r="J14" s="2487"/>
      <c r="K14" s="2487"/>
      <c r="L14" s="2487"/>
      <c r="M14" s="2487"/>
      <c r="N14" s="2487"/>
      <c r="O14" s="2487"/>
      <c r="P14" s="2487"/>
      <c r="Q14" s="2487"/>
      <c r="R14" s="2487"/>
      <c r="S14" s="2487"/>
      <c r="T14" s="2487"/>
      <c r="U14" s="2487"/>
    </row>
    <row r="15" spans="1:23" s="318" customFormat="1" ht="38.85" customHeight="1" x14ac:dyDescent="0.25">
      <c r="A15" s="316" t="s">
        <v>175</v>
      </c>
      <c r="B15" s="316" t="s">
        <v>176</v>
      </c>
      <c r="C15" s="316" t="s">
        <v>177</v>
      </c>
      <c r="D15" s="316" t="s">
        <v>178</v>
      </c>
      <c r="E15" s="316" t="s">
        <v>179</v>
      </c>
      <c r="F15" s="316" t="s">
        <v>180</v>
      </c>
      <c r="G15" s="316" t="s">
        <v>181</v>
      </c>
      <c r="H15" s="316" t="s">
        <v>182</v>
      </c>
      <c r="I15" s="316" t="s">
        <v>183</v>
      </c>
      <c r="J15" s="316" t="s">
        <v>184</v>
      </c>
      <c r="K15" s="316" t="s">
        <v>185</v>
      </c>
      <c r="L15" s="316" t="s">
        <v>186</v>
      </c>
      <c r="M15" s="316" t="s">
        <v>187</v>
      </c>
      <c r="N15" s="339" t="s">
        <v>197</v>
      </c>
      <c r="O15" s="339" t="s">
        <v>198</v>
      </c>
      <c r="P15" s="339" t="s">
        <v>199</v>
      </c>
      <c r="Q15" s="316" t="s">
        <v>200</v>
      </c>
      <c r="R15" s="317" t="s">
        <v>188</v>
      </c>
      <c r="S15" s="316" t="s">
        <v>189</v>
      </c>
      <c r="T15" s="316" t="s">
        <v>190</v>
      </c>
      <c r="U15" s="316" t="s">
        <v>191</v>
      </c>
    </row>
    <row r="16" spans="1:23" x14ac:dyDescent="0.25">
      <c r="A16" s="319">
        <v>1</v>
      </c>
      <c r="B16" s="319" t="s">
        <v>192</v>
      </c>
      <c r="C16" s="320">
        <v>680800</v>
      </c>
      <c r="D16" s="321">
        <v>806400</v>
      </c>
      <c r="E16" s="321">
        <v>858600</v>
      </c>
      <c r="F16" s="321">
        <v>898100</v>
      </c>
      <c r="G16" s="321">
        <v>26100</v>
      </c>
      <c r="H16" s="321">
        <v>513200</v>
      </c>
      <c r="I16" s="321">
        <v>119200</v>
      </c>
      <c r="J16" s="321">
        <v>208900</v>
      </c>
      <c r="K16" s="321">
        <v>147700</v>
      </c>
      <c r="L16" s="321">
        <v>425800</v>
      </c>
      <c r="M16" s="321">
        <v>347900</v>
      </c>
      <c r="N16" s="321">
        <v>459100</v>
      </c>
      <c r="O16" s="321">
        <v>509200</v>
      </c>
      <c r="P16" s="321">
        <v>396700</v>
      </c>
      <c r="Q16" s="321">
        <v>20200</v>
      </c>
      <c r="R16" s="322">
        <f>SUM(C16:Q16)</f>
        <v>6417900</v>
      </c>
      <c r="S16" s="348">
        <f>5745000+14073+R19</f>
        <v>7292813</v>
      </c>
      <c r="T16" s="2484"/>
      <c r="U16" s="2484"/>
    </row>
    <row r="17" spans="1:23" x14ac:dyDescent="0.25">
      <c r="A17" s="319">
        <v>2</v>
      </c>
      <c r="B17" s="319" t="s">
        <v>193</v>
      </c>
      <c r="C17" s="320">
        <v>722400</v>
      </c>
      <c r="D17" s="321">
        <v>826700</v>
      </c>
      <c r="E17" s="321">
        <v>980700</v>
      </c>
      <c r="F17" s="321">
        <v>980600</v>
      </c>
      <c r="G17" s="321">
        <v>19900</v>
      </c>
      <c r="H17" s="321">
        <v>582000</v>
      </c>
      <c r="I17" s="321">
        <v>150500</v>
      </c>
      <c r="J17" s="321">
        <v>215300</v>
      </c>
      <c r="K17" s="344">
        <v>70837</v>
      </c>
      <c r="L17" s="344">
        <v>488153</v>
      </c>
      <c r="M17" s="344">
        <v>379337</v>
      </c>
      <c r="N17" s="321">
        <v>502200</v>
      </c>
      <c r="O17" s="321">
        <v>535800</v>
      </c>
      <c r="P17" s="321">
        <v>412600</v>
      </c>
      <c r="Q17" s="321">
        <v>92100</v>
      </c>
      <c r="R17" s="322">
        <f>SUM(C17:Q17)</f>
        <v>6959127</v>
      </c>
      <c r="S17" s="349">
        <f>SUM(C17:M17)+R20</f>
        <v>6940126</v>
      </c>
      <c r="T17" s="323">
        <f>R17/R16</f>
        <v>1.0843308558874398</v>
      </c>
      <c r="U17" s="323">
        <f>S17/S16</f>
        <v>0.95163910002902863</v>
      </c>
      <c r="W17" s="321">
        <f>4984655+R20</f>
        <v>6508354</v>
      </c>
    </row>
    <row r="18" spans="1:23" x14ac:dyDescent="0.25">
      <c r="A18" s="319">
        <v>3</v>
      </c>
      <c r="B18" s="319" t="s">
        <v>64</v>
      </c>
      <c r="C18" s="320">
        <v>37300</v>
      </c>
      <c r="D18" s="321">
        <v>38700</v>
      </c>
      <c r="E18" s="321">
        <v>49500</v>
      </c>
      <c r="F18" s="321">
        <v>47100</v>
      </c>
      <c r="G18" s="321">
        <v>3800</v>
      </c>
      <c r="H18" s="321">
        <v>30300</v>
      </c>
      <c r="I18" s="321">
        <v>9300</v>
      </c>
      <c r="J18" s="321">
        <v>14000</v>
      </c>
      <c r="K18" s="321">
        <v>14800</v>
      </c>
      <c r="L18" s="321">
        <v>25100</v>
      </c>
      <c r="M18" s="321">
        <v>23400</v>
      </c>
      <c r="N18" s="321">
        <v>23900</v>
      </c>
      <c r="O18" s="321">
        <v>26800</v>
      </c>
      <c r="P18" s="321">
        <v>22200</v>
      </c>
      <c r="Q18" s="321">
        <v>5900</v>
      </c>
      <c r="R18" s="322">
        <f>SUM(C18:Q18)</f>
        <v>372100</v>
      </c>
      <c r="S18" s="349">
        <f>248746+R21</f>
        <v>322377</v>
      </c>
      <c r="T18" s="323">
        <f>R18/R16</f>
        <v>5.7978466476573336E-2</v>
      </c>
      <c r="U18" s="323">
        <f>S18/S16</f>
        <v>4.4204753364716742E-2</v>
      </c>
    </row>
    <row r="19" spans="1:23" x14ac:dyDescent="0.25">
      <c r="A19" s="324"/>
      <c r="B19" s="324"/>
      <c r="C19" s="347">
        <f>C17/C16</f>
        <v>1.0611045828437133</v>
      </c>
      <c r="D19" s="347">
        <f t="shared" ref="D19:K19" si="3">D17/D16</f>
        <v>1.0251736111111112</v>
      </c>
      <c r="E19" s="347">
        <f t="shared" si="3"/>
        <v>1.1422082459818308</v>
      </c>
      <c r="F19" s="347">
        <f t="shared" si="3"/>
        <v>1.091860594588576</v>
      </c>
      <c r="G19" s="347">
        <f t="shared" si="3"/>
        <v>0.76245210727969348</v>
      </c>
      <c r="H19" s="347">
        <f t="shared" si="3"/>
        <v>1.1340607950116914</v>
      </c>
      <c r="I19" s="347">
        <f t="shared" si="3"/>
        <v>1.2625838926174497</v>
      </c>
      <c r="J19" s="347">
        <f t="shared" si="3"/>
        <v>1.0306366682623265</v>
      </c>
      <c r="K19" s="347">
        <f t="shared" si="3"/>
        <v>0.47960054163845633</v>
      </c>
      <c r="L19" s="335">
        <v>269515</v>
      </c>
      <c r="M19" s="325" t="s">
        <v>201</v>
      </c>
      <c r="N19" s="336">
        <v>534002</v>
      </c>
      <c r="O19" s="337">
        <v>568773</v>
      </c>
      <c r="P19" s="337">
        <v>430750</v>
      </c>
      <c r="Q19" s="337">
        <v>269300</v>
      </c>
      <c r="R19" s="326">
        <f>L19+N19+O19+P19-Q19</f>
        <v>1533740</v>
      </c>
      <c r="S19" s="326"/>
      <c r="U19" s="327">
        <f>100%-U17-U18</f>
        <v>4.1561466062546293E-3</v>
      </c>
      <c r="V19" t="s">
        <v>194</v>
      </c>
    </row>
    <row r="20" spans="1:23" x14ac:dyDescent="0.25">
      <c r="A20" s="324"/>
      <c r="B20" s="324"/>
      <c r="C20" s="325"/>
      <c r="M20" s="325" t="s">
        <v>193</v>
      </c>
      <c r="N20" s="336">
        <v>492952</v>
      </c>
      <c r="O20" s="337">
        <v>532902</v>
      </c>
      <c r="P20" s="337">
        <v>497845</v>
      </c>
      <c r="Q20" s="337"/>
      <c r="R20" s="326">
        <f>SUM(N20:P20)</f>
        <v>1523699</v>
      </c>
    </row>
    <row r="21" spans="1:23" x14ac:dyDescent="0.25">
      <c r="A21" s="324"/>
      <c r="B21" s="324"/>
      <c r="C21" s="325"/>
      <c r="M21" s="325"/>
      <c r="N21" s="363">
        <v>27655</v>
      </c>
      <c r="O21" s="337">
        <v>25803</v>
      </c>
      <c r="P21" s="337">
        <v>20173</v>
      </c>
      <c r="Q21" s="337"/>
      <c r="R21" s="326">
        <f>SUM(N21:P21)</f>
        <v>73631</v>
      </c>
    </row>
    <row r="22" spans="1:23" ht="19.5" x14ac:dyDescent="0.3">
      <c r="A22" s="314"/>
      <c r="B22" s="346" t="s">
        <v>208</v>
      </c>
      <c r="C22" s="2488" t="s">
        <v>209</v>
      </c>
      <c r="D22" s="2488"/>
      <c r="E22" s="2488"/>
      <c r="F22" s="2488"/>
      <c r="G22" s="2488"/>
      <c r="H22" s="2488"/>
      <c r="I22" s="2488"/>
      <c r="J22" s="2488"/>
      <c r="K22" s="2488"/>
      <c r="L22" s="2488"/>
      <c r="M22" s="325"/>
      <c r="N22" s="345"/>
      <c r="O22" s="345"/>
      <c r="P22" s="338"/>
      <c r="Q22" s="338"/>
      <c r="R22" s="326"/>
    </row>
    <row r="23" spans="1:23" ht="19.5" x14ac:dyDescent="0.3">
      <c r="A23" s="314"/>
      <c r="B23" s="314"/>
      <c r="C23" s="2489" t="s">
        <v>210</v>
      </c>
      <c r="D23" s="2489"/>
      <c r="E23" s="2489"/>
      <c r="F23" s="2489"/>
      <c r="G23" s="2489"/>
      <c r="H23" s="2489"/>
      <c r="I23" s="2489"/>
      <c r="J23" s="2489"/>
      <c r="K23" s="2489"/>
      <c r="L23" s="2489"/>
      <c r="M23" s="325"/>
      <c r="N23" s="345"/>
      <c r="O23" s="345"/>
      <c r="P23" s="338"/>
      <c r="Q23" s="338"/>
      <c r="R23" s="326"/>
    </row>
    <row r="24" spans="1:23" ht="19.5" x14ac:dyDescent="0.3">
      <c r="A24" s="314"/>
      <c r="B24" s="314"/>
      <c r="C24" s="2489" t="s">
        <v>211</v>
      </c>
      <c r="D24" s="2489"/>
      <c r="E24" s="2489"/>
      <c r="F24" s="2489"/>
      <c r="G24" s="2489"/>
      <c r="H24" s="2489"/>
      <c r="I24" s="2489"/>
      <c r="J24" s="2489"/>
      <c r="K24" s="324"/>
      <c r="L24" s="324"/>
      <c r="M24" s="325"/>
      <c r="N24" s="345"/>
      <c r="O24" s="345"/>
      <c r="P24" s="338"/>
      <c r="Q24" s="338"/>
      <c r="R24" s="326"/>
    </row>
    <row r="25" spans="1:23" ht="19.5" x14ac:dyDescent="0.3">
      <c r="A25" s="2485" t="s">
        <v>195</v>
      </c>
      <c r="B25" s="2485"/>
      <c r="C25" s="315"/>
      <c r="D25" s="315"/>
      <c r="E25" s="315"/>
      <c r="F25" s="315"/>
      <c r="G25" s="315"/>
      <c r="H25" s="314"/>
      <c r="I25" s="315"/>
      <c r="J25" s="315"/>
      <c r="K25" s="315"/>
      <c r="L25" s="315"/>
      <c r="M25" s="325"/>
      <c r="N25" s="338"/>
      <c r="O25" s="338"/>
      <c r="P25" s="338"/>
      <c r="Q25" s="338"/>
      <c r="R25" s="326"/>
    </row>
    <row r="26" spans="1:23" ht="15.75" x14ac:dyDescent="0.25">
      <c r="A26" s="2299" t="s">
        <v>174</v>
      </c>
      <c r="B26" s="2299"/>
      <c r="C26" s="2299"/>
      <c r="D26" s="2299"/>
      <c r="E26" s="2299"/>
      <c r="F26" s="2299"/>
      <c r="G26" s="2299"/>
      <c r="H26" s="2299"/>
      <c r="I26" s="2299"/>
      <c r="J26" s="2299"/>
      <c r="K26" s="2299"/>
      <c r="L26" s="2299"/>
      <c r="M26" s="2299"/>
      <c r="N26" s="2299"/>
      <c r="O26" s="2299"/>
      <c r="P26" s="2299"/>
      <c r="Q26" s="2299"/>
      <c r="R26" s="2299"/>
      <c r="S26" s="2299"/>
      <c r="T26" s="2299"/>
    </row>
    <row r="27" spans="1:23" s="318" customFormat="1" ht="38.85" customHeight="1" x14ac:dyDescent="0.25">
      <c r="A27" s="316" t="s">
        <v>175</v>
      </c>
      <c r="B27" s="316" t="s">
        <v>176</v>
      </c>
      <c r="C27" s="316" t="s">
        <v>177</v>
      </c>
      <c r="D27" s="316" t="s">
        <v>178</v>
      </c>
      <c r="E27" s="316" t="s">
        <v>179</v>
      </c>
      <c r="F27" s="316" t="s">
        <v>180</v>
      </c>
      <c r="G27" s="316" t="s">
        <v>181</v>
      </c>
      <c r="H27" s="316" t="s">
        <v>182</v>
      </c>
      <c r="I27" s="316" t="s">
        <v>183</v>
      </c>
      <c r="J27" s="316" t="s">
        <v>184</v>
      </c>
      <c r="K27" s="316" t="s">
        <v>185</v>
      </c>
      <c r="L27" s="316" t="s">
        <v>186</v>
      </c>
      <c r="M27" s="316" t="s">
        <v>187</v>
      </c>
      <c r="N27" s="316" t="s">
        <v>197</v>
      </c>
      <c r="O27" s="316" t="s">
        <v>198</v>
      </c>
      <c r="P27" s="316" t="s">
        <v>199</v>
      </c>
      <c r="Q27" s="316" t="s">
        <v>200</v>
      </c>
      <c r="R27" s="317" t="s">
        <v>188</v>
      </c>
      <c r="S27" s="316" t="s">
        <v>189</v>
      </c>
      <c r="T27" s="316" t="s">
        <v>128</v>
      </c>
    </row>
    <row r="28" spans="1:23" s="332" customFormat="1" ht="15" customHeight="1" x14ac:dyDescent="0.25">
      <c r="A28" s="316">
        <v>1</v>
      </c>
      <c r="B28" s="328" t="s">
        <v>193</v>
      </c>
      <c r="C28" s="329">
        <v>667300</v>
      </c>
      <c r="D28" s="329">
        <v>695000</v>
      </c>
      <c r="E28" s="329">
        <v>814100</v>
      </c>
      <c r="F28" s="329">
        <v>760000</v>
      </c>
      <c r="G28" s="329">
        <v>620300</v>
      </c>
      <c r="H28" s="329">
        <v>587100</v>
      </c>
      <c r="I28" s="329">
        <v>118500</v>
      </c>
      <c r="J28" s="329">
        <v>0</v>
      </c>
      <c r="K28" s="329">
        <v>253000</v>
      </c>
      <c r="L28" s="329">
        <v>0</v>
      </c>
      <c r="M28" s="329">
        <v>466900</v>
      </c>
      <c r="N28" s="329">
        <v>258400</v>
      </c>
      <c r="O28" s="329">
        <v>584400</v>
      </c>
      <c r="P28" s="329">
        <v>680200</v>
      </c>
      <c r="Q28" s="329"/>
      <c r="R28" s="330">
        <f>SUM(C28:Q28)</f>
        <v>6505200</v>
      </c>
      <c r="S28" s="330"/>
      <c r="T28" s="331"/>
    </row>
    <row r="29" spans="1:23" x14ac:dyDescent="0.25">
      <c r="A29" s="316">
        <v>2</v>
      </c>
      <c r="B29" s="319" t="s">
        <v>196</v>
      </c>
      <c r="C29" s="320">
        <v>518400</v>
      </c>
      <c r="D29" s="333">
        <v>487200</v>
      </c>
      <c r="E29" s="333">
        <v>539100</v>
      </c>
      <c r="F29" s="333">
        <v>571900</v>
      </c>
      <c r="G29" s="333">
        <v>554300</v>
      </c>
      <c r="H29" s="333">
        <v>449900</v>
      </c>
      <c r="I29" s="333">
        <v>209900</v>
      </c>
      <c r="J29" s="333">
        <v>0</v>
      </c>
      <c r="K29" s="333">
        <v>297100</v>
      </c>
      <c r="L29" s="333">
        <v>0</v>
      </c>
      <c r="M29" s="320">
        <v>472500</v>
      </c>
      <c r="N29" s="320">
        <v>207400</v>
      </c>
      <c r="O29" s="320">
        <v>239100</v>
      </c>
      <c r="P29" s="320">
        <v>414100</v>
      </c>
      <c r="Q29" s="320"/>
      <c r="R29" s="330">
        <f>SUM(C29:Q29)</f>
        <v>4960900</v>
      </c>
      <c r="S29" s="334"/>
      <c r="T29" s="334"/>
    </row>
    <row r="30" spans="1:23" x14ac:dyDescent="0.25">
      <c r="A30" s="316">
        <v>3</v>
      </c>
      <c r="B30" s="319" t="s">
        <v>73</v>
      </c>
      <c r="C30" s="320">
        <v>207500</v>
      </c>
      <c r="D30" s="333">
        <v>202900</v>
      </c>
      <c r="E30" s="333">
        <v>215500</v>
      </c>
      <c r="F30" s="333">
        <f>27400+151100+55600</f>
        <v>234100</v>
      </c>
      <c r="G30" s="333">
        <v>213300</v>
      </c>
      <c r="H30" s="333">
        <v>183700</v>
      </c>
      <c r="I30" s="333">
        <v>104800</v>
      </c>
      <c r="J30" s="333">
        <v>0</v>
      </c>
      <c r="K30" s="333">
        <v>93900</v>
      </c>
      <c r="L30" s="333">
        <v>0</v>
      </c>
      <c r="M30" s="320">
        <v>172400</v>
      </c>
      <c r="N30" s="320">
        <v>111100</v>
      </c>
      <c r="O30" s="320">
        <v>81200</v>
      </c>
      <c r="P30" s="320">
        <v>193200</v>
      </c>
      <c r="Q30" s="320"/>
      <c r="R30" s="330">
        <f>SUM(C30:Q30)</f>
        <v>2013600</v>
      </c>
      <c r="S30" s="334"/>
      <c r="T30" s="334"/>
    </row>
    <row r="31" spans="1:23" x14ac:dyDescent="0.25">
      <c r="A31" s="318"/>
      <c r="B31" s="324"/>
      <c r="C31" s="340"/>
      <c r="D31" s="341"/>
      <c r="E31" s="341"/>
      <c r="F31" s="341"/>
      <c r="G31" s="341"/>
      <c r="H31" s="341"/>
      <c r="I31" s="341"/>
      <c r="J31" s="341"/>
      <c r="K31" s="341"/>
      <c r="L31" s="341"/>
      <c r="M31" s="340"/>
      <c r="N31" s="340"/>
      <c r="O31" s="340"/>
      <c r="P31" s="340"/>
      <c r="Q31" s="340"/>
      <c r="R31" s="342"/>
      <c r="S31" s="343"/>
      <c r="T31" s="343"/>
    </row>
    <row r="32" spans="1:23" x14ac:dyDescent="0.25">
      <c r="O32" s="2490" t="s">
        <v>202</v>
      </c>
      <c r="P32" s="2490"/>
      <c r="Q32" s="2490"/>
      <c r="R32" s="335">
        <f>1311190</f>
        <v>1311190</v>
      </c>
      <c r="S32" s="335"/>
    </row>
    <row r="33" spans="2:19" x14ac:dyDescent="0.25">
      <c r="B33" s="319"/>
      <c r="O33" s="2490" t="s">
        <v>203</v>
      </c>
      <c r="P33" s="2490"/>
      <c r="Q33" s="2490"/>
      <c r="R33" s="335">
        <v>3865830</v>
      </c>
      <c r="S33" s="335"/>
    </row>
    <row r="34" spans="2:19" x14ac:dyDescent="0.25">
      <c r="O34" s="2490" t="s">
        <v>204</v>
      </c>
      <c r="P34" s="2490"/>
      <c r="Q34" s="2490"/>
      <c r="R34" s="335">
        <v>1888995</v>
      </c>
      <c r="S34" s="335"/>
    </row>
    <row r="35" spans="2:19" x14ac:dyDescent="0.25">
      <c r="O35" s="2490" t="s">
        <v>205</v>
      </c>
      <c r="P35" s="2490"/>
      <c r="Q35" s="2490"/>
      <c r="R35" s="335">
        <v>1320540.5602713902</v>
      </c>
      <c r="S35" s="335"/>
    </row>
    <row r="36" spans="2:19" x14ac:dyDescent="0.25">
      <c r="O36" s="361"/>
      <c r="P36" s="361"/>
      <c r="Q36" s="361"/>
      <c r="R36" s="335">
        <f>R32+R33+R34-R35</f>
        <v>5745474.4397286102</v>
      </c>
      <c r="S36" s="335"/>
    </row>
    <row r="37" spans="2:19" x14ac:dyDescent="0.25">
      <c r="O37" s="361"/>
      <c r="P37" s="361"/>
      <c r="Q37" s="361"/>
      <c r="R37" s="335"/>
      <c r="S37" s="335"/>
    </row>
    <row r="38" spans="2:19" x14ac:dyDescent="0.25">
      <c r="O38" s="2489" t="s">
        <v>206</v>
      </c>
      <c r="P38" s="2489"/>
      <c r="Q38" s="2489"/>
      <c r="R38" s="335">
        <v>178489.21760545607</v>
      </c>
      <c r="S38" s="335"/>
    </row>
    <row r="39" spans="2:19" x14ac:dyDescent="0.25">
      <c r="O39" s="2489" t="s">
        <v>207</v>
      </c>
      <c r="P39" s="2489"/>
      <c r="Q39" s="2489"/>
      <c r="R39" s="335">
        <f>SUM(C28:M28)</f>
        <v>4982200</v>
      </c>
      <c r="S39" s="335"/>
    </row>
    <row r="40" spans="2:19" x14ac:dyDescent="0.25">
      <c r="O40" s="2489" t="s">
        <v>205</v>
      </c>
      <c r="P40" s="2489"/>
      <c r="Q40" s="2489"/>
      <c r="R40" s="335"/>
      <c r="S40" s="335"/>
    </row>
    <row r="41" spans="2:19" x14ac:dyDescent="0.25">
      <c r="R41" s="335"/>
      <c r="S41" s="335"/>
    </row>
    <row r="42" spans="2:19" x14ac:dyDescent="0.25">
      <c r="R42" s="335"/>
      <c r="S42" s="335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28</vt:i4>
      </vt:variant>
      <vt:variant>
        <vt:lpstr>Rentang Bernama</vt:lpstr>
      </vt:variant>
      <vt:variant>
        <vt:i4>6</vt:i4>
      </vt:variant>
    </vt:vector>
  </HeadingPairs>
  <TitlesOfParts>
    <vt:vector size="34" baseType="lpstr">
      <vt:lpstr>JULI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OIP Refinery </vt:lpstr>
      <vt:lpstr>Oip Fract .</vt:lpstr>
      <vt:lpstr>2025</vt:lpstr>
      <vt:lpstr>Prod</vt:lpstr>
      <vt:lpstr>Utility</vt:lpstr>
      <vt:lpstr>Qty cons analysis</vt:lpstr>
      <vt:lpstr>Downtime Ref Juli</vt:lpstr>
      <vt:lpstr>Downtime Fract Juli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Juli'!Print_Area</vt:lpstr>
      <vt:lpstr>'Downtime Ref Juli'!Print_Area</vt:lpstr>
      <vt:lpstr>'JULI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2025-08-15T08:19:36Z</cp:lastPrinted>
  <dcterms:created xsi:type="dcterms:W3CDTF">2022-09-06T08:59:53Z</dcterms:created>
  <dcterms:modified xsi:type="dcterms:W3CDTF">2025-11-05T09:31:23Z</dcterms:modified>
</cp:coreProperties>
</file>