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620" tabRatio="827" firstSheet="3" activeTab="3"/>
  </bookViews>
  <sheets>
    <sheet name="TWSS" sheetId="8" r:id="rId1"/>
    <sheet name="Assumptions" sheetId="1" r:id="rId2"/>
    <sheet name="Monthly Revenue" sheetId="19" r:id="rId3"/>
    <sheet name="Monthly P and L" sheetId="11" r:id="rId4"/>
    <sheet name="Capital Structure" sheetId="13" r:id="rId5"/>
    <sheet name="Fixed Asset schedule" sheetId="14" r:id="rId6"/>
    <sheet name="Working Capital" sheetId="15" r:id="rId7"/>
    <sheet name="Annual Pand L" sheetId="16" r:id="rId8"/>
    <sheet name="Cash Flow" sheetId="17" r:id="rId9"/>
    <sheet name="Balance Sheet" sheetId="18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a" localSheetId="2">#REF!</definedName>
    <definedName name="a">#REF!</definedName>
    <definedName name="ACwvu.REPORT." localSheetId="2">#REF!</definedName>
    <definedName name="ACwvu.REPORT.">#REF!</definedName>
    <definedName name="anscount" hidden="1">1</definedName>
    <definedName name="area">'[1]Assumptions Spa Resort 1'!$D$92</definedName>
    <definedName name="b">'[1]Bal Sh Spa Resort 1'!$H$22</definedName>
    <definedName name="BLPH1" localSheetId="2">#REF!</definedName>
    <definedName name="BLPH1">#REF!</definedName>
    <definedName name="BLPH2" localSheetId="2">#REF!</definedName>
    <definedName name="BLPH2">#REF!</definedName>
    <definedName name="circ" localSheetId="2">#REF!</definedName>
    <definedName name="circ">#REF!</definedName>
    <definedName name="cur">#REF!</definedName>
    <definedName name="den">#REF!</definedName>
    <definedName name="f" localSheetId="2">#REF!</definedName>
    <definedName name="f">#REF!</definedName>
    <definedName name="FUNDFLOW" localSheetId="2">'[2]DETAIL SALES HASINA'!#REF!</definedName>
    <definedName name="FUNDFLOW">'[2]DETAIL SALES HASINA'!#REF!</definedName>
    <definedName name="inCR">10000000</definedName>
    <definedName name="inMN" localSheetId="2">#REF!</definedName>
    <definedName name="inMN">#REF!</definedName>
    <definedName name="k" localSheetId="2">#REF!</definedName>
    <definedName name="k">#REF!</definedName>
    <definedName name="Lakh">[3]Assumptions!$C$10</definedName>
    <definedName name="list1">'[4]WB 1'!$A$1:$E$1</definedName>
    <definedName name="M" localSheetId="2">#REF!</definedName>
    <definedName name="M">#REF!</definedName>
    <definedName name="million">[5]Assumptions!$D$7</definedName>
    <definedName name="n" localSheetId="2">#REF!</definedName>
    <definedName name="n">#REF!</definedName>
    <definedName name="OP" localSheetId="2">#REF!</definedName>
    <definedName name="OP">#REF!</definedName>
    <definedName name="p">'[1]Assumptions Spa Resort 1'!$A$1</definedName>
    <definedName name="po" localSheetId="2">#REF!</definedName>
    <definedName name="po">#REF!</definedName>
    <definedName name="pr" localSheetId="2">#REF!</definedName>
    <definedName name="pr">#REF!</definedName>
    <definedName name="presnt" localSheetId="2">#REF!</definedName>
    <definedName name="presnt">#REF!</definedName>
    <definedName name="_xlnm.Print_Area" localSheetId="2">#REF!</definedName>
    <definedName name="_xlnm.Print_Area">#REF!</definedName>
    <definedName name="PRINT_AREA_MI" localSheetId="2">#REF!</definedName>
    <definedName name="PRINT_AREA_MI">#REF!</definedName>
    <definedName name="PROJCOST" localSheetId="2">'[2]DETAIL SALES HASINA'!#REF!</definedName>
    <definedName name="PROJCOST">'[2]DETAIL SALES HASINA'!#REF!</definedName>
    <definedName name="PROJMEANS" localSheetId="2">'[2]DETAIL SALES HASINA'!#REF!</definedName>
    <definedName name="PROJMEANS">'[2]DETAIL SALES HASINA'!#REF!</definedName>
    <definedName name="q" localSheetId="2">#REF!</definedName>
    <definedName name="q">#REF!</definedName>
    <definedName name="s" localSheetId="2">#REF!</definedName>
    <definedName name="s">#REF!</definedName>
    <definedName name="Swvu.REPORT." localSheetId="2">#REF!</definedName>
    <definedName name="Swvu.REPORT.">#REF!</definedName>
    <definedName name="TY" localSheetId="2">#REF!</definedName>
    <definedName name="TY">#REF!</definedName>
    <definedName name="WCASSESMENT" localSheetId="2">'[2]DETAIL SALES HASINA'!#REF!</definedName>
    <definedName name="WCASSESMENT">'[2]DETAIL SALES HASINA'!#REF!</definedName>
    <definedName name="wrn.ALL." localSheetId="2">#REF!</definedName>
    <definedName name="wrn.ALL.">#REF!</definedName>
    <definedName name="wrn.Complete._.Report." localSheetId="2">#REF!</definedName>
    <definedName name="wrn.Complete._.Report.">#REF!</definedName>
    <definedName name="wrn.CompleteReport." localSheetId="2">#REF!</definedName>
    <definedName name="wrn.CompleteReport.">#REF!</definedName>
    <definedName name="wrn.FINANCIALS." localSheetId="2">#REF!</definedName>
    <definedName name="wrn.FINANCIALS.">#REF!</definedName>
    <definedName name="wrn.TRAFFIC." localSheetId="2">#REF!</definedName>
    <definedName name="wrn.TRAFFIC.">#REF!</definedName>
    <definedName name="wvu.REPORT." localSheetId="2">#REF!</definedName>
    <definedName name="wvu.REPORT.">#REF!</definedName>
  </definedNames>
  <calcPr calcId="162913" iterateCount="50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66" i="19" l="1"/>
  <c r="AM66" i="19"/>
  <c r="AL66" i="19"/>
  <c r="AK66" i="19"/>
  <c r="AJ66" i="19"/>
  <c r="AI66" i="19"/>
  <c r="AH66" i="19"/>
  <c r="AG66" i="19"/>
  <c r="AF66" i="19"/>
  <c r="AE66" i="19"/>
  <c r="AD66" i="19"/>
  <c r="AC66" i="19"/>
  <c r="AB66" i="19"/>
  <c r="AA66" i="19"/>
  <c r="Z66" i="19"/>
  <c r="Y66" i="19"/>
  <c r="X66" i="19"/>
  <c r="W66" i="19"/>
  <c r="V66" i="19"/>
  <c r="U66" i="19"/>
  <c r="T66" i="19"/>
  <c r="S66" i="19"/>
  <c r="R66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AN65" i="19"/>
  <c r="AM65" i="19"/>
  <c r="AL65" i="19"/>
  <c r="AK65" i="19"/>
  <c r="AJ65" i="19"/>
  <c r="AI65" i="19"/>
  <c r="AH65" i="19"/>
  <c r="AG65" i="19"/>
  <c r="AF65" i="19"/>
  <c r="AE65" i="19"/>
  <c r="AD65" i="19"/>
  <c r="AC65" i="19"/>
  <c r="AB65" i="19"/>
  <c r="AA65" i="19"/>
  <c r="Z65" i="19"/>
  <c r="Y65" i="19"/>
  <c r="X65" i="19"/>
  <c r="W65" i="19"/>
  <c r="V65" i="19"/>
  <c r="U65" i="19"/>
  <c r="T65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AN64" i="19"/>
  <c r="AM64" i="19"/>
  <c r="AL64" i="19"/>
  <c r="AK64" i="19"/>
  <c r="AJ64" i="19"/>
  <c r="AI64" i="19"/>
  <c r="AH64" i="19"/>
  <c r="AG64" i="19"/>
  <c r="AF64" i="19"/>
  <c r="AE64" i="19"/>
  <c r="AD64" i="19"/>
  <c r="AC64" i="19"/>
  <c r="AB64" i="19"/>
  <c r="AA64" i="19"/>
  <c r="Z64" i="19"/>
  <c r="Y64" i="19"/>
  <c r="X64" i="19"/>
  <c r="W64" i="19"/>
  <c r="V64" i="19"/>
  <c r="U64" i="19"/>
  <c r="T64" i="19"/>
  <c r="S64" i="19"/>
  <c r="R64" i="19"/>
  <c r="Q64" i="19"/>
  <c r="P64" i="19"/>
  <c r="O64" i="19"/>
  <c r="N64" i="19"/>
  <c r="M64" i="19"/>
  <c r="L64" i="19"/>
  <c r="K64" i="19"/>
  <c r="J64" i="19"/>
  <c r="I64" i="19"/>
  <c r="H64" i="19"/>
  <c r="G64" i="19"/>
  <c r="F64" i="19"/>
  <c r="E64" i="19"/>
  <c r="AN61" i="19"/>
  <c r="AM61" i="19"/>
  <c r="AL61" i="19"/>
  <c r="AK61" i="19"/>
  <c r="AJ61" i="19"/>
  <c r="AI61" i="19"/>
  <c r="AH61" i="19"/>
  <c r="AG61" i="19"/>
  <c r="AG62" i="19" s="1"/>
  <c r="AF61" i="19"/>
  <c r="AE61" i="19"/>
  <c r="AD61" i="19"/>
  <c r="AC61" i="19"/>
  <c r="AC62" i="19" s="1"/>
  <c r="AB61" i="19"/>
  <c r="AA61" i="19"/>
  <c r="Z61" i="19"/>
  <c r="Y61" i="19"/>
  <c r="Y62" i="19" s="1"/>
  <c r="X61" i="19"/>
  <c r="W61" i="19"/>
  <c r="V61" i="19"/>
  <c r="U61" i="19"/>
  <c r="T61" i="19"/>
  <c r="S61" i="19"/>
  <c r="R61" i="19"/>
  <c r="Q61" i="19"/>
  <c r="Q62" i="19" s="1"/>
  <c r="P61" i="19"/>
  <c r="O61" i="19"/>
  <c r="N61" i="19"/>
  <c r="M61" i="19"/>
  <c r="M62" i="19" s="1"/>
  <c r="L61" i="19"/>
  <c r="K61" i="19"/>
  <c r="J61" i="19"/>
  <c r="I61" i="19"/>
  <c r="I62" i="19" s="1"/>
  <c r="H61" i="19"/>
  <c r="G61" i="19"/>
  <c r="F61" i="19"/>
  <c r="E61" i="19"/>
  <c r="AN60" i="19"/>
  <c r="AM60" i="19"/>
  <c r="AL60" i="19"/>
  <c r="AL62" i="19" s="1"/>
  <c r="AK60" i="19"/>
  <c r="AJ60" i="19"/>
  <c r="AI60" i="19"/>
  <c r="AH60" i="19"/>
  <c r="AH62" i="19" s="1"/>
  <c r="AG60" i="19"/>
  <c r="AF60" i="19"/>
  <c r="AE60" i="19"/>
  <c r="AD60" i="19"/>
  <c r="AD62" i="19" s="1"/>
  <c r="AC60" i="19"/>
  <c r="AB60" i="19"/>
  <c r="AA60" i="19"/>
  <c r="Z60" i="19"/>
  <c r="Z62" i="19" s="1"/>
  <c r="Y60" i="19"/>
  <c r="X60" i="19"/>
  <c r="W60" i="19"/>
  <c r="V60" i="19"/>
  <c r="V62" i="19" s="1"/>
  <c r="U60" i="19"/>
  <c r="T60" i="19"/>
  <c r="S60" i="19"/>
  <c r="R60" i="19"/>
  <c r="R62" i="19" s="1"/>
  <c r="Q60" i="19"/>
  <c r="P60" i="19"/>
  <c r="O60" i="19"/>
  <c r="N60" i="19"/>
  <c r="N62" i="19" s="1"/>
  <c r="M60" i="19"/>
  <c r="L60" i="19"/>
  <c r="K60" i="19"/>
  <c r="J60" i="19"/>
  <c r="J62" i="19" s="1"/>
  <c r="I60" i="19"/>
  <c r="H60" i="19"/>
  <c r="G60" i="19"/>
  <c r="F60" i="19"/>
  <c r="F62" i="19" s="1"/>
  <c r="E60" i="19"/>
  <c r="AN59" i="19"/>
  <c r="AM59" i="19"/>
  <c r="AL59" i="19"/>
  <c r="AK59" i="19"/>
  <c r="AJ59" i="19"/>
  <c r="AI59" i="19"/>
  <c r="AH59" i="19"/>
  <c r="AG59" i="19"/>
  <c r="AF59" i="19"/>
  <c r="AE59" i="19"/>
  <c r="AD59" i="19"/>
  <c r="AC59" i="19"/>
  <c r="AB59" i="19"/>
  <c r="AA59" i="19"/>
  <c r="Z59" i="19"/>
  <c r="Y59" i="19"/>
  <c r="X59" i="19"/>
  <c r="W59" i="19"/>
  <c r="V59" i="19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Z54" i="19"/>
  <c r="AA54" i="19"/>
  <c r="AB54" i="19"/>
  <c r="AC54" i="19"/>
  <c r="AD54" i="19"/>
  <c r="AE54" i="19"/>
  <c r="AF54" i="19"/>
  <c r="AG54" i="19"/>
  <c r="AH54" i="19"/>
  <c r="AI54" i="19"/>
  <c r="AJ54" i="19"/>
  <c r="AK54" i="19"/>
  <c r="AL54" i="19"/>
  <c r="AM54" i="19"/>
  <c r="AN54" i="19"/>
  <c r="E55" i="19"/>
  <c r="E56" i="19" s="1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Y55" i="19"/>
  <c r="Z55" i="19"/>
  <c r="AA55" i="19"/>
  <c r="AB55" i="19"/>
  <c r="AC55" i="19"/>
  <c r="AD55" i="19"/>
  <c r="AE55" i="19"/>
  <c r="AF55" i="19"/>
  <c r="AG55" i="19"/>
  <c r="AH55" i="19"/>
  <c r="AI55" i="19"/>
  <c r="AJ55" i="19"/>
  <c r="AK55" i="19"/>
  <c r="AL55" i="19"/>
  <c r="AM55" i="19"/>
  <c r="AN55" i="19"/>
  <c r="G56" i="19"/>
  <c r="F56" i="19"/>
  <c r="H56" i="19"/>
  <c r="I56" i="19"/>
  <c r="J56" i="19"/>
  <c r="K56" i="19"/>
  <c r="L56" i="19"/>
  <c r="M56" i="19"/>
  <c r="N56" i="19"/>
  <c r="O56" i="19"/>
  <c r="P56" i="19"/>
  <c r="Q56" i="19"/>
  <c r="R56" i="19"/>
  <c r="S56" i="19"/>
  <c r="T56" i="19"/>
  <c r="U56" i="19"/>
  <c r="V56" i="19"/>
  <c r="W56" i="19"/>
  <c r="X56" i="19"/>
  <c r="Y56" i="19"/>
  <c r="Z56" i="19"/>
  <c r="AA56" i="19"/>
  <c r="AB56" i="19"/>
  <c r="AC56" i="19"/>
  <c r="AD56" i="19"/>
  <c r="AE56" i="19"/>
  <c r="AF56" i="19"/>
  <c r="AG56" i="19"/>
  <c r="AH56" i="19"/>
  <c r="AI56" i="19"/>
  <c r="AJ56" i="19"/>
  <c r="AK56" i="19"/>
  <c r="AL56" i="19"/>
  <c r="AM56" i="19"/>
  <c r="AN56" i="19"/>
  <c r="E62" i="19"/>
  <c r="G62" i="19"/>
  <c r="H62" i="19"/>
  <c r="K62" i="19"/>
  <c r="L62" i="19"/>
  <c r="O62" i="19"/>
  <c r="P62" i="19"/>
  <c r="S62" i="19"/>
  <c r="T62" i="19"/>
  <c r="U62" i="19"/>
  <c r="W62" i="19"/>
  <c r="X62" i="19"/>
  <c r="AA62" i="19"/>
  <c r="AB62" i="19"/>
  <c r="AE62" i="19"/>
  <c r="AF62" i="19"/>
  <c r="AI62" i="19"/>
  <c r="AJ62" i="19"/>
  <c r="AK62" i="19"/>
  <c r="AM62" i="19"/>
  <c r="AN62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Z53" i="19"/>
  <c r="AA53" i="19"/>
  <c r="AB53" i="19"/>
  <c r="AC53" i="19"/>
  <c r="AD53" i="19"/>
  <c r="AE53" i="19"/>
  <c r="AF53" i="19"/>
  <c r="AG53" i="19"/>
  <c r="AH53" i="19"/>
  <c r="AI53" i="19"/>
  <c r="AJ53" i="19"/>
  <c r="AK53" i="19"/>
  <c r="AL53" i="19"/>
  <c r="AM53" i="19"/>
  <c r="AN53" i="19"/>
  <c r="J53" i="19"/>
  <c r="K53" i="19"/>
  <c r="H53" i="19"/>
  <c r="I53" i="19"/>
  <c r="F53" i="19"/>
  <c r="G53" i="19"/>
  <c r="E53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Z49" i="19"/>
  <c r="AA49" i="19"/>
  <c r="AB49" i="19"/>
  <c r="AC49" i="19"/>
  <c r="AD49" i="19"/>
  <c r="AE49" i="19"/>
  <c r="AF49" i="19"/>
  <c r="AG49" i="19"/>
  <c r="AH49" i="19"/>
  <c r="AI49" i="19"/>
  <c r="AJ49" i="19"/>
  <c r="AK49" i="19"/>
  <c r="AL49" i="19"/>
  <c r="AM49" i="19"/>
  <c r="AN49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Z50" i="19"/>
  <c r="AA50" i="19"/>
  <c r="AB50" i="19"/>
  <c r="AC50" i="19"/>
  <c r="AD50" i="19"/>
  <c r="AE50" i="19"/>
  <c r="AF50" i="19"/>
  <c r="AG50" i="19"/>
  <c r="AH50" i="19"/>
  <c r="AI50" i="19"/>
  <c r="AJ50" i="19"/>
  <c r="AK50" i="19"/>
  <c r="AL50" i="19"/>
  <c r="AM50" i="19"/>
  <c r="AN50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Z51" i="19"/>
  <c r="AA51" i="19"/>
  <c r="AB51" i="19"/>
  <c r="AC51" i="19"/>
  <c r="AD51" i="19"/>
  <c r="AE51" i="19"/>
  <c r="AF51" i="19"/>
  <c r="AG51" i="19"/>
  <c r="AH51" i="19"/>
  <c r="AI51" i="19"/>
  <c r="AJ51" i="19"/>
  <c r="AK51" i="19"/>
  <c r="AL51" i="19"/>
  <c r="AM51" i="19"/>
  <c r="AN51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Z48" i="19"/>
  <c r="AA48" i="19"/>
  <c r="AB48" i="19"/>
  <c r="AC48" i="19"/>
  <c r="AD48" i="19"/>
  <c r="AE48" i="19"/>
  <c r="AF48" i="19"/>
  <c r="AG48" i="19"/>
  <c r="AH48" i="19"/>
  <c r="AI48" i="19"/>
  <c r="AJ48" i="19"/>
  <c r="AK48" i="19"/>
  <c r="AL48" i="19"/>
  <c r="AM48" i="19"/>
  <c r="AN48" i="19"/>
  <c r="J48" i="19"/>
  <c r="H48" i="19"/>
  <c r="I48" i="19"/>
  <c r="F48" i="19"/>
  <c r="G48" i="19"/>
  <c r="E48" i="19"/>
  <c r="A32" i="18"/>
  <c r="A28" i="18"/>
  <c r="F26" i="18"/>
  <c r="G26" i="18" s="1"/>
  <c r="E26" i="18"/>
  <c r="F24" i="18"/>
  <c r="G24" i="18"/>
  <c r="E24" i="18"/>
  <c r="F23" i="18"/>
  <c r="G23" i="18"/>
  <c r="E23" i="18"/>
  <c r="F22" i="18"/>
  <c r="G22" i="18"/>
  <c r="E22" i="18"/>
  <c r="A12" i="14"/>
  <c r="G21" i="18"/>
  <c r="F21" i="18"/>
  <c r="E21" i="18"/>
  <c r="F11" i="18"/>
  <c r="G11" i="18"/>
  <c r="E11" i="18"/>
  <c r="A15" i="18"/>
  <c r="E6" i="18"/>
  <c r="E15" i="13"/>
  <c r="F17" i="17"/>
  <c r="G17" i="17"/>
  <c r="E16" i="17"/>
  <c r="E17" i="17" s="1"/>
  <c r="F14" i="17"/>
  <c r="G14" i="17"/>
  <c r="E13" i="17"/>
  <c r="E12" i="17"/>
  <c r="E14" i="17" s="1"/>
  <c r="F7" i="17"/>
  <c r="G7" i="17"/>
  <c r="E7" i="17"/>
  <c r="E31" i="16"/>
  <c r="F31" i="16"/>
  <c r="G31" i="16"/>
  <c r="D3" i="16"/>
  <c r="A21" i="16"/>
  <c r="A28" i="16"/>
  <c r="A30" i="16"/>
  <c r="A14" i="16"/>
  <c r="A15" i="16"/>
  <c r="A17" i="16"/>
  <c r="A18" i="16"/>
  <c r="A10" i="16"/>
  <c r="A4" i="16"/>
  <c r="A8" i="11"/>
  <c r="A7" i="15" s="1"/>
  <c r="A29" i="18" s="1"/>
  <c r="A9" i="11"/>
  <c r="A6" i="16" s="1"/>
  <c r="A10" i="11"/>
  <c r="A7" i="16" s="1"/>
  <c r="A11" i="11"/>
  <c r="A8" i="16" s="1"/>
  <c r="A14" i="11"/>
  <c r="A11" i="16" s="1"/>
  <c r="A15" i="11"/>
  <c r="A12" i="16" s="1"/>
  <c r="A16" i="11"/>
  <c r="A13" i="16" s="1"/>
  <c r="A22" i="11"/>
  <c r="A19" i="16" s="1"/>
  <c r="A23" i="11"/>
  <c r="A20" i="16" s="1"/>
  <c r="A24" i="11"/>
  <c r="A25" i="11"/>
  <c r="A22" i="16" s="1"/>
  <c r="A26" i="11"/>
  <c r="A23" i="16" s="1"/>
  <c r="A27" i="11"/>
  <c r="A24" i="16" s="1"/>
  <c r="A28" i="11"/>
  <c r="A25" i="16" s="1"/>
  <c r="A29" i="11"/>
  <c r="A26" i="16" s="1"/>
  <c r="A30" i="11"/>
  <c r="A27" i="16" s="1"/>
  <c r="A13" i="15"/>
  <c r="A11" i="18" s="1"/>
  <c r="A12" i="15"/>
  <c r="A10" i="18" s="1"/>
  <c r="E28" i="14"/>
  <c r="E21" i="14"/>
  <c r="E14" i="14"/>
  <c r="E7" i="14"/>
  <c r="A26" i="14"/>
  <c r="A19" i="14"/>
  <c r="E20" i="13"/>
  <c r="E18" i="13"/>
  <c r="E19" i="13"/>
  <c r="E13" i="13"/>
  <c r="E12" i="13"/>
  <c r="E10" i="13"/>
  <c r="E9" i="13"/>
  <c r="E8" i="13"/>
  <c r="E7" i="13"/>
  <c r="E11" i="13" s="1"/>
  <c r="A8" i="13"/>
  <c r="A9" i="13"/>
  <c r="A10" i="13"/>
  <c r="A7" i="13"/>
  <c r="A15" i="15" l="1"/>
  <c r="A13" i="18" s="1"/>
  <c r="A8" i="15"/>
  <c r="A30" i="18" s="1"/>
  <c r="A9" i="15"/>
  <c r="A31" i="18" s="1"/>
  <c r="A5" i="16"/>
  <c r="A14" i="15"/>
  <c r="A12" i="18" s="1"/>
  <c r="A16" i="15"/>
  <c r="A14" i="18" s="1"/>
  <c r="E5" i="1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AJ5" i="11" s="1"/>
  <c r="AK5" i="11" s="1"/>
  <c r="AL5" i="11" s="1"/>
  <c r="AM5" i="11" s="1"/>
  <c r="AN5" i="11" s="1"/>
  <c r="E27" i="11" l="1"/>
  <c r="F27" i="11" s="1"/>
  <c r="G27" i="11" s="1"/>
  <c r="H27" i="11" s="1"/>
  <c r="I27" i="11" s="1"/>
  <c r="J27" i="11" s="1"/>
  <c r="K27" i="11" s="1"/>
  <c r="L27" i="11" s="1"/>
  <c r="M27" i="11" s="1"/>
  <c r="N27" i="11" s="1"/>
  <c r="O27" i="11" s="1"/>
  <c r="P27" i="11" s="1"/>
  <c r="Q27" i="11" s="1"/>
  <c r="R27" i="11" s="1"/>
  <c r="S27" i="11" s="1"/>
  <c r="T27" i="11" s="1"/>
  <c r="U27" i="11" s="1"/>
  <c r="V27" i="11" s="1"/>
  <c r="W27" i="11" s="1"/>
  <c r="X27" i="11" s="1"/>
  <c r="Y27" i="11" s="1"/>
  <c r="Z27" i="11" s="1"/>
  <c r="AA27" i="11" s="1"/>
  <c r="AB27" i="11" s="1"/>
  <c r="AC27" i="11" s="1"/>
  <c r="AD27" i="11" s="1"/>
  <c r="AE27" i="11" s="1"/>
  <c r="AF27" i="11" s="1"/>
  <c r="AG27" i="11" s="1"/>
  <c r="AH27" i="11" s="1"/>
  <c r="AI27" i="11" s="1"/>
  <c r="AJ27" i="11" s="1"/>
  <c r="AK27" i="11" s="1"/>
  <c r="AL27" i="11" s="1"/>
  <c r="AM27" i="11" s="1"/>
  <c r="AN27" i="11" s="1"/>
  <c r="E28" i="11"/>
  <c r="F28" i="11" s="1"/>
  <c r="G28" i="11" s="1"/>
  <c r="H28" i="11" s="1"/>
  <c r="I28" i="11" s="1"/>
  <c r="J28" i="11" s="1"/>
  <c r="K28" i="11" s="1"/>
  <c r="L28" i="11" s="1"/>
  <c r="M28" i="11" s="1"/>
  <c r="N28" i="11" s="1"/>
  <c r="O28" i="11" s="1"/>
  <c r="P28" i="11" s="1"/>
  <c r="Q28" i="11" s="1"/>
  <c r="R28" i="11" s="1"/>
  <c r="S28" i="11" s="1"/>
  <c r="T28" i="11" s="1"/>
  <c r="U28" i="11" s="1"/>
  <c r="V28" i="11" s="1"/>
  <c r="W28" i="11" s="1"/>
  <c r="X28" i="11" s="1"/>
  <c r="Y28" i="11" s="1"/>
  <c r="Z28" i="11" s="1"/>
  <c r="AA28" i="11" s="1"/>
  <c r="AB28" i="11" s="1"/>
  <c r="AC28" i="11" s="1"/>
  <c r="AD28" i="11" s="1"/>
  <c r="AE28" i="11" s="1"/>
  <c r="AF28" i="11" s="1"/>
  <c r="AG28" i="11" s="1"/>
  <c r="AH28" i="11" s="1"/>
  <c r="AI28" i="11" s="1"/>
  <c r="AJ28" i="11" s="1"/>
  <c r="AK28" i="11" s="1"/>
  <c r="AL28" i="11" s="1"/>
  <c r="AM28" i="11" s="1"/>
  <c r="AN28" i="11" s="1"/>
  <c r="E26" i="11"/>
  <c r="F26" i="11" s="1"/>
  <c r="E17" i="11"/>
  <c r="E24" i="11"/>
  <c r="F24" i="11" s="1"/>
  <c r="E25" i="11"/>
  <c r="F25" i="11" s="1"/>
  <c r="E21" i="11"/>
  <c r="B10" i="1"/>
  <c r="F21" i="11" l="1"/>
  <c r="G26" i="11"/>
  <c r="G25" i="11"/>
  <c r="H25" i="11" s="1"/>
  <c r="G24" i="11"/>
  <c r="G21" i="11"/>
  <c r="E4" i="18"/>
  <c r="F4" i="18" s="1"/>
  <c r="G4" i="18" s="1"/>
  <c r="E4" i="17"/>
  <c r="F4" i="17" s="1"/>
  <c r="G4" i="17" s="1"/>
  <c r="E3" i="16"/>
  <c r="E4" i="15"/>
  <c r="E4" i="14"/>
  <c r="E6" i="19"/>
  <c r="E6" i="11" s="1"/>
  <c r="E5" i="19"/>
  <c r="F3" i="16" l="1"/>
  <c r="F4" i="15"/>
  <c r="E9" i="14"/>
  <c r="E10" i="14" s="1"/>
  <c r="F6" i="14" s="1"/>
  <c r="E23" i="14"/>
  <c r="E24" i="14" s="1"/>
  <c r="F20" i="14" s="1"/>
  <c r="E16" i="14"/>
  <c r="E17" i="14" s="1"/>
  <c r="F13" i="14" s="1"/>
  <c r="E30" i="14"/>
  <c r="E31" i="14" s="1"/>
  <c r="F27" i="14" s="1"/>
  <c r="F30" i="14" s="1"/>
  <c r="F31" i="14" s="1"/>
  <c r="G27" i="14" s="1"/>
  <c r="G30" i="14" s="1"/>
  <c r="G31" i="14" s="1"/>
  <c r="F4" i="14"/>
  <c r="G4" i="14" s="1"/>
  <c r="H21" i="11"/>
  <c r="H26" i="11"/>
  <c r="I25" i="11"/>
  <c r="H24" i="11"/>
  <c r="E7" i="19"/>
  <c r="E8" i="19" s="1"/>
  <c r="E14" i="19" s="1"/>
  <c r="E38" i="19"/>
  <c r="E29" i="19"/>
  <c r="E35" i="19"/>
  <c r="E28" i="19"/>
  <c r="E40" i="19"/>
  <c r="E34" i="19"/>
  <c r="E27" i="19"/>
  <c r="E39" i="19"/>
  <c r="E33" i="19"/>
  <c r="F5" i="19"/>
  <c r="E23" i="19"/>
  <c r="E24" i="19"/>
  <c r="E22" i="19"/>
  <c r="F6" i="19"/>
  <c r="J66" i="1"/>
  <c r="F10" i="1"/>
  <c r="G3" i="16" l="1"/>
  <c r="G4" i="15"/>
  <c r="F16" i="14"/>
  <c r="F17" i="14" s="1"/>
  <c r="G13" i="14" s="1"/>
  <c r="G16" i="14" s="1"/>
  <c r="G17" i="14" s="1"/>
  <c r="F23" i="14"/>
  <c r="F24" i="14" s="1"/>
  <c r="G20" i="14" s="1"/>
  <c r="G23" i="14" s="1"/>
  <c r="G24" i="14" s="1"/>
  <c r="F9" i="14"/>
  <c r="F10" i="14" s="1"/>
  <c r="G6" i="14" s="1"/>
  <c r="G9" i="14" s="1"/>
  <c r="G10" i="14" s="1"/>
  <c r="I26" i="11"/>
  <c r="I24" i="11"/>
  <c r="I21" i="11"/>
  <c r="F17" i="11"/>
  <c r="G17" i="11" s="1"/>
  <c r="E17" i="19"/>
  <c r="E16" i="19"/>
  <c r="E13" i="19"/>
  <c r="E9" i="19"/>
  <c r="E41" i="19"/>
  <c r="G6" i="19"/>
  <c r="G7" i="19" s="1"/>
  <c r="F6" i="11"/>
  <c r="F39" i="19"/>
  <c r="F28" i="19"/>
  <c r="F27" i="19"/>
  <c r="E30" i="19"/>
  <c r="F35" i="19"/>
  <c r="F34" i="19"/>
  <c r="F29" i="19"/>
  <c r="E25" i="19"/>
  <c r="F33" i="19"/>
  <c r="E36" i="19"/>
  <c r="F40" i="19"/>
  <c r="F38" i="19"/>
  <c r="G5" i="19"/>
  <c r="G39" i="19" s="1"/>
  <c r="F23" i="19"/>
  <c r="F24" i="19"/>
  <c r="F22" i="19"/>
  <c r="F7" i="19"/>
  <c r="G5" i="1"/>
  <c r="G101" i="1"/>
  <c r="J25" i="11" l="1"/>
  <c r="K25" i="11" s="1"/>
  <c r="J21" i="11"/>
  <c r="J26" i="11"/>
  <c r="K26" i="11" s="1"/>
  <c r="J24" i="11"/>
  <c r="K24" i="11" s="1"/>
  <c r="E70" i="19"/>
  <c r="E8" i="11" s="1"/>
  <c r="E72" i="19"/>
  <c r="E10" i="11" s="1"/>
  <c r="H17" i="11"/>
  <c r="I17" i="11" s="1"/>
  <c r="H6" i="19"/>
  <c r="G6" i="11"/>
  <c r="F41" i="19"/>
  <c r="E67" i="19"/>
  <c r="E71" i="19"/>
  <c r="E9" i="11" s="1"/>
  <c r="G35" i="19"/>
  <c r="G33" i="19"/>
  <c r="F36" i="19"/>
  <c r="G40" i="19"/>
  <c r="G29" i="19"/>
  <c r="F30" i="19"/>
  <c r="G38" i="19"/>
  <c r="G27" i="19"/>
  <c r="G34" i="19"/>
  <c r="G28" i="19"/>
  <c r="F25" i="19"/>
  <c r="H5" i="19"/>
  <c r="H39" i="19" s="1"/>
  <c r="G22" i="19"/>
  <c r="G23" i="19"/>
  <c r="G24" i="19"/>
  <c r="F8" i="19"/>
  <c r="G8" i="19"/>
  <c r="G87" i="1"/>
  <c r="G67" i="1"/>
  <c r="G40" i="1"/>
  <c r="G50" i="1"/>
  <c r="G10" i="1"/>
  <c r="C10" i="1"/>
  <c r="E16" i="11" l="1"/>
  <c r="E15" i="11"/>
  <c r="E14" i="11"/>
  <c r="K21" i="11"/>
  <c r="L21" i="11" s="1"/>
  <c r="L24" i="11"/>
  <c r="L25" i="11"/>
  <c r="L26" i="11"/>
  <c r="H6" i="11"/>
  <c r="I6" i="19"/>
  <c r="G41" i="19"/>
  <c r="J17" i="11"/>
  <c r="K17" i="11" s="1"/>
  <c r="L17" i="11" s="1"/>
  <c r="M17" i="11" s="1"/>
  <c r="E73" i="19"/>
  <c r="E11" i="11" s="1"/>
  <c r="G9" i="19"/>
  <c r="G13" i="19"/>
  <c r="F9" i="19"/>
  <c r="F13" i="19"/>
  <c r="G30" i="19"/>
  <c r="H40" i="19"/>
  <c r="H28" i="19"/>
  <c r="H34" i="19"/>
  <c r="H33" i="19"/>
  <c r="G36" i="19"/>
  <c r="H38" i="19"/>
  <c r="H41" i="19" s="1"/>
  <c r="H27" i="19"/>
  <c r="H29" i="19"/>
  <c r="H35" i="19"/>
  <c r="H22" i="19"/>
  <c r="G25" i="19"/>
  <c r="I5" i="19"/>
  <c r="H24" i="19"/>
  <c r="H23" i="19"/>
  <c r="G17" i="19"/>
  <c r="G14" i="19"/>
  <c r="G16" i="19"/>
  <c r="F17" i="19"/>
  <c r="F14" i="19"/>
  <c r="F16" i="19"/>
  <c r="I24" i="19" l="1"/>
  <c r="H7" i="19"/>
  <c r="H8" i="19" s="1"/>
  <c r="H9" i="19" s="1"/>
  <c r="E18" i="11"/>
  <c r="E30" i="11"/>
  <c r="E29" i="11"/>
  <c r="M25" i="11"/>
  <c r="M26" i="11"/>
  <c r="M24" i="11"/>
  <c r="E23" i="11"/>
  <c r="E22" i="11"/>
  <c r="M21" i="11"/>
  <c r="I40" i="19"/>
  <c r="I6" i="11"/>
  <c r="J6" i="19"/>
  <c r="H30" i="19"/>
  <c r="I34" i="19"/>
  <c r="I28" i="19"/>
  <c r="I35" i="19"/>
  <c r="I38" i="19"/>
  <c r="I27" i="19"/>
  <c r="I29" i="19"/>
  <c r="I33" i="19"/>
  <c r="H36" i="19"/>
  <c r="I39" i="19"/>
  <c r="I23" i="19"/>
  <c r="J5" i="19"/>
  <c r="I22" i="19"/>
  <c r="H25" i="19"/>
  <c r="I7" i="19" l="1"/>
  <c r="E31" i="11"/>
  <c r="N21" i="11"/>
  <c r="N25" i="11"/>
  <c r="N26" i="11"/>
  <c r="N24" i="11"/>
  <c r="N17" i="11"/>
  <c r="O17" i="11" s="1"/>
  <c r="H17" i="19"/>
  <c r="I8" i="19"/>
  <c r="I9" i="19" s="1"/>
  <c r="H14" i="19"/>
  <c r="H13" i="19"/>
  <c r="H16" i="19"/>
  <c r="J6" i="11"/>
  <c r="J7" i="19" s="1"/>
  <c r="J8" i="19" s="1"/>
  <c r="K6" i="19"/>
  <c r="J34" i="19"/>
  <c r="I41" i="19"/>
  <c r="G70" i="19"/>
  <c r="G67" i="19"/>
  <c r="F71" i="19"/>
  <c r="F9" i="11" s="1"/>
  <c r="G71" i="19"/>
  <c r="G9" i="11" s="1"/>
  <c r="G15" i="11" s="1"/>
  <c r="F70" i="19"/>
  <c r="F67" i="19"/>
  <c r="G72" i="19"/>
  <c r="G10" i="11" s="1"/>
  <c r="G16" i="11" s="1"/>
  <c r="F72" i="19"/>
  <c r="F10" i="11" s="1"/>
  <c r="J39" i="19"/>
  <c r="I30" i="19"/>
  <c r="J33" i="19"/>
  <c r="I36" i="19"/>
  <c r="J29" i="19"/>
  <c r="J35" i="19"/>
  <c r="J28" i="19"/>
  <c r="K5" i="19"/>
  <c r="J38" i="19"/>
  <c r="J27" i="19"/>
  <c r="J40" i="19"/>
  <c r="J23" i="19"/>
  <c r="J22" i="19"/>
  <c r="I25" i="19"/>
  <c r="J24" i="19"/>
  <c r="E33" i="11" l="1"/>
  <c r="F16" i="11"/>
  <c r="F15" i="11"/>
  <c r="O24" i="11"/>
  <c r="O25" i="11"/>
  <c r="O26" i="11"/>
  <c r="O21" i="11"/>
  <c r="I16" i="19"/>
  <c r="J16" i="19" s="1"/>
  <c r="I14" i="19"/>
  <c r="J9" i="19"/>
  <c r="I17" i="19"/>
  <c r="J17" i="19" s="1"/>
  <c r="K6" i="11"/>
  <c r="L6" i="19"/>
  <c r="I13" i="19"/>
  <c r="J13" i="19" s="1"/>
  <c r="K40" i="19"/>
  <c r="J41" i="19"/>
  <c r="G8" i="11"/>
  <c r="G14" i="11" s="1"/>
  <c r="G18" i="11" s="1"/>
  <c r="G73" i="19"/>
  <c r="G11" i="11" s="1"/>
  <c r="F8" i="11"/>
  <c r="F73" i="19"/>
  <c r="F11" i="11" s="1"/>
  <c r="L5" i="19"/>
  <c r="K38" i="19"/>
  <c r="K27" i="19"/>
  <c r="K29" i="19"/>
  <c r="K28" i="19"/>
  <c r="L28" i="19" s="1"/>
  <c r="K34" i="19"/>
  <c r="J30" i="19"/>
  <c r="K39" i="19"/>
  <c r="K24" i="19"/>
  <c r="L24" i="19" s="1"/>
  <c r="K23" i="19"/>
  <c r="K35" i="19"/>
  <c r="K33" i="19"/>
  <c r="J36" i="19"/>
  <c r="K22" i="19"/>
  <c r="J25" i="19"/>
  <c r="L35" i="19" l="1"/>
  <c r="L23" i="19"/>
  <c r="L34" i="19"/>
  <c r="K7" i="19"/>
  <c r="K8" i="19" s="1"/>
  <c r="K17" i="19" s="1"/>
  <c r="E34" i="11"/>
  <c r="F14" i="11"/>
  <c r="F30" i="11"/>
  <c r="F29" i="11"/>
  <c r="G30" i="11"/>
  <c r="G29" i="11"/>
  <c r="P21" i="11"/>
  <c r="P26" i="11"/>
  <c r="Q26" i="11" s="1"/>
  <c r="R26" i="11" s="1"/>
  <c r="S26" i="11" s="1"/>
  <c r="T26" i="11" s="1"/>
  <c r="U26" i="11" s="1"/>
  <c r="V26" i="11" s="1"/>
  <c r="W26" i="11" s="1"/>
  <c r="X26" i="11" s="1"/>
  <c r="Y26" i="11" s="1"/>
  <c r="Z26" i="11" s="1"/>
  <c r="AA26" i="11" s="1"/>
  <c r="AB26" i="11" s="1"/>
  <c r="AC26" i="11" s="1"/>
  <c r="AD26" i="11" s="1"/>
  <c r="AE26" i="11" s="1"/>
  <c r="AF26" i="11" s="1"/>
  <c r="AG26" i="11" s="1"/>
  <c r="AH26" i="11" s="1"/>
  <c r="AI26" i="11" s="1"/>
  <c r="AJ26" i="11" s="1"/>
  <c r="AK26" i="11" s="1"/>
  <c r="AL26" i="11" s="1"/>
  <c r="AM26" i="11" s="1"/>
  <c r="AN26" i="11" s="1"/>
  <c r="P17" i="11"/>
  <c r="Q17" i="11" s="1"/>
  <c r="R17" i="11" s="1"/>
  <c r="S17" i="11" s="1"/>
  <c r="T17" i="11" s="1"/>
  <c r="U17" i="11" s="1"/>
  <c r="V17" i="11" s="1"/>
  <c r="W17" i="11" s="1"/>
  <c r="X17" i="11" s="1"/>
  <c r="Y17" i="11" s="1"/>
  <c r="Z17" i="11" s="1"/>
  <c r="AA17" i="11" s="1"/>
  <c r="AB17" i="11" s="1"/>
  <c r="AC17" i="11" s="1"/>
  <c r="AD17" i="11" s="1"/>
  <c r="AE17" i="11" s="1"/>
  <c r="AF17" i="11" s="1"/>
  <c r="AG17" i="11" s="1"/>
  <c r="AH17" i="11" s="1"/>
  <c r="AI17" i="11" s="1"/>
  <c r="AJ17" i="11" s="1"/>
  <c r="AK17" i="11" s="1"/>
  <c r="AL17" i="11" s="1"/>
  <c r="AM17" i="11" s="1"/>
  <c r="AN17" i="11" s="1"/>
  <c r="P24" i="11"/>
  <c r="Q24" i="11" s="1"/>
  <c r="R24" i="11" s="1"/>
  <c r="S24" i="11" s="1"/>
  <c r="T24" i="11" s="1"/>
  <c r="U24" i="11" s="1"/>
  <c r="V24" i="11" s="1"/>
  <c r="W24" i="11" s="1"/>
  <c r="X24" i="11" s="1"/>
  <c r="Y24" i="11" s="1"/>
  <c r="Z24" i="11" s="1"/>
  <c r="AA24" i="11" s="1"/>
  <c r="AB24" i="11" s="1"/>
  <c r="AC24" i="11" s="1"/>
  <c r="AD24" i="11" s="1"/>
  <c r="AE24" i="11" s="1"/>
  <c r="AF24" i="11" s="1"/>
  <c r="AG24" i="11" s="1"/>
  <c r="AH24" i="11" s="1"/>
  <c r="AI24" i="11" s="1"/>
  <c r="AJ24" i="11" s="1"/>
  <c r="AK24" i="11" s="1"/>
  <c r="AL24" i="11" s="1"/>
  <c r="AM24" i="11" s="1"/>
  <c r="AN24" i="11" s="1"/>
  <c r="P25" i="11"/>
  <c r="Q25" i="11" s="1"/>
  <c r="R25" i="11" s="1"/>
  <c r="S25" i="11" s="1"/>
  <c r="T25" i="11" s="1"/>
  <c r="U25" i="11" s="1"/>
  <c r="V25" i="11" s="1"/>
  <c r="W25" i="11" s="1"/>
  <c r="X25" i="11" s="1"/>
  <c r="Y25" i="11" s="1"/>
  <c r="Z25" i="11" s="1"/>
  <c r="AA25" i="11" s="1"/>
  <c r="AB25" i="11" s="1"/>
  <c r="AC25" i="11" s="1"/>
  <c r="AD25" i="11" s="1"/>
  <c r="AE25" i="11" s="1"/>
  <c r="AF25" i="11" s="1"/>
  <c r="AG25" i="11" s="1"/>
  <c r="AH25" i="11" s="1"/>
  <c r="AI25" i="11" s="1"/>
  <c r="AJ25" i="11" s="1"/>
  <c r="AK25" i="11" s="1"/>
  <c r="AL25" i="11" s="1"/>
  <c r="AM25" i="11" s="1"/>
  <c r="AN25" i="11" s="1"/>
  <c r="G23" i="11"/>
  <c r="G22" i="11"/>
  <c r="F23" i="11"/>
  <c r="F22" i="11"/>
  <c r="J14" i="19"/>
  <c r="H70" i="19"/>
  <c r="H8" i="11" s="1"/>
  <c r="H14" i="11" s="1"/>
  <c r="H71" i="19"/>
  <c r="H9" i="11" s="1"/>
  <c r="H72" i="19"/>
  <c r="H10" i="11" s="1"/>
  <c r="H67" i="19"/>
  <c r="K41" i="19"/>
  <c r="L6" i="11"/>
  <c r="M6" i="19"/>
  <c r="K16" i="19"/>
  <c r="L39" i="19"/>
  <c r="K30" i="19"/>
  <c r="L33" i="19"/>
  <c r="K36" i="19"/>
  <c r="M5" i="19"/>
  <c r="L38" i="19"/>
  <c r="L27" i="19"/>
  <c r="L29" i="19"/>
  <c r="L40" i="19"/>
  <c r="L22" i="19"/>
  <c r="K25" i="19"/>
  <c r="K13" i="19" l="1"/>
  <c r="M39" i="19"/>
  <c r="K9" i="19"/>
  <c r="L7" i="19"/>
  <c r="L8" i="19" s="1"/>
  <c r="L17" i="19" s="1"/>
  <c r="H15" i="11"/>
  <c r="H16" i="11"/>
  <c r="H18" i="11" s="1"/>
  <c r="F18" i="11"/>
  <c r="G31" i="11"/>
  <c r="G33" i="11" s="1"/>
  <c r="G34" i="11" s="1"/>
  <c r="Q21" i="11"/>
  <c r="F31" i="11"/>
  <c r="K14" i="19"/>
  <c r="I67" i="19"/>
  <c r="I71" i="19"/>
  <c r="I9" i="11" s="1"/>
  <c r="I15" i="11" s="1"/>
  <c r="I72" i="19"/>
  <c r="I10" i="11" s="1"/>
  <c r="I16" i="11" s="1"/>
  <c r="L13" i="19"/>
  <c r="H73" i="19"/>
  <c r="H11" i="11" s="1"/>
  <c r="M6" i="11"/>
  <c r="M7" i="19"/>
  <c r="M8" i="19" s="1"/>
  <c r="N6" i="19"/>
  <c r="L16" i="19"/>
  <c r="I70" i="19"/>
  <c r="L41" i="19"/>
  <c r="N5" i="19"/>
  <c r="M38" i="19"/>
  <c r="M27" i="19"/>
  <c r="M33" i="19"/>
  <c r="L36" i="19"/>
  <c r="M35" i="19"/>
  <c r="M28" i="19"/>
  <c r="M40" i="19"/>
  <c r="L30" i="19"/>
  <c r="M24" i="19"/>
  <c r="M34" i="19"/>
  <c r="M29" i="19"/>
  <c r="M23" i="19"/>
  <c r="N23" i="19" s="1"/>
  <c r="M22" i="19"/>
  <c r="L25" i="19"/>
  <c r="N29" i="19" l="1"/>
  <c r="L9" i="19"/>
  <c r="N40" i="19"/>
  <c r="N34" i="19"/>
  <c r="N28" i="19"/>
  <c r="F33" i="11"/>
  <c r="H30" i="11"/>
  <c r="H29" i="11"/>
  <c r="R21" i="11"/>
  <c r="M13" i="19"/>
  <c r="J71" i="19"/>
  <c r="J9" i="11" s="1"/>
  <c r="J15" i="11" s="1"/>
  <c r="H22" i="11"/>
  <c r="H23" i="11"/>
  <c r="J67" i="19"/>
  <c r="J70" i="19"/>
  <c r="J8" i="11" s="1"/>
  <c r="J14" i="11" s="1"/>
  <c r="L14" i="19"/>
  <c r="J72" i="19"/>
  <c r="M17" i="19"/>
  <c r="M9" i="19"/>
  <c r="M16" i="19"/>
  <c r="N24" i="19"/>
  <c r="N6" i="11"/>
  <c r="O6" i="19"/>
  <c r="I8" i="11"/>
  <c r="I73" i="19"/>
  <c r="I11" i="11" s="1"/>
  <c r="M41" i="19"/>
  <c r="M30" i="19"/>
  <c r="N35" i="19"/>
  <c r="O5" i="19"/>
  <c r="N38" i="19"/>
  <c r="N27" i="19"/>
  <c r="N30" i="19" s="1"/>
  <c r="N33" i="19"/>
  <c r="M36" i="19"/>
  <c r="N39" i="19"/>
  <c r="N22" i="19"/>
  <c r="M25" i="19"/>
  <c r="O34" i="19" l="1"/>
  <c r="I14" i="11"/>
  <c r="F34" i="11"/>
  <c r="N7" i="19"/>
  <c r="N8" i="19" s="1"/>
  <c r="H31" i="11"/>
  <c r="S21" i="11"/>
  <c r="I30" i="11"/>
  <c r="I29" i="11"/>
  <c r="I23" i="11"/>
  <c r="I22" i="11"/>
  <c r="K67" i="19"/>
  <c r="L72" i="19"/>
  <c r="L10" i="11" s="1"/>
  <c r="L16" i="11" s="1"/>
  <c r="M14" i="19"/>
  <c r="J73" i="19"/>
  <c r="J11" i="11" s="1"/>
  <c r="J10" i="11"/>
  <c r="K71" i="19"/>
  <c r="K9" i="11" s="1"/>
  <c r="K15" i="11" s="1"/>
  <c r="K72" i="19"/>
  <c r="K10" i="11" s="1"/>
  <c r="K16" i="11" s="1"/>
  <c r="K70" i="19"/>
  <c r="K8" i="11" s="1"/>
  <c r="K14" i="11" s="1"/>
  <c r="O6" i="11"/>
  <c r="O7" i="19" s="1"/>
  <c r="O8" i="19" s="1"/>
  <c r="P6" i="19"/>
  <c r="N41" i="19"/>
  <c r="O35" i="19"/>
  <c r="O40" i="19"/>
  <c r="O23" i="19"/>
  <c r="O39" i="19"/>
  <c r="O29" i="19"/>
  <c r="O28" i="19"/>
  <c r="O33" i="19"/>
  <c r="N36" i="19"/>
  <c r="P5" i="19"/>
  <c r="P34" i="19" s="1"/>
  <c r="O38" i="19"/>
  <c r="O27" i="19"/>
  <c r="O24" i="19"/>
  <c r="N25" i="19"/>
  <c r="O22" i="19"/>
  <c r="J16" i="11" l="1"/>
  <c r="J18" i="11" s="1"/>
  <c r="I18" i="11"/>
  <c r="H33" i="11"/>
  <c r="J30" i="11"/>
  <c r="J29" i="11"/>
  <c r="I31" i="11"/>
  <c r="T21" i="11"/>
  <c r="J23" i="11"/>
  <c r="J22" i="11"/>
  <c r="L71" i="19"/>
  <c r="L9" i="11" s="1"/>
  <c r="L15" i="11" s="1"/>
  <c r="L67" i="19"/>
  <c r="L70" i="19"/>
  <c r="L8" i="11" s="1"/>
  <c r="L14" i="11" s="1"/>
  <c r="K18" i="11"/>
  <c r="K73" i="19"/>
  <c r="K11" i="11" s="1"/>
  <c r="N13" i="19"/>
  <c r="N16" i="19"/>
  <c r="O16" i="19" s="1"/>
  <c r="N14" i="19"/>
  <c r="N17" i="19"/>
  <c r="O17" i="19" s="1"/>
  <c r="O9" i="19"/>
  <c r="P6" i="11"/>
  <c r="P7" i="19" s="1"/>
  <c r="P8" i="19" s="1"/>
  <c r="Q6" i="19"/>
  <c r="N9" i="19"/>
  <c r="O41" i="19"/>
  <c r="P35" i="19"/>
  <c r="P28" i="19"/>
  <c r="P40" i="19"/>
  <c r="O30" i="19"/>
  <c r="Q5" i="19"/>
  <c r="P24" i="19"/>
  <c r="P23" i="19"/>
  <c r="P38" i="19"/>
  <c r="P27" i="19"/>
  <c r="P29" i="19"/>
  <c r="P33" i="19"/>
  <c r="O36" i="19"/>
  <c r="P39" i="19"/>
  <c r="Q39" i="19" s="1"/>
  <c r="P22" i="19"/>
  <c r="O25" i="19"/>
  <c r="I33" i="11" l="1"/>
  <c r="I34" i="11" s="1"/>
  <c r="H34" i="11"/>
  <c r="K30" i="11"/>
  <c r="K29" i="11"/>
  <c r="J31" i="11"/>
  <c r="U21" i="11"/>
  <c r="K23" i="11"/>
  <c r="K22" i="11"/>
  <c r="L18" i="11"/>
  <c r="M67" i="19"/>
  <c r="M72" i="19"/>
  <c r="M10" i="11" s="1"/>
  <c r="M16" i="11" s="1"/>
  <c r="M70" i="19"/>
  <c r="M8" i="11" s="1"/>
  <c r="M14" i="11" s="1"/>
  <c r="L73" i="19"/>
  <c r="L11" i="11" s="1"/>
  <c r="M71" i="19"/>
  <c r="M9" i="11" s="1"/>
  <c r="M15" i="11" s="1"/>
  <c r="P16" i="19"/>
  <c r="P17" i="19"/>
  <c r="P9" i="19"/>
  <c r="O13" i="19"/>
  <c r="Q6" i="11"/>
  <c r="Q7" i="19" s="1"/>
  <c r="Q8" i="19" s="1"/>
  <c r="R6" i="19"/>
  <c r="O14" i="19"/>
  <c r="P41" i="19"/>
  <c r="P30" i="19"/>
  <c r="R5" i="19"/>
  <c r="R39" i="19" s="1"/>
  <c r="Q38" i="19"/>
  <c r="Q27" i="19"/>
  <c r="Q33" i="19"/>
  <c r="P36" i="19"/>
  <c r="Q34" i="19"/>
  <c r="Q40" i="19"/>
  <c r="Q23" i="19"/>
  <c r="Q35" i="19"/>
  <c r="Q29" i="19"/>
  <c r="Q24" i="19"/>
  <c r="Q28" i="19"/>
  <c r="Q22" i="19"/>
  <c r="P25" i="19"/>
  <c r="J33" i="11" l="1"/>
  <c r="J34" i="11" s="1"/>
  <c r="K31" i="11"/>
  <c r="K33" i="11" s="1"/>
  <c r="K34" i="11" s="1"/>
  <c r="L30" i="11"/>
  <c r="L29" i="11"/>
  <c r="V21" i="11"/>
  <c r="L23" i="11"/>
  <c r="L22" i="11"/>
  <c r="M18" i="11"/>
  <c r="M73" i="19"/>
  <c r="M11" i="11" s="1"/>
  <c r="N72" i="19"/>
  <c r="N10" i="11" s="1"/>
  <c r="N16" i="11" s="1"/>
  <c r="Q17" i="19"/>
  <c r="R28" i="19"/>
  <c r="R23" i="19"/>
  <c r="P14" i="19"/>
  <c r="N71" i="19"/>
  <c r="N9" i="11" s="1"/>
  <c r="N15" i="11" s="1"/>
  <c r="Q16" i="19"/>
  <c r="N70" i="19"/>
  <c r="N67" i="19"/>
  <c r="P13" i="19"/>
  <c r="Q13" i="19" s="1"/>
  <c r="Q41" i="19"/>
  <c r="Q9" i="19"/>
  <c r="R6" i="11"/>
  <c r="R7" i="19" s="1"/>
  <c r="S6" i="19"/>
  <c r="R24" i="19"/>
  <c r="R40" i="19"/>
  <c r="R29" i="19"/>
  <c r="R35" i="19"/>
  <c r="R33" i="19"/>
  <c r="Q36" i="19"/>
  <c r="R34" i="19"/>
  <c r="Q30" i="19"/>
  <c r="S5" i="19"/>
  <c r="R38" i="19"/>
  <c r="R27" i="19"/>
  <c r="R22" i="19"/>
  <c r="Q25" i="19"/>
  <c r="L31" i="11" l="1"/>
  <c r="L33" i="11" s="1"/>
  <c r="L34" i="11" s="1"/>
  <c r="M30" i="11"/>
  <c r="M29" i="11"/>
  <c r="W21" i="11"/>
  <c r="M23" i="11"/>
  <c r="M22" i="11"/>
  <c r="S29" i="19"/>
  <c r="R8" i="19"/>
  <c r="R9" i="19" s="1"/>
  <c r="N73" i="19"/>
  <c r="N11" i="11" s="1"/>
  <c r="N8" i="11"/>
  <c r="N14" i="11" s="1"/>
  <c r="N18" i="11" s="1"/>
  <c r="O67" i="19"/>
  <c r="O70" i="19"/>
  <c r="S6" i="11"/>
  <c r="S7" i="19" s="1"/>
  <c r="S8" i="19" s="1"/>
  <c r="T6" i="19"/>
  <c r="O72" i="19"/>
  <c r="O10" i="11" s="1"/>
  <c r="O16" i="11" s="1"/>
  <c r="O71" i="19"/>
  <c r="O9" i="11" s="1"/>
  <c r="O15" i="11" s="1"/>
  <c r="Q14" i="19"/>
  <c r="R41" i="19"/>
  <c r="R30" i="19"/>
  <c r="S28" i="19"/>
  <c r="S23" i="19"/>
  <c r="S34" i="19"/>
  <c r="S33" i="19"/>
  <c r="R36" i="19"/>
  <c r="S24" i="19"/>
  <c r="S40" i="19"/>
  <c r="T5" i="19"/>
  <c r="S38" i="19"/>
  <c r="S27" i="19"/>
  <c r="S35" i="19"/>
  <c r="S39" i="19"/>
  <c r="T39" i="19" s="1"/>
  <c r="S22" i="19"/>
  <c r="R25" i="19"/>
  <c r="M31" i="11" l="1"/>
  <c r="M33" i="11" s="1"/>
  <c r="M34" i="11" s="1"/>
  <c r="X21" i="11"/>
  <c r="N30" i="11"/>
  <c r="N29" i="11"/>
  <c r="N23" i="11"/>
  <c r="N22" i="11"/>
  <c r="P67" i="19"/>
  <c r="P70" i="19"/>
  <c r="O8" i="11"/>
  <c r="O14" i="11" s="1"/>
  <c r="O18" i="11" s="1"/>
  <c r="O73" i="19"/>
  <c r="O11" i="11" s="1"/>
  <c r="T6" i="11"/>
  <c r="T7" i="19" s="1"/>
  <c r="U6" i="19"/>
  <c r="P72" i="19"/>
  <c r="P10" i="11" s="1"/>
  <c r="P16" i="11" s="1"/>
  <c r="E9" i="15" s="1"/>
  <c r="R13" i="19"/>
  <c r="S13" i="19" s="1"/>
  <c r="R16" i="19"/>
  <c r="S16" i="19" s="1"/>
  <c r="R14" i="19"/>
  <c r="S14" i="19" s="1"/>
  <c r="R17" i="19"/>
  <c r="S17" i="19" s="1"/>
  <c r="S9" i="19"/>
  <c r="S41" i="19"/>
  <c r="P71" i="19"/>
  <c r="P9" i="11" s="1"/>
  <c r="P15" i="11" s="1"/>
  <c r="E8" i="15" s="1"/>
  <c r="E30" i="18" s="1"/>
  <c r="T23" i="19"/>
  <c r="S30" i="19"/>
  <c r="T24" i="19"/>
  <c r="T34" i="19"/>
  <c r="T40" i="19"/>
  <c r="T28" i="19"/>
  <c r="T35" i="19"/>
  <c r="T33" i="19"/>
  <c r="S36" i="19"/>
  <c r="U5" i="19"/>
  <c r="T38" i="19"/>
  <c r="T27" i="19"/>
  <c r="T29" i="19"/>
  <c r="T22" i="19"/>
  <c r="S25" i="19"/>
  <c r="E31" i="18" l="1"/>
  <c r="O30" i="11"/>
  <c r="O29" i="11"/>
  <c r="Y21" i="11"/>
  <c r="N31" i="11"/>
  <c r="N33" i="11" s="1"/>
  <c r="N34" i="11" s="1"/>
  <c r="O23" i="11"/>
  <c r="O22" i="11"/>
  <c r="T8" i="19"/>
  <c r="T13" i="19" s="1"/>
  <c r="U24" i="19"/>
  <c r="U6" i="11"/>
  <c r="U7" i="19" s="1"/>
  <c r="U8" i="19" s="1"/>
  <c r="V6" i="19"/>
  <c r="Q67" i="19"/>
  <c r="Q70" i="19"/>
  <c r="T41" i="19"/>
  <c r="P73" i="19"/>
  <c r="P11" i="11" s="1"/>
  <c r="P8" i="11"/>
  <c r="P14" i="11" s="1"/>
  <c r="Q72" i="19"/>
  <c r="Q10" i="11" s="1"/>
  <c r="Q16" i="11" s="1"/>
  <c r="Q71" i="19"/>
  <c r="Q9" i="11" s="1"/>
  <c r="Q15" i="11" s="1"/>
  <c r="U35" i="19"/>
  <c r="U40" i="19"/>
  <c r="U29" i="19"/>
  <c r="U39" i="19"/>
  <c r="U23" i="19"/>
  <c r="U34" i="19"/>
  <c r="T30" i="19"/>
  <c r="V5" i="19"/>
  <c r="U38" i="19"/>
  <c r="U27" i="19"/>
  <c r="U33" i="19"/>
  <c r="T36" i="19"/>
  <c r="U28" i="19"/>
  <c r="U22" i="19"/>
  <c r="T25" i="19"/>
  <c r="O31" i="11" l="1"/>
  <c r="O33" i="11" s="1"/>
  <c r="O34" i="11" s="1"/>
  <c r="P18" i="11"/>
  <c r="E7" i="15"/>
  <c r="P30" i="11"/>
  <c r="P29" i="11"/>
  <c r="Z21" i="11"/>
  <c r="P23" i="11"/>
  <c r="P22" i="11"/>
  <c r="S70" i="19"/>
  <c r="S8" i="11" s="1"/>
  <c r="S14" i="11" s="1"/>
  <c r="S72" i="19"/>
  <c r="S10" i="11" s="1"/>
  <c r="S16" i="11" s="1"/>
  <c r="T16" i="19"/>
  <c r="U16" i="19" s="1"/>
  <c r="T17" i="19"/>
  <c r="U17" i="19" s="1"/>
  <c r="R72" i="19"/>
  <c r="R10" i="11" s="1"/>
  <c r="R16" i="11" s="1"/>
  <c r="U13" i="19"/>
  <c r="T14" i="19"/>
  <c r="S67" i="19"/>
  <c r="T9" i="19"/>
  <c r="R70" i="19"/>
  <c r="R67" i="19"/>
  <c r="V6" i="11"/>
  <c r="V7" i="19" s="1"/>
  <c r="W6" i="19"/>
  <c r="U9" i="19"/>
  <c r="S71" i="19"/>
  <c r="S9" i="11" s="1"/>
  <c r="S15" i="11" s="1"/>
  <c r="Q73" i="19"/>
  <c r="Q11" i="11" s="1"/>
  <c r="Q8" i="11"/>
  <c r="Q14" i="11" s="1"/>
  <c r="Q18" i="11" s="1"/>
  <c r="R71" i="19"/>
  <c r="R9" i="11" s="1"/>
  <c r="R15" i="11" s="1"/>
  <c r="U41" i="19"/>
  <c r="V23" i="19"/>
  <c r="U30" i="19"/>
  <c r="W5" i="19"/>
  <c r="V38" i="19"/>
  <c r="V27" i="19"/>
  <c r="V34" i="19"/>
  <c r="V39" i="19"/>
  <c r="W39" i="19" s="1"/>
  <c r="V33" i="19"/>
  <c r="U36" i="19"/>
  <c r="V35" i="19"/>
  <c r="V24" i="19"/>
  <c r="W24" i="19" s="1"/>
  <c r="V29" i="19"/>
  <c r="V40" i="19"/>
  <c r="V28" i="19"/>
  <c r="V22" i="19"/>
  <c r="U25" i="19"/>
  <c r="E29" i="18" l="1"/>
  <c r="E10" i="15"/>
  <c r="E32" i="18" s="1"/>
  <c r="P31" i="11"/>
  <c r="P33" i="11" s="1"/>
  <c r="P34" i="11" s="1"/>
  <c r="AA21" i="11"/>
  <c r="Q30" i="11"/>
  <c r="Q29" i="11"/>
  <c r="Q23" i="11"/>
  <c r="Q22" i="11"/>
  <c r="U14" i="19"/>
  <c r="V8" i="19"/>
  <c r="V9" i="19" s="1"/>
  <c r="W6" i="11"/>
  <c r="W7" i="19" s="1"/>
  <c r="X6" i="19"/>
  <c r="R73" i="19"/>
  <c r="R11" i="11" s="1"/>
  <c r="R8" i="11"/>
  <c r="R14" i="11" s="1"/>
  <c r="R18" i="11" s="1"/>
  <c r="V41" i="19"/>
  <c r="S18" i="11"/>
  <c r="S73" i="19"/>
  <c r="S11" i="11" s="1"/>
  <c r="W35" i="19"/>
  <c r="W40" i="19"/>
  <c r="W28" i="19"/>
  <c r="W34" i="19"/>
  <c r="V30" i="19"/>
  <c r="W29" i="19"/>
  <c r="W33" i="19"/>
  <c r="V36" i="19"/>
  <c r="X5" i="19"/>
  <c r="X35" i="19" s="1"/>
  <c r="W38" i="19"/>
  <c r="W41" i="19" s="1"/>
  <c r="W27" i="19"/>
  <c r="W23" i="19"/>
  <c r="W22" i="19"/>
  <c r="V25" i="19"/>
  <c r="Q31" i="11" l="1"/>
  <c r="Q33" i="11" s="1"/>
  <c r="Q34" i="11" s="1"/>
  <c r="R30" i="11"/>
  <c r="R29" i="11"/>
  <c r="S30" i="11"/>
  <c r="S29" i="11"/>
  <c r="AB21" i="11"/>
  <c r="S22" i="11"/>
  <c r="S23" i="11"/>
  <c r="R22" i="11"/>
  <c r="R23" i="11"/>
  <c r="T72" i="19"/>
  <c r="T10" i="11" s="1"/>
  <c r="T16" i="11" s="1"/>
  <c r="W8" i="19"/>
  <c r="W9" i="19" s="1"/>
  <c r="T71" i="19"/>
  <c r="T9" i="11" s="1"/>
  <c r="T15" i="11" s="1"/>
  <c r="T70" i="19"/>
  <c r="T8" i="11" s="1"/>
  <c r="T14" i="11" s="1"/>
  <c r="T67" i="19"/>
  <c r="V14" i="19"/>
  <c r="V13" i="19"/>
  <c r="V17" i="19"/>
  <c r="V16" i="19"/>
  <c r="X6" i="11"/>
  <c r="X7" i="19" s="1"/>
  <c r="X8" i="19" s="1"/>
  <c r="Y6" i="19"/>
  <c r="X23" i="19"/>
  <c r="W30" i="19"/>
  <c r="Y5" i="19"/>
  <c r="X38" i="19"/>
  <c r="X27" i="19"/>
  <c r="X28" i="19"/>
  <c r="X39" i="19"/>
  <c r="Y39" i="19" s="1"/>
  <c r="X33" i="19"/>
  <c r="W36" i="19"/>
  <c r="X24" i="19"/>
  <c r="X29" i="19"/>
  <c r="X34" i="19"/>
  <c r="X40" i="19"/>
  <c r="X22" i="19"/>
  <c r="W25" i="19"/>
  <c r="S31" i="11" l="1"/>
  <c r="S33" i="11" s="1"/>
  <c r="S34" i="11" s="1"/>
  <c r="R31" i="11"/>
  <c r="R33" i="11" s="1"/>
  <c r="R34" i="11" s="1"/>
  <c r="AC21" i="11"/>
  <c r="W13" i="19"/>
  <c r="U72" i="19"/>
  <c r="U10" i="11" s="1"/>
  <c r="U16" i="11" s="1"/>
  <c r="W14" i="19"/>
  <c r="T18" i="11"/>
  <c r="T73" i="19"/>
  <c r="T11" i="11" s="1"/>
  <c r="U71" i="19"/>
  <c r="U9" i="11" s="1"/>
  <c r="U15" i="11" s="1"/>
  <c r="X41" i="19"/>
  <c r="W17" i="19"/>
  <c r="X17" i="19" s="1"/>
  <c r="W16" i="19"/>
  <c r="X16" i="19" s="1"/>
  <c r="X9" i="19"/>
  <c r="U70" i="19"/>
  <c r="U67" i="19"/>
  <c r="Y6" i="11"/>
  <c r="Y7" i="19" s="1"/>
  <c r="Z6" i="19"/>
  <c r="Y24" i="19"/>
  <c r="Z5" i="19"/>
  <c r="Z39" i="19" s="1"/>
  <c r="Y38" i="19"/>
  <c r="Y27" i="19"/>
  <c r="Y40" i="19"/>
  <c r="Y23" i="19"/>
  <c r="Z23" i="19" s="1"/>
  <c r="Y28" i="19"/>
  <c r="Z28" i="19" s="1"/>
  <c r="Y35" i="19"/>
  <c r="Y34" i="19"/>
  <c r="X30" i="19"/>
  <c r="Y29" i="19"/>
  <c r="Z29" i="19" s="1"/>
  <c r="Y33" i="19"/>
  <c r="X36" i="19"/>
  <c r="Y22" i="19"/>
  <c r="X25" i="19"/>
  <c r="Z34" i="19" l="1"/>
  <c r="Z35" i="19"/>
  <c r="AD21" i="11"/>
  <c r="T30" i="11"/>
  <c r="T29" i="11"/>
  <c r="T23" i="11"/>
  <c r="T22" i="11"/>
  <c r="X13" i="19"/>
  <c r="X14" i="19"/>
  <c r="Y8" i="19"/>
  <c r="Y9" i="19" s="1"/>
  <c r="V72" i="19"/>
  <c r="V10" i="11" s="1"/>
  <c r="V16" i="11" s="1"/>
  <c r="U73" i="19"/>
  <c r="U11" i="11" s="1"/>
  <c r="U8" i="11"/>
  <c r="U14" i="11" s="1"/>
  <c r="U18" i="11" s="1"/>
  <c r="V70" i="19"/>
  <c r="V67" i="19"/>
  <c r="V71" i="19"/>
  <c r="V9" i="11" s="1"/>
  <c r="V15" i="11" s="1"/>
  <c r="Y41" i="19"/>
  <c r="Z6" i="11"/>
  <c r="Z7" i="19" s="1"/>
  <c r="AA6" i="19"/>
  <c r="Z40" i="19"/>
  <c r="AA5" i="19"/>
  <c r="Z38" i="19"/>
  <c r="Z27" i="19"/>
  <c r="Z30" i="19" s="1"/>
  <c r="Z33" i="19"/>
  <c r="Y36" i="19"/>
  <c r="Y30" i="19"/>
  <c r="Z24" i="19"/>
  <c r="Z22" i="19"/>
  <c r="Y25" i="19"/>
  <c r="AA34" i="19" l="1"/>
  <c r="U30" i="11"/>
  <c r="U29" i="11"/>
  <c r="T31" i="11"/>
  <c r="T33" i="11" s="1"/>
  <c r="T34" i="11" s="1"/>
  <c r="AE21" i="11"/>
  <c r="U23" i="11"/>
  <c r="U22" i="11"/>
  <c r="W70" i="19"/>
  <c r="W8" i="11" s="1"/>
  <c r="W14" i="11" s="1"/>
  <c r="W72" i="19"/>
  <c r="W10" i="11" s="1"/>
  <c r="W16" i="11" s="1"/>
  <c r="W67" i="19"/>
  <c r="W71" i="19"/>
  <c r="W9" i="11" s="1"/>
  <c r="W15" i="11" s="1"/>
  <c r="Y13" i="19"/>
  <c r="Y14" i="19"/>
  <c r="Y16" i="19"/>
  <c r="Y17" i="19"/>
  <c r="Z8" i="19"/>
  <c r="Z9" i="19" s="1"/>
  <c r="V73" i="19"/>
  <c r="V11" i="11" s="1"/>
  <c r="V8" i="11"/>
  <c r="V14" i="11" s="1"/>
  <c r="V18" i="11" s="1"/>
  <c r="AA6" i="11"/>
  <c r="AA7" i="19" s="1"/>
  <c r="AB6" i="19"/>
  <c r="Z41" i="19"/>
  <c r="AA39" i="19"/>
  <c r="AB5" i="19"/>
  <c r="AA38" i="19"/>
  <c r="AA27" i="19"/>
  <c r="AA24" i="19"/>
  <c r="AA33" i="19"/>
  <c r="Z36" i="19"/>
  <c r="AA29" i="19"/>
  <c r="AA23" i="19"/>
  <c r="AA35" i="19"/>
  <c r="AA40" i="19"/>
  <c r="AA28" i="19"/>
  <c r="AA22" i="19"/>
  <c r="Z25" i="19"/>
  <c r="AB39" i="19" l="1"/>
  <c r="U31" i="11"/>
  <c r="U33" i="11" s="1"/>
  <c r="U34" i="11" s="1"/>
  <c r="V30" i="11"/>
  <c r="V29" i="11"/>
  <c r="AF21" i="11"/>
  <c r="V23" i="11"/>
  <c r="V22" i="11"/>
  <c r="W18" i="11"/>
  <c r="X71" i="19"/>
  <c r="X9" i="11" s="1"/>
  <c r="X15" i="11" s="1"/>
  <c r="W73" i="19"/>
  <c r="W11" i="11" s="1"/>
  <c r="X70" i="19"/>
  <c r="X67" i="19"/>
  <c r="X72" i="19"/>
  <c r="X10" i="11" s="1"/>
  <c r="X16" i="11" s="1"/>
  <c r="AA8" i="19"/>
  <c r="AA9" i="19" s="1"/>
  <c r="AB6" i="11"/>
  <c r="AB7" i="19" s="1"/>
  <c r="AC6" i="19"/>
  <c r="Z13" i="19"/>
  <c r="Z16" i="19"/>
  <c r="Z17" i="19"/>
  <c r="Z14" i="19"/>
  <c r="AA41" i="19"/>
  <c r="AB33" i="19"/>
  <c r="AA36" i="19"/>
  <c r="AC5" i="19"/>
  <c r="AB38" i="19"/>
  <c r="AB27" i="19"/>
  <c r="AB28" i="19"/>
  <c r="AB23" i="19"/>
  <c r="AC23" i="19" s="1"/>
  <c r="AB24" i="19"/>
  <c r="AB34" i="19"/>
  <c r="AB40" i="19"/>
  <c r="AB29" i="19"/>
  <c r="AC29" i="19" s="1"/>
  <c r="AA30" i="19"/>
  <c r="AB35" i="19"/>
  <c r="AB22" i="19"/>
  <c r="AA25" i="19"/>
  <c r="V31" i="11" l="1"/>
  <c r="V33" i="11" s="1"/>
  <c r="V34" i="11" s="1"/>
  <c r="W30" i="11"/>
  <c r="W29" i="11"/>
  <c r="AG21" i="11"/>
  <c r="W23" i="11"/>
  <c r="W22" i="11"/>
  <c r="AA16" i="19"/>
  <c r="X8" i="11"/>
  <c r="X14" i="11" s="1"/>
  <c r="X18" i="11" s="1"/>
  <c r="X73" i="19"/>
  <c r="X11" i="11" s="1"/>
  <c r="Y72" i="19"/>
  <c r="Y10" i="11" s="1"/>
  <c r="Y16" i="11" s="1"/>
  <c r="Y70" i="19"/>
  <c r="Y67" i="19"/>
  <c r="AA17" i="19"/>
  <c r="Y71" i="19"/>
  <c r="Y9" i="11" s="1"/>
  <c r="Y15" i="11" s="1"/>
  <c r="AB8" i="19"/>
  <c r="AB9" i="19" s="1"/>
  <c r="AA14" i="19"/>
  <c r="AA13" i="19"/>
  <c r="AC6" i="11"/>
  <c r="AC7" i="19" s="1"/>
  <c r="AD6" i="19"/>
  <c r="AB41" i="19"/>
  <c r="AC35" i="19"/>
  <c r="AC34" i="19"/>
  <c r="AD5" i="19"/>
  <c r="AD29" i="19" s="1"/>
  <c r="AC38" i="19"/>
  <c r="AC27" i="19"/>
  <c r="AC40" i="19"/>
  <c r="AC28" i="19"/>
  <c r="AD28" i="19" s="1"/>
  <c r="AB30" i="19"/>
  <c r="AC33" i="19"/>
  <c r="AB36" i="19"/>
  <c r="AC24" i="19"/>
  <c r="AC39" i="19"/>
  <c r="AC22" i="19"/>
  <c r="AB25" i="19"/>
  <c r="W31" i="11" l="1"/>
  <c r="W33" i="11" s="1"/>
  <c r="W34" i="11" s="1"/>
  <c r="AH21" i="11"/>
  <c r="X30" i="11"/>
  <c r="X29" i="11"/>
  <c r="X23" i="11"/>
  <c r="X22" i="11"/>
  <c r="Y8" i="11"/>
  <c r="Y14" i="11" s="1"/>
  <c r="Y18" i="11" s="1"/>
  <c r="Y73" i="19"/>
  <c r="Y11" i="11" s="1"/>
  <c r="AC8" i="19"/>
  <c r="AC9" i="19" s="1"/>
  <c r="Z67" i="19"/>
  <c r="Z70" i="19"/>
  <c r="AD24" i="19"/>
  <c r="AD34" i="19"/>
  <c r="AD6" i="11"/>
  <c r="AD7" i="19" s="1"/>
  <c r="AE6" i="19"/>
  <c r="Z72" i="19"/>
  <c r="Z10" i="11" s="1"/>
  <c r="Z16" i="11" s="1"/>
  <c r="Z71" i="19"/>
  <c r="Z9" i="11" s="1"/>
  <c r="Z15" i="11" s="1"/>
  <c r="AB13" i="19"/>
  <c r="AB17" i="19"/>
  <c r="AB16" i="19"/>
  <c r="AB14" i="19"/>
  <c r="AC41" i="19"/>
  <c r="AD35" i="19"/>
  <c r="AD39" i="19"/>
  <c r="AD40" i="19"/>
  <c r="AD23" i="19"/>
  <c r="AC30" i="19"/>
  <c r="AD33" i="19"/>
  <c r="AC36" i="19"/>
  <c r="AE5" i="19"/>
  <c r="AE28" i="19" s="1"/>
  <c r="AD38" i="19"/>
  <c r="AD27" i="19"/>
  <c r="AD30" i="19" s="1"/>
  <c r="AE29" i="19"/>
  <c r="AD22" i="19"/>
  <c r="AC25" i="19"/>
  <c r="Y30" i="11" l="1"/>
  <c r="Y29" i="11"/>
  <c r="AI21" i="11"/>
  <c r="X31" i="11"/>
  <c r="X33" i="11" s="1"/>
  <c r="X34" i="11" s="1"/>
  <c r="Y23" i="11"/>
  <c r="Y22" i="11"/>
  <c r="AD8" i="19"/>
  <c r="AD9" i="19" s="1"/>
  <c r="AD41" i="19"/>
  <c r="AE6" i="11"/>
  <c r="AE7" i="19" s="1"/>
  <c r="AF6" i="19"/>
  <c r="AA72" i="19"/>
  <c r="AA10" i="11" s="1"/>
  <c r="AA16" i="11" s="1"/>
  <c r="AA67" i="19"/>
  <c r="AA70" i="19"/>
  <c r="AE23" i="19"/>
  <c r="AE40" i="19"/>
  <c r="Z8" i="11"/>
  <c r="Z14" i="11" s="1"/>
  <c r="Z18" i="11" s="1"/>
  <c r="Z73" i="19"/>
  <c r="Z11" i="11" s="1"/>
  <c r="AE24" i="19"/>
  <c r="AA71" i="19"/>
  <c r="AA9" i="11" s="1"/>
  <c r="AA15" i="11" s="1"/>
  <c r="AC13" i="19"/>
  <c r="AC14" i="19"/>
  <c r="AC17" i="19"/>
  <c r="AC16" i="19"/>
  <c r="AE34" i="19"/>
  <c r="AE39" i="19"/>
  <c r="AE33" i="19"/>
  <c r="AD36" i="19"/>
  <c r="AF5" i="19"/>
  <c r="AF28" i="19" s="1"/>
  <c r="AE38" i="19"/>
  <c r="AE27" i="19"/>
  <c r="AE30" i="19" s="1"/>
  <c r="AE35" i="19"/>
  <c r="AE22" i="19"/>
  <c r="AD25" i="19"/>
  <c r="Y31" i="11" l="1"/>
  <c r="Y33" i="11" s="1"/>
  <c r="Y34" i="11" s="1"/>
  <c r="AJ21" i="11"/>
  <c r="Z30" i="11"/>
  <c r="Z29" i="11"/>
  <c r="Z23" i="11"/>
  <c r="Z22" i="11"/>
  <c r="AD16" i="19"/>
  <c r="AD17" i="19"/>
  <c r="AE8" i="19"/>
  <c r="AE9" i="19" s="1"/>
  <c r="AD14" i="19"/>
  <c r="AE41" i="19"/>
  <c r="AB67" i="19"/>
  <c r="AB70" i="19"/>
  <c r="AB8" i="11" s="1"/>
  <c r="F7" i="15" s="1"/>
  <c r="AB71" i="19"/>
  <c r="AB9" i="11" s="1"/>
  <c r="AF6" i="11"/>
  <c r="AF7" i="19" s="1"/>
  <c r="AF8" i="19" s="1"/>
  <c r="AG6" i="19"/>
  <c r="AB72" i="19"/>
  <c r="AB10" i="11" s="1"/>
  <c r="AA73" i="19"/>
  <c r="AA11" i="11" s="1"/>
  <c r="AA8" i="11"/>
  <c r="AA14" i="11" s="1"/>
  <c r="AA18" i="11" s="1"/>
  <c r="AD13" i="19"/>
  <c r="AF35" i="19"/>
  <c r="AG35" i="19" s="1"/>
  <c r="AG5" i="19"/>
  <c r="AF38" i="19"/>
  <c r="AF27" i="19"/>
  <c r="AF34" i="19"/>
  <c r="AF40" i="19"/>
  <c r="AF33" i="19"/>
  <c r="AE36" i="19"/>
  <c r="AF24" i="19"/>
  <c r="AG24" i="19" s="1"/>
  <c r="AF29" i="19"/>
  <c r="AF23" i="19"/>
  <c r="AF39" i="19"/>
  <c r="AF22" i="19"/>
  <c r="AE25" i="19"/>
  <c r="AB16" i="11" l="1"/>
  <c r="F9" i="15"/>
  <c r="F31" i="18" s="1"/>
  <c r="F29" i="18"/>
  <c r="AB15" i="11"/>
  <c r="F8" i="15"/>
  <c r="F30" i="18" s="1"/>
  <c r="Z31" i="11"/>
  <c r="Z33" i="11" s="1"/>
  <c r="Z34" i="11" s="1"/>
  <c r="AA30" i="11"/>
  <c r="AA29" i="11"/>
  <c r="AK21" i="11"/>
  <c r="AA23" i="11"/>
  <c r="AA22" i="11"/>
  <c r="AF9" i="19"/>
  <c r="AE13" i="19"/>
  <c r="AE16" i="19"/>
  <c r="AF16" i="19" s="1"/>
  <c r="AE17" i="19"/>
  <c r="AF17" i="19" s="1"/>
  <c r="AE14" i="19"/>
  <c r="AF14" i="19" s="1"/>
  <c r="AC72" i="19"/>
  <c r="AC10" i="11" s="1"/>
  <c r="AC16" i="11" s="1"/>
  <c r="AG6" i="11"/>
  <c r="AG7" i="19" s="1"/>
  <c r="AH6" i="19"/>
  <c r="AB14" i="11"/>
  <c r="AB73" i="19"/>
  <c r="AB11" i="11" s="1"/>
  <c r="AC70" i="19"/>
  <c r="AC67" i="19"/>
  <c r="AC71" i="19"/>
  <c r="AC9" i="11" s="1"/>
  <c r="AC15" i="11" s="1"/>
  <c r="AF41" i="19"/>
  <c r="AG39" i="19"/>
  <c r="AG34" i="19"/>
  <c r="AG23" i="19"/>
  <c r="AF30" i="19"/>
  <c r="AG29" i="19"/>
  <c r="AG33" i="19"/>
  <c r="AF36" i="19"/>
  <c r="AG40" i="19"/>
  <c r="AH5" i="19"/>
  <c r="AH24" i="19" s="1"/>
  <c r="AG38" i="19"/>
  <c r="AG27" i="19"/>
  <c r="AG28" i="19"/>
  <c r="AG22" i="19"/>
  <c r="AF25" i="19"/>
  <c r="AB18" i="11" l="1"/>
  <c r="F10" i="15"/>
  <c r="F32" i="18" s="1"/>
  <c r="AL21" i="11"/>
  <c r="AB30" i="11"/>
  <c r="AB29" i="11"/>
  <c r="AA31" i="11"/>
  <c r="AA33" i="11" s="1"/>
  <c r="AA34" i="11" s="1"/>
  <c r="AB23" i="11"/>
  <c r="AB22" i="11"/>
  <c r="AG41" i="19"/>
  <c r="AG8" i="19"/>
  <c r="AG9" i="19" s="1"/>
  <c r="AC73" i="19"/>
  <c r="AC11" i="11" s="1"/>
  <c r="AC8" i="11"/>
  <c r="AC14" i="11" s="1"/>
  <c r="AC18" i="11" s="1"/>
  <c r="AH6" i="11"/>
  <c r="AH7" i="19" s="1"/>
  <c r="AH8" i="19" s="1"/>
  <c r="AH9" i="19" s="1"/>
  <c r="AI6" i="19"/>
  <c r="AD72" i="19"/>
  <c r="AD10" i="11" s="1"/>
  <c r="AD16" i="11" s="1"/>
  <c r="AD71" i="19"/>
  <c r="AD9" i="11" s="1"/>
  <c r="AD15" i="11" s="1"/>
  <c r="AD67" i="19"/>
  <c r="AD70" i="19"/>
  <c r="AF13" i="19"/>
  <c r="AH28" i="19"/>
  <c r="AH34" i="19"/>
  <c r="AH29" i="19"/>
  <c r="AH39" i="19"/>
  <c r="AH35" i="19"/>
  <c r="AG30" i="19"/>
  <c r="AH33" i="19"/>
  <c r="AG36" i="19"/>
  <c r="AI5" i="19"/>
  <c r="AH38" i="19"/>
  <c r="AH27" i="19"/>
  <c r="AH40" i="19"/>
  <c r="AH23" i="19"/>
  <c r="AH22" i="19"/>
  <c r="AG25" i="19"/>
  <c r="AI23" i="19" l="1"/>
  <c r="AB31" i="11"/>
  <c r="AB33" i="11" s="1"/>
  <c r="AB34" i="11" s="1"/>
  <c r="AC30" i="11"/>
  <c r="AC29" i="11"/>
  <c r="AM21" i="11"/>
  <c r="AC23" i="11"/>
  <c r="AC22" i="11"/>
  <c r="AF67" i="19"/>
  <c r="AI6" i="11"/>
  <c r="AI7" i="19" s="1"/>
  <c r="AJ6" i="19"/>
  <c r="AE72" i="19"/>
  <c r="AE10" i="11" s="1"/>
  <c r="AE16" i="11" s="1"/>
  <c r="AH30" i="19"/>
  <c r="AF71" i="19"/>
  <c r="AF9" i="11" s="1"/>
  <c r="AF15" i="11" s="1"/>
  <c r="AF72" i="19"/>
  <c r="AF10" i="11" s="1"/>
  <c r="AF16" i="11" s="1"/>
  <c r="AD8" i="11"/>
  <c r="AD14" i="11" s="1"/>
  <c r="AD18" i="11" s="1"/>
  <c r="AD73" i="19"/>
  <c r="AD11" i="11" s="1"/>
  <c r="AE70" i="19"/>
  <c r="AE67" i="19"/>
  <c r="AH41" i="19"/>
  <c r="AE71" i="19"/>
  <c r="AE9" i="11" s="1"/>
  <c r="AE15" i="11" s="1"/>
  <c r="AG17" i="19"/>
  <c r="AH17" i="19" s="1"/>
  <c r="AG16" i="19"/>
  <c r="AH16" i="19" s="1"/>
  <c r="AG14" i="19"/>
  <c r="AG13" i="19"/>
  <c r="AI29" i="19"/>
  <c r="AI35" i="19"/>
  <c r="AJ5" i="19"/>
  <c r="AJ23" i="19" s="1"/>
  <c r="AI38" i="19"/>
  <c r="AI27" i="19"/>
  <c r="AI33" i="19"/>
  <c r="AH36" i="19"/>
  <c r="AI39" i="19"/>
  <c r="AI40" i="19"/>
  <c r="AI34" i="19"/>
  <c r="AI28" i="19"/>
  <c r="AJ28" i="19" s="1"/>
  <c r="AI24" i="19"/>
  <c r="AI22" i="19"/>
  <c r="AH25" i="19"/>
  <c r="AD30" i="11" l="1"/>
  <c r="AD29" i="11"/>
  <c r="AN21" i="11"/>
  <c r="AC31" i="11"/>
  <c r="AC33" i="11" s="1"/>
  <c r="AC34" i="11" s="1"/>
  <c r="AD23" i="11"/>
  <c r="AD22" i="11"/>
  <c r="AI8" i="19"/>
  <c r="AI9" i="19" s="1"/>
  <c r="AH13" i="19"/>
  <c r="AE8" i="11"/>
  <c r="AE14" i="11" s="1"/>
  <c r="AE18" i="11" s="1"/>
  <c r="AE73" i="19"/>
  <c r="AE11" i="11" s="1"/>
  <c r="AJ6" i="11"/>
  <c r="AJ7" i="19" s="1"/>
  <c r="AK6" i="19"/>
  <c r="AH14" i="19"/>
  <c r="AF70" i="19"/>
  <c r="AI41" i="19"/>
  <c r="AJ24" i="19"/>
  <c r="AJ39" i="19"/>
  <c r="AJ34" i="19"/>
  <c r="AJ35" i="19"/>
  <c r="AJ33" i="19"/>
  <c r="AI36" i="19"/>
  <c r="AJ40" i="19"/>
  <c r="AI30" i="19"/>
  <c r="AK5" i="19"/>
  <c r="AJ38" i="19"/>
  <c r="AJ27" i="19"/>
  <c r="AJ29" i="19"/>
  <c r="AJ22" i="19"/>
  <c r="AI25" i="19"/>
  <c r="AD31" i="11" l="1"/>
  <c r="AD33" i="11" s="1"/>
  <c r="AD34" i="11" s="1"/>
  <c r="AE30" i="11"/>
  <c r="AE29" i="11"/>
  <c r="AE22" i="11"/>
  <c r="AE23" i="11"/>
  <c r="AG72" i="19"/>
  <c r="AG10" i="11" s="1"/>
  <c r="AG16" i="11" s="1"/>
  <c r="AJ8" i="19"/>
  <c r="AJ9" i="19" s="1"/>
  <c r="AF8" i="11"/>
  <c r="AF14" i="11" s="1"/>
  <c r="AF18" i="11" s="1"/>
  <c r="AF73" i="19"/>
  <c r="AF11" i="11" s="1"/>
  <c r="AG70" i="19"/>
  <c r="AG67" i="19"/>
  <c r="AJ41" i="19"/>
  <c r="AK6" i="11"/>
  <c r="AK7" i="19" s="1"/>
  <c r="AL6" i="19"/>
  <c r="AG71" i="19"/>
  <c r="AG9" i="11" s="1"/>
  <c r="AG15" i="11" s="1"/>
  <c r="AI16" i="19"/>
  <c r="AJ16" i="19" s="1"/>
  <c r="AI17" i="19"/>
  <c r="AI14" i="19"/>
  <c r="AI13" i="19"/>
  <c r="AJ30" i="19"/>
  <c r="AL5" i="19"/>
  <c r="AK38" i="19"/>
  <c r="AK27" i="19"/>
  <c r="AK24" i="19"/>
  <c r="AK29" i="19"/>
  <c r="AL29" i="19" s="1"/>
  <c r="AK28" i="19"/>
  <c r="AK33" i="19"/>
  <c r="AJ36" i="19"/>
  <c r="AK40" i="19"/>
  <c r="AL40" i="19" s="1"/>
  <c r="AK34" i="19"/>
  <c r="AK39" i="19"/>
  <c r="AK23" i="19"/>
  <c r="AK35" i="19"/>
  <c r="AL35" i="19" s="1"/>
  <c r="AK22" i="19"/>
  <c r="AJ25" i="19"/>
  <c r="AF30" i="11" l="1"/>
  <c r="AF29" i="11"/>
  <c r="AE31" i="11"/>
  <c r="AE33" i="11" s="1"/>
  <c r="AE34" i="11" s="1"/>
  <c r="AF23" i="11"/>
  <c r="AF22" i="11"/>
  <c r="AJ17" i="19"/>
  <c r="AH71" i="19"/>
  <c r="AH9" i="11" s="1"/>
  <c r="AH15" i="11" s="1"/>
  <c r="AK8" i="19"/>
  <c r="AK9" i="19" s="1"/>
  <c r="AJ13" i="19"/>
  <c r="AJ14" i="19"/>
  <c r="AL6" i="11"/>
  <c r="AL7" i="19" s="1"/>
  <c r="AL8" i="19" s="1"/>
  <c r="AM6" i="19"/>
  <c r="AL34" i="19"/>
  <c r="AL28" i="19"/>
  <c r="AG73" i="19"/>
  <c r="AG11" i="11" s="1"/>
  <c r="AG8" i="11"/>
  <c r="AG14" i="11" s="1"/>
  <c r="AG18" i="11" s="1"/>
  <c r="AH72" i="19"/>
  <c r="AH10" i="11" s="1"/>
  <c r="AH16" i="11" s="1"/>
  <c r="AH67" i="19"/>
  <c r="AH70" i="19"/>
  <c r="AK41" i="19"/>
  <c r="AM5" i="19"/>
  <c r="AM35" i="19" s="1"/>
  <c r="AL38" i="19"/>
  <c r="AL27" i="19"/>
  <c r="AL23" i="19"/>
  <c r="AL24" i="19"/>
  <c r="AM24" i="19" s="1"/>
  <c r="AL39" i="19"/>
  <c r="AL33" i="19"/>
  <c r="AK36" i="19"/>
  <c r="AK30" i="19"/>
  <c r="AL22" i="19"/>
  <c r="AK25" i="19"/>
  <c r="AF31" i="11" l="1"/>
  <c r="AF33" i="11" s="1"/>
  <c r="AF34" i="11" s="1"/>
  <c r="AG30" i="11"/>
  <c r="AG29" i="11"/>
  <c r="AG23" i="11"/>
  <c r="AG22" i="11"/>
  <c r="AL9" i="19"/>
  <c r="AL30" i="19"/>
  <c r="AI72" i="19"/>
  <c r="AI10" i="11" s="1"/>
  <c r="AI16" i="11" s="1"/>
  <c r="AM6" i="11"/>
  <c r="AM7" i="19" s="1"/>
  <c r="AM8" i="19" s="1"/>
  <c r="AN6" i="19"/>
  <c r="AI70" i="19"/>
  <c r="AI67" i="19"/>
  <c r="AH73" i="19"/>
  <c r="AH11" i="11" s="1"/>
  <c r="AH8" i="11"/>
  <c r="AH14" i="11" s="1"/>
  <c r="AH18" i="11" s="1"/>
  <c r="AI71" i="19"/>
  <c r="AI9" i="11" s="1"/>
  <c r="AI15" i="11" s="1"/>
  <c r="AK13" i="19"/>
  <c r="AK16" i="19"/>
  <c r="AL16" i="19" s="1"/>
  <c r="AK17" i="19"/>
  <c r="AL17" i="19" s="1"/>
  <c r="AK14" i="19"/>
  <c r="AL41" i="19"/>
  <c r="AM23" i="19"/>
  <c r="AM40" i="19"/>
  <c r="AM33" i="19"/>
  <c r="AL36" i="19"/>
  <c r="AM39" i="19"/>
  <c r="AN5" i="19"/>
  <c r="AM38" i="19"/>
  <c r="AM27" i="19"/>
  <c r="AM28" i="19"/>
  <c r="AM29" i="19"/>
  <c r="AM34" i="19"/>
  <c r="AM22" i="19"/>
  <c r="AL25" i="19"/>
  <c r="AN23" i="19" l="1"/>
  <c r="AG31" i="11"/>
  <c r="AG33" i="11" s="1"/>
  <c r="AG34" i="11" s="1"/>
  <c r="AH30" i="11"/>
  <c r="AH29" i="11"/>
  <c r="AH23" i="11"/>
  <c r="AH22" i="11"/>
  <c r="AM17" i="19"/>
  <c r="AM16" i="19"/>
  <c r="AN6" i="11"/>
  <c r="AM41" i="19"/>
  <c r="AL14" i="19"/>
  <c r="AJ72" i="19"/>
  <c r="AJ10" i="11" s="1"/>
  <c r="AJ16" i="11" s="1"/>
  <c r="AL13" i="19"/>
  <c r="AM13" i="19" s="1"/>
  <c r="AM9" i="19"/>
  <c r="AJ70" i="19"/>
  <c r="AJ67" i="19"/>
  <c r="AJ71" i="19"/>
  <c r="AJ9" i="11" s="1"/>
  <c r="AJ15" i="11" s="1"/>
  <c r="AI73" i="19"/>
  <c r="AI11" i="11" s="1"/>
  <c r="AI8" i="11"/>
  <c r="AI14" i="11" s="1"/>
  <c r="AI18" i="11" s="1"/>
  <c r="AN29" i="19"/>
  <c r="AN34" i="19"/>
  <c r="AN38" i="19"/>
  <c r="AN27" i="19"/>
  <c r="AN40" i="19"/>
  <c r="AN28" i="19"/>
  <c r="AN24" i="19"/>
  <c r="AM30" i="19"/>
  <c r="AN33" i="19"/>
  <c r="AM36" i="19"/>
  <c r="AN39" i="19"/>
  <c r="AN35" i="19"/>
  <c r="AN22" i="19"/>
  <c r="AM25" i="19"/>
  <c r="AN7" i="19" l="1"/>
  <c r="G16" i="16"/>
  <c r="E9" i="16"/>
  <c r="E17" i="16"/>
  <c r="E15" i="15"/>
  <c r="E13" i="18" s="1"/>
  <c r="E24" i="16"/>
  <c r="F12" i="16"/>
  <c r="F16" i="15"/>
  <c r="F14" i="18" s="1"/>
  <c r="F21" i="16"/>
  <c r="G18" i="16"/>
  <c r="F15" i="15"/>
  <c r="F13" i="18" s="1"/>
  <c r="F5" i="16"/>
  <c r="F23" i="16"/>
  <c r="E25" i="16"/>
  <c r="F20" i="16"/>
  <c r="E12" i="15"/>
  <c r="E10" i="18" s="1"/>
  <c r="F12" i="15"/>
  <c r="F10" i="18" s="1"/>
  <c r="F6" i="16"/>
  <c r="F26" i="16"/>
  <c r="G29" i="16"/>
  <c r="G25" i="16"/>
  <c r="E16" i="16"/>
  <c r="E14" i="16"/>
  <c r="F15" i="16"/>
  <c r="F10" i="16"/>
  <c r="F30" i="16"/>
  <c r="F32" i="16" s="1"/>
  <c r="F35" i="16" s="1"/>
  <c r="E10" i="16"/>
  <c r="F24" i="16"/>
  <c r="F14" i="16"/>
  <c r="G10" i="16"/>
  <c r="E22" i="16"/>
  <c r="F7" i="16"/>
  <c r="F25" i="16"/>
  <c r="F27" i="16"/>
  <c r="E23" i="16"/>
  <c r="F28" i="16"/>
  <c r="F16" i="16"/>
  <c r="F19" i="16"/>
  <c r="F9" i="16"/>
  <c r="E16" i="15"/>
  <c r="E14" i="18" s="1"/>
  <c r="F13" i="16"/>
  <c r="G21" i="16"/>
  <c r="F8" i="16"/>
  <c r="E21" i="16"/>
  <c r="E29" i="16"/>
  <c r="G23" i="16"/>
  <c r="G17" i="16"/>
  <c r="E18" i="16"/>
  <c r="F29" i="16"/>
  <c r="F14" i="15"/>
  <c r="F18" i="16"/>
  <c r="F11" i="16"/>
  <c r="G9" i="16"/>
  <c r="G22" i="16"/>
  <c r="F22" i="16"/>
  <c r="E14" i="15"/>
  <c r="F17" i="16"/>
  <c r="G24" i="16"/>
  <c r="G14" i="16"/>
  <c r="AH31" i="11"/>
  <c r="AH33" i="11" s="1"/>
  <c r="AH34" i="11" s="1"/>
  <c r="AI30" i="11"/>
  <c r="AI29" i="11"/>
  <c r="AI23" i="11"/>
  <c r="AI22" i="11"/>
  <c r="AK71" i="19"/>
  <c r="AK9" i="11" s="1"/>
  <c r="AK15" i="11" s="1"/>
  <c r="AN8" i="19"/>
  <c r="AN9" i="19" s="1"/>
  <c r="AK72" i="19"/>
  <c r="AK10" i="11" s="1"/>
  <c r="AK16" i="11" s="1"/>
  <c r="AJ8" i="11"/>
  <c r="AJ14" i="11" s="1"/>
  <c r="AJ18" i="11" s="1"/>
  <c r="AJ73" i="19"/>
  <c r="AJ11" i="11" s="1"/>
  <c r="AK70" i="19"/>
  <c r="AK67" i="19"/>
  <c r="AM14" i="19"/>
  <c r="AN41" i="19"/>
  <c r="AN25" i="19"/>
  <c r="AN36" i="19"/>
  <c r="AN30" i="19"/>
  <c r="F12" i="18" l="1"/>
  <c r="F17" i="15"/>
  <c r="F6" i="17"/>
  <c r="F8" i="17" s="1"/>
  <c r="E12" i="18"/>
  <c r="E17" i="15"/>
  <c r="AI31" i="11"/>
  <c r="AJ30" i="11"/>
  <c r="AJ29" i="11"/>
  <c r="AJ22" i="11"/>
  <c r="AJ23" i="11"/>
  <c r="AL71" i="19"/>
  <c r="AL9" i="11" s="1"/>
  <c r="AL15" i="11" s="1"/>
  <c r="AL72" i="19"/>
  <c r="AL10" i="11" s="1"/>
  <c r="AN16" i="19"/>
  <c r="AN13" i="19"/>
  <c r="AN17" i="19"/>
  <c r="AN14" i="19"/>
  <c r="AK8" i="11"/>
  <c r="AK14" i="11" s="1"/>
  <c r="AK18" i="11" s="1"/>
  <c r="AK73" i="19"/>
  <c r="AK11" i="11" s="1"/>
  <c r="AL67" i="19"/>
  <c r="AL70" i="19"/>
  <c r="E18" i="15" l="1"/>
  <c r="E19" i="15" s="1"/>
  <c r="E9" i="17" s="1"/>
  <c r="E15" i="18"/>
  <c r="F18" i="15"/>
  <c r="F15" i="18"/>
  <c r="AL16" i="11"/>
  <c r="AI33" i="11"/>
  <c r="AK30" i="11"/>
  <c r="AK29" i="11"/>
  <c r="AJ31" i="11"/>
  <c r="AJ33" i="11" s="1"/>
  <c r="AJ34" i="11" s="1"/>
  <c r="AK23" i="11"/>
  <c r="AK22" i="11"/>
  <c r="AL8" i="11"/>
  <c r="AL73" i="19"/>
  <c r="AL11" i="11" s="1"/>
  <c r="AM70" i="19"/>
  <c r="AM67" i="19"/>
  <c r="AM72" i="19"/>
  <c r="AM10" i="11" s="1"/>
  <c r="AM16" i="11" s="1"/>
  <c r="AM71" i="19"/>
  <c r="AM9" i="11" s="1"/>
  <c r="AM15" i="11" s="1"/>
  <c r="AL14" i="11" l="1"/>
  <c r="F19" i="15"/>
  <c r="F9" i="17" s="1"/>
  <c r="F10" i="17" s="1"/>
  <c r="F18" i="17" s="1"/>
  <c r="AI34" i="11"/>
  <c r="AK31" i="11"/>
  <c r="AL30" i="11"/>
  <c r="AL29" i="11"/>
  <c r="AL22" i="11"/>
  <c r="AL23" i="11"/>
  <c r="AN71" i="19"/>
  <c r="AN9" i="11" s="1"/>
  <c r="G6" i="16" s="1"/>
  <c r="AN67" i="19"/>
  <c r="AN70" i="19"/>
  <c r="AN72" i="19"/>
  <c r="AN10" i="11" s="1"/>
  <c r="G7" i="16" s="1"/>
  <c r="AM73" i="19"/>
  <c r="AM11" i="11" s="1"/>
  <c r="AM8" i="11"/>
  <c r="AM14" i="11" s="1"/>
  <c r="AM18" i="11" s="1"/>
  <c r="AN16" i="11" l="1"/>
  <c r="E7" i="16"/>
  <c r="AN15" i="11"/>
  <c r="E6" i="16"/>
  <c r="AL18" i="11"/>
  <c r="AK33" i="11"/>
  <c r="AM30" i="11"/>
  <c r="AM29" i="11"/>
  <c r="AL31" i="11"/>
  <c r="AL33" i="11" s="1"/>
  <c r="AL34" i="11" s="1"/>
  <c r="AM23" i="11"/>
  <c r="AM22" i="11"/>
  <c r="AN73" i="19"/>
  <c r="AN11" i="11" s="1"/>
  <c r="AN8" i="11"/>
  <c r="G8" i="15" l="1"/>
  <c r="G30" i="18" s="1"/>
  <c r="E12" i="16"/>
  <c r="G15" i="15"/>
  <c r="G13" i="18" s="1"/>
  <c r="G12" i="16"/>
  <c r="AN14" i="11"/>
  <c r="E5" i="16"/>
  <c r="E8" i="16"/>
  <c r="G8" i="16"/>
  <c r="AK34" i="11"/>
  <c r="G5" i="16"/>
  <c r="G9" i="15"/>
  <c r="G31" i="18" s="1"/>
  <c r="E13" i="16"/>
  <c r="G16" i="15"/>
  <c r="G14" i="18" s="1"/>
  <c r="G13" i="16"/>
  <c r="AM31" i="11"/>
  <c r="AN30" i="11"/>
  <c r="AN29" i="11"/>
  <c r="AN23" i="11"/>
  <c r="AN22" i="11"/>
  <c r="E19" i="16" l="1"/>
  <c r="G19" i="16"/>
  <c r="AM33" i="11"/>
  <c r="E20" i="16"/>
  <c r="G20" i="16"/>
  <c r="E26" i="16"/>
  <c r="G26" i="16"/>
  <c r="E27" i="16"/>
  <c r="G27" i="16"/>
  <c r="AN18" i="11"/>
  <c r="G7" i="15"/>
  <c r="E11" i="16"/>
  <c r="G14" i="15"/>
  <c r="G11" i="16"/>
  <c r="AN31" i="11"/>
  <c r="AN33" i="11" l="1"/>
  <c r="E28" i="16"/>
  <c r="G12" i="15"/>
  <c r="G10" i="18" s="1"/>
  <c r="G10" i="15"/>
  <c r="G32" i="18" s="1"/>
  <c r="G29" i="18"/>
  <c r="G28" i="16"/>
  <c r="E15" i="16"/>
  <c r="G15" i="16"/>
  <c r="AM34" i="11"/>
  <c r="G30" i="16"/>
  <c r="G32" i="16" s="1"/>
  <c r="G35" i="16" s="1"/>
  <c r="G12" i="18"/>
  <c r="G17" i="15"/>
  <c r="AN34" i="11" l="1"/>
  <c r="E30" i="16"/>
  <c r="E32" i="16" s="1"/>
  <c r="E35" i="16" s="1"/>
  <c r="G18" i="15"/>
  <c r="G19" i="15" s="1"/>
  <c r="G9" i="17" s="1"/>
  <c r="G15" i="18"/>
  <c r="G6" i="17"/>
  <c r="G8" i="17" s="1"/>
  <c r="G10" i="17" l="1"/>
  <c r="G18" i="17" s="1"/>
  <c r="E6" i="17"/>
  <c r="E8" i="17" s="1"/>
  <c r="E10" i="17" s="1"/>
  <c r="E18" i="17" s="1"/>
  <c r="E20" i="17" s="1"/>
  <c r="E7" i="18"/>
  <c r="F19" i="17" l="1"/>
  <c r="E33" i="18"/>
  <c r="E8" i="18"/>
  <c r="E17" i="18" s="1"/>
  <c r="F7" i="18"/>
  <c r="F20" i="17" l="1"/>
  <c r="F33" i="18" s="1"/>
  <c r="G7" i="18"/>
  <c r="G8" i="18" s="1"/>
  <c r="G17" i="18" s="1"/>
  <c r="F8" i="18"/>
  <c r="F17" i="18" s="1"/>
  <c r="G19" i="17" l="1"/>
  <c r="G20" i="17" s="1"/>
  <c r="G33" i="18" s="1"/>
</calcChain>
</file>

<file path=xl/sharedStrings.xml><?xml version="1.0" encoding="utf-8"?>
<sst xmlns="http://schemas.openxmlformats.org/spreadsheetml/2006/main" count="287" uniqueCount="172">
  <si>
    <t>Revenue</t>
  </si>
  <si>
    <t>Particulars</t>
  </si>
  <si>
    <t>Weekdays</t>
  </si>
  <si>
    <t>Weekend</t>
  </si>
  <si>
    <t>Lunch</t>
  </si>
  <si>
    <t>APC</t>
  </si>
  <si>
    <t>Alcoholic Beverages</t>
  </si>
  <si>
    <t>Non Alcoholic Beverages</t>
  </si>
  <si>
    <t>Food</t>
  </si>
  <si>
    <t>Y-O-Y Growth price rate</t>
  </si>
  <si>
    <t>Occupancy</t>
  </si>
  <si>
    <t>Number of Covers Available</t>
  </si>
  <si>
    <t>Number of Rounds Available</t>
  </si>
  <si>
    <t>Number of Covers Occupied/ Round</t>
  </si>
  <si>
    <t>MoM growth</t>
  </si>
  <si>
    <t>Maximum Occupancy/Round</t>
  </si>
  <si>
    <t>Dinner</t>
  </si>
  <si>
    <t>Y-O-Y Price Growth rate</t>
  </si>
  <si>
    <t xml:space="preserve">Direct Expenses </t>
  </si>
  <si>
    <t>Alcoholic Beverage cost (% of revenue)</t>
  </si>
  <si>
    <t>Non Alcoholic Beverages (% of revenue)</t>
  </si>
  <si>
    <t>Food (% of revenue)</t>
  </si>
  <si>
    <t>Members of Team</t>
  </si>
  <si>
    <t>Number of Employees</t>
  </si>
  <si>
    <t>Salary</t>
  </si>
  <si>
    <t>Receptionist</t>
  </si>
  <si>
    <t>Restaurants Manager</t>
  </si>
  <si>
    <t>Waiters</t>
  </si>
  <si>
    <t>Head Chef</t>
  </si>
  <si>
    <t>Chefs</t>
  </si>
  <si>
    <t>Assistant Chef</t>
  </si>
  <si>
    <t>Valet Parking</t>
  </si>
  <si>
    <t>Cleaners</t>
  </si>
  <si>
    <t>Bartender</t>
  </si>
  <si>
    <t>Salary / M</t>
  </si>
  <si>
    <t>Indirect Expenses</t>
  </si>
  <si>
    <t>Rent (as per contract) (% of revenue)</t>
  </si>
  <si>
    <t>Conversion Rate</t>
  </si>
  <si>
    <t>Serving Area (% of carpet area)</t>
  </si>
  <si>
    <t>Serving Area</t>
  </si>
  <si>
    <t>Kitchen Area</t>
  </si>
  <si>
    <t>Area per cover (Sq.Ft.)</t>
  </si>
  <si>
    <t>Covers</t>
  </si>
  <si>
    <t>Sitting per table</t>
  </si>
  <si>
    <t>Number of Tables</t>
  </si>
  <si>
    <t>Housekeeping  &amp; Consumables (% of revenue)</t>
  </si>
  <si>
    <t>Payment Settlement Charges (% or revenue)</t>
  </si>
  <si>
    <t>HR Manager</t>
  </si>
  <si>
    <t>Assistant Manager</t>
  </si>
  <si>
    <t>Security</t>
  </si>
  <si>
    <t>Purchase Manager</t>
  </si>
  <si>
    <t>Accountant</t>
  </si>
  <si>
    <t xml:space="preserve"> Others </t>
  </si>
  <si>
    <t xml:space="preserve"> Indirect expenses will increase Y-o-Y basis </t>
  </si>
  <si>
    <t>Total</t>
  </si>
  <si>
    <t>Numbers of Tables  occupied opting for card payment</t>
  </si>
  <si>
    <t>Electricity (Based on area Rs./sq. Ft.)</t>
  </si>
  <si>
    <t>Area specifications</t>
  </si>
  <si>
    <t>Capital Expenditure</t>
  </si>
  <si>
    <t>Equipments</t>
  </si>
  <si>
    <t>Furniture &amp; Fixtures</t>
  </si>
  <si>
    <t>Restaurants Décor</t>
  </si>
  <si>
    <t>Rate per Sq Ft</t>
  </si>
  <si>
    <t>Working capital</t>
  </si>
  <si>
    <t>Inventory</t>
  </si>
  <si>
    <t>Non-Alcoholic Beverages</t>
  </si>
  <si>
    <t>Creditor For Raw material</t>
  </si>
  <si>
    <t>Creditor For Expenses</t>
  </si>
  <si>
    <t>Days</t>
  </si>
  <si>
    <t>Maintenance (per month)</t>
  </si>
  <si>
    <t>Water Cost (per month)</t>
  </si>
  <si>
    <t>Marketing cost (per month)</t>
  </si>
  <si>
    <t>Phone and internet (per month)</t>
  </si>
  <si>
    <t xml:space="preserve">Depreciation </t>
  </si>
  <si>
    <t xml:space="preserve"> Equipments </t>
  </si>
  <si>
    <t xml:space="preserve"> Furniture &amp; Fixtures and Restaurant  décor </t>
  </si>
  <si>
    <t>Capital Structure</t>
  </si>
  <si>
    <t>Equity</t>
  </si>
  <si>
    <t>Debt</t>
  </si>
  <si>
    <t>Tax Rate</t>
  </si>
  <si>
    <t>Period of Construction of restaurant – 3 Months.</t>
  </si>
  <si>
    <t>Start of  Construction</t>
  </si>
  <si>
    <t>Construction period</t>
  </si>
  <si>
    <t>3 Months</t>
  </si>
  <si>
    <t>Date of Operations</t>
  </si>
  <si>
    <t>Rotalty to brand (% Of Revenue)</t>
  </si>
  <si>
    <t xml:space="preserve"> Staff salary will increase Y-o-Y basis </t>
  </si>
  <si>
    <t>Carpet Area required (Sq. ft.)</t>
  </si>
  <si>
    <t>Super Built up area to be rented (Sq. ft.)</t>
  </si>
  <si>
    <t>Kitchen Equipments and cutlery</t>
  </si>
  <si>
    <t>Initial working capital introduced</t>
  </si>
  <si>
    <t>End of sheet</t>
  </si>
  <si>
    <t>Cash credit limit will be availed if required</t>
  </si>
  <si>
    <t>Rate of Interest on CC Limit</t>
  </si>
  <si>
    <t xml:space="preserve">Rent Deposits </t>
  </si>
  <si>
    <t>Refrigeration Equipments</t>
  </si>
  <si>
    <t>9-A PHELPS BUILDING, 3RD FLOOR, A BLOCK, Middle Cir, Connaught Place, New Delhi-110001</t>
  </si>
  <si>
    <t>Year 1</t>
  </si>
  <si>
    <t>Year 2</t>
  </si>
  <si>
    <t>Year 3</t>
  </si>
  <si>
    <t>Operating Days</t>
  </si>
  <si>
    <t>Number of Guests</t>
  </si>
  <si>
    <t>Weekends</t>
  </si>
  <si>
    <t>Average Per Customer</t>
  </si>
  <si>
    <t>Number of Holiday</t>
  </si>
  <si>
    <t xml:space="preserve">Revenue per month </t>
  </si>
  <si>
    <t>Number of days in months</t>
  </si>
  <si>
    <t>No. of Working days</t>
  </si>
  <si>
    <t>Total Revenue For month</t>
  </si>
  <si>
    <t>Less: Direct Expenses</t>
  </si>
  <si>
    <t>Staff Salary</t>
  </si>
  <si>
    <t>Total Direct Expenses</t>
  </si>
  <si>
    <t>Less: Indirect Expence</t>
  </si>
  <si>
    <t>Other staff Salaries</t>
  </si>
  <si>
    <t>Total indirect Expenses</t>
  </si>
  <si>
    <t>EBITDA</t>
  </si>
  <si>
    <t>EBITDA Margin (%)</t>
  </si>
  <si>
    <t>Add: Rent deposite</t>
  </si>
  <si>
    <t>Add: Working capital</t>
  </si>
  <si>
    <t>Total Funds Required</t>
  </si>
  <si>
    <t>Sources of Funds</t>
  </si>
  <si>
    <t>Equity capital</t>
  </si>
  <si>
    <t>Debt Capital</t>
  </si>
  <si>
    <t>Particulers</t>
  </si>
  <si>
    <t>Total Capital required</t>
  </si>
  <si>
    <t>Opening Balance</t>
  </si>
  <si>
    <t>Add:Purchase</t>
  </si>
  <si>
    <t>Less: Depreciations</t>
  </si>
  <si>
    <t>Less: sales</t>
  </si>
  <si>
    <t>Closing balance</t>
  </si>
  <si>
    <t>Kitchen and Equipments</t>
  </si>
  <si>
    <t>Current Assets</t>
  </si>
  <si>
    <t>Inventroy</t>
  </si>
  <si>
    <t>Current Liability</t>
  </si>
  <si>
    <t>Total Current Liability</t>
  </si>
  <si>
    <t>Total Current Assets</t>
  </si>
  <si>
    <t>Total Working Capital</t>
  </si>
  <si>
    <t>Change in Working Capital</t>
  </si>
  <si>
    <t>Less: Depreciation</t>
  </si>
  <si>
    <t>EBIT</t>
  </si>
  <si>
    <t>Less: Interest</t>
  </si>
  <si>
    <t>Less: Tax</t>
  </si>
  <si>
    <t>Net income</t>
  </si>
  <si>
    <t xml:space="preserve"> </t>
  </si>
  <si>
    <t>Operating Activities</t>
  </si>
  <si>
    <t>Investing Activities</t>
  </si>
  <si>
    <t>Financing Activities</t>
  </si>
  <si>
    <t>EAT</t>
  </si>
  <si>
    <t>Add: Depreciation</t>
  </si>
  <si>
    <t>Cash from operation before working capital changes</t>
  </si>
  <si>
    <t>Cash from operating Activities</t>
  </si>
  <si>
    <t>Purchase of fixed Asstes</t>
  </si>
  <si>
    <t>Rent Deposit</t>
  </si>
  <si>
    <t>Cash outflows from investment Activities</t>
  </si>
  <si>
    <t>Equity Share Capital</t>
  </si>
  <si>
    <t>Cash Generated During the year</t>
  </si>
  <si>
    <t>Cash flows from Financing Activities</t>
  </si>
  <si>
    <t>Add: Opening Balance</t>
  </si>
  <si>
    <t>Closing Balance</t>
  </si>
  <si>
    <t>Equity and liabilities</t>
  </si>
  <si>
    <t>Share Capital</t>
  </si>
  <si>
    <t>Researves and surplus</t>
  </si>
  <si>
    <t>Total Shareholders Fund</t>
  </si>
  <si>
    <t>Current liabilities</t>
  </si>
  <si>
    <t>Total long term liability</t>
  </si>
  <si>
    <t>Total Liability</t>
  </si>
  <si>
    <t>Assets</t>
  </si>
  <si>
    <t>Fixed Assets</t>
  </si>
  <si>
    <t>Refrigerator Equipment</t>
  </si>
  <si>
    <t>Farniture And Fixture</t>
  </si>
  <si>
    <t>Rant Deposit</t>
  </si>
  <si>
    <t>Cash And Cash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</si>
</sst>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164" formatCode="_ * #,##0.00_ ;_ * \-#,##0.00_ ;_ * &quot;-&quot;??_ ;_ @_ "/>
    <numFmt numFmtId="165" formatCode="_ [$₹-4009]\ * #,##0.00_ ;_ [$₹-4009]\ * \-#,##0.00_ ;_ [$₹-4009]\ * &quot;-&quot;??_ ;_ @_ "/>
    <numFmt numFmtId="166" formatCode="_ * #,##0_ ;_ * \-#,##0_ ;_ * &quot;-&quot;??_ ;_ @_ "/>
    <numFmt numFmtId="167" formatCode="[$-409]d\-mmm\-yy;@"/>
    <numFmt numFmtId="168" formatCode="&quot;Month&quot;\ 0"/>
    <numFmt numFmtId="169" formatCode="_(&quot;$&quot;* #,##0_);_(&quot;$&quot;* \(#,##0\);_(&quot;$&quot;* &quot;-&quot;??_);_(@_)"/>
    <numFmt numFmtId="170" formatCode="_(* #,##0.00_);_(* \(#,##0.00\);_(* &quot;-&quot;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8" tint="-0.499984740745262"/>
      </bottom>
      <diagonal/>
    </border>
    <border>
      <left/>
      <right style="thin">
        <color theme="0"/>
      </right>
      <top/>
      <bottom style="thin">
        <color theme="8" tint="-0.499984740745262"/>
      </bottom>
      <diagonal/>
    </border>
    <border>
      <left/>
      <right/>
      <top style="thin">
        <color theme="8" tint="-0.499984740745262"/>
      </top>
      <bottom style="double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/>
      <bottom style="double">
        <color theme="8" tint="-0.499984740745262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6" fillId="0" borderId="0" applyFont="0" applyFill="0" applyBorder="0" applyAlignment="0" applyProtection="0"/>
    <xf numFmtId="0" fontId="10" fillId="0" borderId="0"/>
    <xf numFmtId="9" fontId="6" fillId="0" borderId="0" applyFont="0" applyFill="0" applyBorder="0" applyAlignment="0" applyProtection="0"/>
  </cellStyleXfs>
  <cellXfs count="234">
    <xf numFmtId="0" fontId="0" fillId="0" borderId="0" xfId="0"/>
    <xf numFmtId="0" fontId="0" fillId="0" borderId="0" xfId="0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" fillId="0" borderId="0" xfId="0" applyFont="1"/>
    <xf numFmtId="0" fontId="2" fillId="2" borderId="4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9" fontId="0" fillId="0" borderId="5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3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7" xfId="0" applyFont="1" applyBorder="1" applyAlignment="1">
      <alignment vertical="center"/>
    </xf>
    <xf numFmtId="9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center" vertical="center"/>
    </xf>
    <xf numFmtId="9" fontId="0" fillId="0" borderId="14" xfId="0" applyNumberFormat="1" applyBorder="1" applyAlignment="1">
      <alignment horizontal="right" vertical="center"/>
    </xf>
    <xf numFmtId="9" fontId="0" fillId="0" borderId="8" xfId="0" applyNumberFormat="1" applyBorder="1" applyAlignment="1">
      <alignment horizontal="right" vertical="center"/>
    </xf>
    <xf numFmtId="10" fontId="0" fillId="0" borderId="2" xfId="0" applyNumberFormat="1" applyBorder="1"/>
    <xf numFmtId="15" fontId="4" fillId="0" borderId="9" xfId="0" applyNumberFormat="1" applyFont="1" applyBorder="1" applyAlignment="1">
      <alignment horizontal="center" vertical="center"/>
    </xf>
    <xf numFmtId="15" fontId="4" fillId="0" borderId="13" xfId="0" applyNumberFormat="1" applyFont="1" applyBorder="1" applyAlignment="1">
      <alignment horizontal="center" vertical="center"/>
    </xf>
    <xf numFmtId="0" fontId="0" fillId="0" borderId="13" xfId="0" applyBorder="1"/>
    <xf numFmtId="15" fontId="4" fillId="0" borderId="10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6" xfId="0" applyBorder="1"/>
    <xf numFmtId="0" fontId="0" fillId="0" borderId="9" xfId="0" applyBorder="1"/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165" fontId="0" fillId="0" borderId="8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0" fillId="0" borderId="2" xfId="0" applyNumberFormat="1" applyBorder="1" applyAlignment="1">
      <alignment horizontal="right" vertical="center"/>
    </xf>
    <xf numFmtId="0" fontId="0" fillId="5" borderId="0" xfId="0" applyFill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166" fontId="0" fillId="0" borderId="0" xfId="1" applyNumberFormat="1" applyFont="1"/>
    <xf numFmtId="3" fontId="0" fillId="2" borderId="8" xfId="0" applyNumberForma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3" fontId="0" fillId="2" borderId="14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9" fontId="7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0" fontId="9" fillId="0" borderId="0" xfId="0" applyFont="1"/>
    <xf numFmtId="9" fontId="9" fillId="0" borderId="0" xfId="0" applyNumberFormat="1" applyFont="1" applyAlignment="1">
      <alignment horizontal="center"/>
    </xf>
    <xf numFmtId="4" fontId="7" fillId="0" borderId="5" xfId="0" applyNumberFormat="1" applyFont="1" applyBorder="1" applyAlignment="1">
      <alignment horizontal="center" vertical="center"/>
    </xf>
    <xf numFmtId="15" fontId="4" fillId="6" borderId="12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10" fillId="0" borderId="0" xfId="2"/>
    <xf numFmtId="0" fontId="11" fillId="0" borderId="0" xfId="2" applyFont="1" applyAlignment="1">
      <alignment vertical="top"/>
    </xf>
    <xf numFmtId="168" fontId="12" fillId="8" borderId="16" xfId="0" applyNumberFormat="1" applyFont="1" applyFill="1" applyBorder="1"/>
    <xf numFmtId="167" fontId="12" fillId="8" borderId="16" xfId="0" applyNumberFormat="1" applyFont="1" applyFill="1" applyBorder="1"/>
    <xf numFmtId="0" fontId="12" fillId="8" borderId="17" xfId="0" applyFont="1" applyFill="1" applyBorder="1" applyAlignment="1">
      <alignment horizontal="center"/>
    </xf>
    <xf numFmtId="167" fontId="12" fillId="8" borderId="17" xfId="0" applyNumberFormat="1" applyFont="1" applyFill="1" applyBorder="1" applyAlignment="1">
      <alignment horizontal="center"/>
    </xf>
    <xf numFmtId="169" fontId="0" fillId="0" borderId="0" xfId="0" applyNumberFormat="1"/>
    <xf numFmtId="1" fontId="0" fillId="0" borderId="0" xfId="0" applyNumberFormat="1"/>
    <xf numFmtId="168" fontId="12" fillId="8" borderId="18" xfId="0" applyNumberFormat="1" applyFont="1" applyFill="1" applyBorder="1"/>
    <xf numFmtId="167" fontId="12" fillId="8" borderId="18" xfId="0" applyNumberFormat="1" applyFont="1" applyFill="1" applyBorder="1"/>
    <xf numFmtId="0" fontId="0" fillId="0" borderId="0" xfId="0" applyFill="1" applyBorder="1"/>
    <xf numFmtId="168" fontId="12" fillId="0" borderId="0" xfId="0" applyNumberFormat="1" applyFont="1" applyFill="1" applyBorder="1"/>
    <xf numFmtId="0" fontId="12" fillId="0" borderId="0" xfId="0" applyFont="1" applyFill="1" applyBorder="1"/>
    <xf numFmtId="41" fontId="0" fillId="0" borderId="0" xfId="0" applyNumberFormat="1"/>
    <xf numFmtId="0" fontId="0" fillId="0" borderId="4" xfId="0" applyBorder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/>
    <xf numFmtId="1" fontId="0" fillId="0" borderId="0" xfId="0" applyNumberFormat="1" applyBorder="1"/>
    <xf numFmtId="0" fontId="1" fillId="0" borderId="20" xfId="0" applyFont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3" fillId="7" borderId="22" xfId="0" applyFont="1" applyFill="1" applyBorder="1" applyAlignment="1">
      <alignment horizontal="center" vertical="center"/>
    </xf>
    <xf numFmtId="41" fontId="1" fillId="0" borderId="19" xfId="0" applyNumberFormat="1" applyFont="1" applyBorder="1"/>
    <xf numFmtId="170" fontId="0" fillId="0" borderId="0" xfId="0" applyNumberFormat="1"/>
    <xf numFmtId="170" fontId="1" fillId="0" borderId="19" xfId="0" applyNumberFormat="1" applyFont="1" applyBorder="1"/>
    <xf numFmtId="0" fontId="1" fillId="0" borderId="0" xfId="0" applyFont="1" applyFill="1" applyBorder="1" applyAlignment="1">
      <alignment horizontal="left" vertical="center" indent="1"/>
    </xf>
    <xf numFmtId="0" fontId="14" fillId="0" borderId="0" xfId="0" applyFont="1"/>
    <xf numFmtId="1" fontId="1" fillId="0" borderId="0" xfId="0" applyNumberFormat="1" applyFont="1"/>
    <xf numFmtId="1" fontId="0" fillId="0" borderId="23" xfId="0" applyNumberFormat="1" applyBorder="1"/>
    <xf numFmtId="1" fontId="1" fillId="0" borderId="23" xfId="0" applyNumberFormat="1" applyFont="1" applyBorder="1"/>
    <xf numFmtId="1" fontId="12" fillId="0" borderId="0" xfId="0" applyNumberFormat="1" applyFont="1" applyFill="1" applyBorder="1"/>
    <xf numFmtId="1" fontId="0" fillId="0" borderId="24" xfId="0" applyNumberFormat="1" applyBorder="1"/>
    <xf numFmtId="1" fontId="0" fillId="0" borderId="21" xfId="0" applyNumberFormat="1" applyBorder="1"/>
    <xf numFmtId="1" fontId="0" fillId="0" borderId="25" xfId="0" applyNumberFormat="1" applyBorder="1"/>
    <xf numFmtId="1" fontId="1" fillId="0" borderId="25" xfId="0" applyNumberFormat="1" applyFont="1" applyBorder="1"/>
    <xf numFmtId="1" fontId="1" fillId="0" borderId="26" xfId="0" applyNumberFormat="1" applyFont="1" applyBorder="1"/>
    <xf numFmtId="10" fontId="0" fillId="0" borderId="24" xfId="3" applyNumberFormat="1" applyFont="1" applyBorder="1"/>
    <xf numFmtId="1" fontId="0" fillId="0" borderId="26" xfId="0" applyNumberFormat="1" applyBorder="1"/>
    <xf numFmtId="9" fontId="0" fillId="0" borderId="0" xfId="0" applyNumberFormat="1"/>
    <xf numFmtId="10" fontId="0" fillId="0" borderId="0" xfId="0" applyNumberFormat="1"/>
    <xf numFmtId="0" fontId="12" fillId="8" borderId="0" xfId="0" applyFont="1" applyFill="1"/>
    <xf numFmtId="0" fontId="0" fillId="8" borderId="16" xfId="0" applyFill="1" applyBorder="1" applyAlignment="1">
      <alignment horizontal="center"/>
    </xf>
    <xf numFmtId="0" fontId="12" fillId="8" borderId="16" xfId="0" applyFont="1" applyFill="1" applyBorder="1" applyAlignment="1">
      <alignment horizontal="center"/>
    </xf>
    <xf numFmtId="0" fontId="1" fillId="0" borderId="19" xfId="0" applyFont="1" applyBorder="1"/>
    <xf numFmtId="0" fontId="0" fillId="0" borderId="28" xfId="0" applyBorder="1"/>
    <xf numFmtId="0" fontId="2" fillId="0" borderId="0" xfId="0" applyFont="1"/>
    <xf numFmtId="0" fontId="1" fillId="0" borderId="28" xfId="0" applyFont="1" applyBorder="1"/>
    <xf numFmtId="0" fontId="12" fillId="8" borderId="0" xfId="0" applyFont="1" applyFill="1" applyAlignment="1">
      <alignment horizontal="center" vertical="center"/>
    </xf>
    <xf numFmtId="0" fontId="0" fillId="0" borderId="19" xfId="0" applyBorder="1"/>
    <xf numFmtId="166" fontId="0" fillId="0" borderId="19" xfId="1" applyNumberFormat="1" applyFont="1" applyBorder="1"/>
    <xf numFmtId="0" fontId="12" fillId="8" borderId="29" xfId="0" applyFont="1" applyFill="1" applyBorder="1" applyAlignment="1">
      <alignment horizontal="center"/>
    </xf>
    <xf numFmtId="167" fontId="12" fillId="8" borderId="29" xfId="0" applyNumberFormat="1" applyFont="1" applyFill="1" applyBorder="1" applyAlignment="1">
      <alignment horizontal="center"/>
    </xf>
    <xf numFmtId="0" fontId="15" fillId="8" borderId="16" xfId="0" applyFont="1" applyFill="1" applyBorder="1" applyAlignment="1">
      <alignment vertical="center"/>
    </xf>
    <xf numFmtId="0" fontId="12" fillId="8" borderId="16" xfId="0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center" vertical="center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6" fillId="8" borderId="33" xfId="0" applyFont="1" applyFill="1" applyBorder="1" applyAlignment="1">
      <alignment horizontal="center" vertical="center"/>
    </xf>
    <xf numFmtId="0" fontId="0" fillId="0" borderId="34" xfId="0" applyBorder="1"/>
    <xf numFmtId="166" fontId="0" fillId="0" borderId="34" xfId="1" applyNumberFormat="1" applyFont="1" applyBorder="1"/>
    <xf numFmtId="166" fontId="1" fillId="0" borderId="0" xfId="1" applyNumberFormat="1" applyFont="1"/>
    <xf numFmtId="0" fontId="1" fillId="0" borderId="36" xfId="0" applyFont="1" applyBorder="1"/>
    <xf numFmtId="166" fontId="1" fillId="0" borderId="36" xfId="1" applyNumberFormat="1" applyFont="1" applyBorder="1"/>
    <xf numFmtId="0" fontId="1" fillId="0" borderId="35" xfId="0" applyFont="1" applyBorder="1"/>
    <xf numFmtId="166" fontId="1" fillId="0" borderId="35" xfId="1" applyNumberFormat="1" applyFont="1" applyBorder="1"/>
    <xf numFmtId="15" fontId="12" fillId="8" borderId="0" xfId="0" applyNumberFormat="1" applyFont="1" applyFill="1"/>
    <xf numFmtId="1" fontId="2" fillId="0" borderId="0" xfId="0" applyNumberFormat="1" applyFont="1"/>
    <xf numFmtId="1" fontId="1" fillId="0" borderId="35" xfId="0" applyNumberFormat="1" applyFont="1" applyBorder="1"/>
    <xf numFmtId="1" fontId="2" fillId="0" borderId="34" xfId="0" applyNumberFormat="1" applyFont="1" applyBorder="1"/>
    <xf numFmtId="1" fontId="2" fillId="0" borderId="0" xfId="0" applyNumberFormat="1" applyFont="1" applyBorder="1"/>
    <xf numFmtId="0" fontId="1" fillId="0" borderId="0" xfId="0" applyFont="1" applyBorder="1"/>
    <xf numFmtId="166" fontId="1" fillId="0" borderId="0" xfId="1" applyNumberFormat="1" applyFont="1" applyBorder="1"/>
    <xf numFmtId="0" fontId="12" fillId="8" borderId="27" xfId="0" applyFont="1" applyFill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166" fontId="1" fillId="0" borderId="19" xfId="1" applyNumberFormat="1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0" xfId="0" applyAlignment="1">
      <alignment horizontal="left" indent="1"/>
    </xf>
    <xf numFmtId="0" fontId="0" fillId="9" borderId="30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166" fontId="1" fillId="0" borderId="19" xfId="1" applyNumberFormat="1" applyFont="1" applyBorder="1"/>
    <xf numFmtId="0" fontId="1" fillId="0" borderId="0" xfId="0" applyFont="1" applyFill="1" applyBorder="1"/>
    <xf numFmtId="0" fontId="15" fillId="8" borderId="37" xfId="0" applyFont="1" applyFill="1" applyBorder="1" applyAlignment="1">
      <alignment horizontal="center" vertical="center"/>
    </xf>
    <xf numFmtId="0" fontId="15" fillId="8" borderId="27" xfId="0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0" fontId="15" fillId="8" borderId="38" xfId="0" applyFont="1" applyFill="1" applyBorder="1" applyAlignment="1">
      <alignment horizontal="center" vertical="center"/>
    </xf>
    <xf numFmtId="0" fontId="0" fillId="0" borderId="0" xfId="0" applyFont="1" applyAlignment="1">
      <alignment horizontal="left" indent="1"/>
    </xf>
    <xf numFmtId="0" fontId="2" fillId="0" borderId="19" xfId="0" applyFont="1" applyBorder="1"/>
    <xf numFmtId="0" fontId="2" fillId="0" borderId="28" xfId="0" applyFont="1" applyBorder="1"/>
    <xf numFmtId="0" fontId="1" fillId="0" borderId="1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2" fillId="4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4" xfId="0" applyBorder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6" xfId="0" applyBorder="1" applyAlignment="1">
      <alignment horizontal="left" vertical="center" indent="2"/>
    </xf>
    <xf numFmtId="0" fontId="0" fillId="0" borderId="4" xfId="0" applyBorder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0" fillId="0" borderId="6" xfId="0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2" fillId="8" borderId="0" xfId="0" applyFont="1" applyFill="1" applyAlignment="1">
      <alignment horizontal="center" vertical="center"/>
    </xf>
    <xf numFmtId="1" fontId="1" fillId="0" borderId="16" xfId="0" applyNumberFormat="1" applyFont="1" applyBorder="1"/>
    <xf numFmtId="1" fontId="0" fillId="0" borderId="16" xfId="0" applyNumberFormat="1" applyBorder="1"/>
    <xf numFmtId="0" fontId="0" fillId="0" borderId="16" xfId="0" applyBorder="1"/>
    <xf numFmtId="1" fontId="13" fillId="10" borderId="39" xfId="0" applyNumberFormat="1" applyFont="1" applyFill="1" applyBorder="1" applyAlignment="1">
      <alignment horizontal="center"/>
    </xf>
    <xf numFmtId="1" fontId="17" fillId="10" borderId="0" xfId="0" applyNumberFormat="1" applyFont="1" applyFill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2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* #,##0_ ;_ * \-#,##0_ ;_ * &quot;-&quot;??_ ;_ @_ 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&quot;Month&quot;\ 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20275" cy="6496050"/>
    <xdr:pic>
      <xdr:nvPicPr>
        <xdr:cNvPr id="2" name="image1.png">
          <a:extLst>
            <a:ext uri="{FF2B5EF4-FFF2-40B4-BE49-F238E27FC236}">
              <a16:creationId xmlns:a16="http://schemas.microsoft.com/office/drawing/2014/main" id="{B9275096-ADD5-49C0-AA35-0BFE100A49A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820275" cy="64960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2</xdr:row>
      <xdr:rowOff>161925</xdr:rowOff>
    </xdr:from>
    <xdr:ext cx="7991475" cy="43148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A93DDCE-429A-4800-9ACB-CCE1D4C808DC}"/>
            </a:ext>
          </a:extLst>
        </xdr:cNvPr>
        <xdr:cNvSpPr txBox="1"/>
      </xdr:nvSpPr>
      <xdr:spPr>
        <a:xfrm>
          <a:off x="1127125" y="517525"/>
          <a:ext cx="7991475" cy="43148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70000"/>
            </a:lnSpc>
            <a:spcBef>
              <a:spcPts val="0"/>
            </a:spcBef>
            <a:spcAft>
              <a:spcPts val="0"/>
            </a:spcAft>
            <a:buNone/>
          </a:pPr>
          <a:endParaRPr sz="5400" b="1">
            <a:solidFill>
              <a:schemeClr val="lt1"/>
            </a:solidFill>
            <a:latin typeface="Questrial"/>
            <a:ea typeface="Questrial"/>
            <a:cs typeface="Questrial"/>
            <a:sym typeface="Questrial"/>
          </a:endParaRPr>
        </a:p>
        <a:p>
          <a:pPr marL="0" lvl="0" indent="0" algn="l" rtl="0">
            <a:lnSpc>
              <a:spcPct val="7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4000" b="1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THE WALLSTREET SCHOOL</a:t>
          </a:r>
          <a:endParaRPr sz="1400"/>
        </a:p>
        <a:p>
          <a:pPr marL="0" lvl="0" indent="0" algn="l" rtl="0">
            <a:lnSpc>
              <a:spcPct val="70000"/>
            </a:lnSpc>
            <a:spcBef>
              <a:spcPts val="0"/>
            </a:spcBef>
            <a:spcAft>
              <a:spcPts val="0"/>
            </a:spcAft>
            <a:buNone/>
          </a:pPr>
          <a:endParaRPr sz="4000" b="1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lnSpc>
              <a:spcPct val="7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6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info@thewallstreetschool.com</a:t>
          </a:r>
          <a:endParaRPr sz="1400">
            <a:solidFill>
              <a:schemeClr val="bg1"/>
            </a:solidFill>
          </a:endParaRPr>
        </a:p>
        <a:p>
          <a:pPr marL="0" lvl="0" indent="0" algn="l" rtl="0">
            <a:lnSpc>
              <a:spcPct val="7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6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www.thewallstreetschool.com</a:t>
          </a:r>
          <a:endParaRPr sz="1400">
            <a:solidFill>
              <a:schemeClr val="bg1"/>
            </a:solidFill>
          </a:endParaRPr>
        </a:p>
        <a:p>
          <a:pPr marL="0" lvl="0" indent="0" algn="l" rtl="0">
            <a:lnSpc>
              <a:spcPct val="70000"/>
            </a:lnSpc>
            <a:spcBef>
              <a:spcPts val="0"/>
            </a:spcBef>
            <a:spcAft>
              <a:spcPts val="0"/>
            </a:spcAft>
            <a:buNone/>
          </a:pPr>
          <a:endParaRPr sz="1600" b="0" i="0" u="none" strike="noStrike">
            <a:solidFill>
              <a:schemeClr val="bg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lnSpc>
              <a:spcPct val="7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6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91-9953729651</a:t>
          </a:r>
          <a:endParaRPr sz="1400">
            <a:solidFill>
              <a:schemeClr val="bg1"/>
            </a:solidFill>
          </a:endParaRPr>
        </a:p>
        <a:p>
          <a:pPr marL="0" lvl="0" indent="0" algn="l" rtl="0">
            <a:lnSpc>
              <a:spcPct val="70000"/>
            </a:lnSpc>
            <a:spcBef>
              <a:spcPts val="0"/>
            </a:spcBef>
            <a:spcAft>
              <a:spcPts val="0"/>
            </a:spcAft>
            <a:buNone/>
          </a:pPr>
          <a:endParaRPr sz="1600" b="0" i="0" u="none" strike="noStrike">
            <a:solidFill>
              <a:schemeClr val="bg1"/>
            </a:solidFill>
            <a:latin typeface="Calibri"/>
            <a:ea typeface="Calibri"/>
            <a:cs typeface="Calibri"/>
            <a:sym typeface="Calibri"/>
          </a:endParaRPr>
        </a:p>
        <a:p>
          <a:r>
            <a:rPr lang="en-IN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The Wall Street School I TWSS</a:t>
          </a:r>
          <a:endParaRPr lang="en-I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Delhi Head Office </a:t>
          </a:r>
          <a:r>
            <a:rPr lang="en-I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H-11A , 3rd floor, H Block, Middle Circle, Connaught Place, New Delhi, Delhi 110001</a:t>
          </a:r>
          <a:br>
            <a:rPr lang="en-I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Mumbai Office</a:t>
          </a:r>
          <a:r>
            <a:rPr lang="en-I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The Mosaic, 5th Floor, Raaj Chambers, New Nagardas Rd, Andheri East, Mumbai-400069</a:t>
          </a:r>
        </a:p>
        <a:p>
          <a:r>
            <a:rPr lang="en-IN" sz="110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Delhi | Mumbai |Jaipur|Online</a:t>
          </a:r>
          <a:endParaRPr lang="en-I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effectLst/>
              <a:latin typeface="+mn-lt"/>
              <a:ea typeface="+mn-ea"/>
              <a:cs typeface="+mn-cs"/>
            </a:rPr>
            <a:t> 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152400</xdr:colOff>
      <xdr:row>25</xdr:row>
      <xdr:rowOff>19050</xdr:rowOff>
    </xdr:from>
    <xdr:ext cx="4762500" cy="6000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546750A4-8295-4A14-922A-DE11DB0B3A3B}"/>
            </a:ext>
          </a:extLst>
        </xdr:cNvPr>
        <xdr:cNvSpPr txBox="1"/>
      </xdr:nvSpPr>
      <xdr:spPr>
        <a:xfrm>
          <a:off x="1117600" y="4464050"/>
          <a:ext cx="4762500" cy="600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70000"/>
            </a:lnSpc>
            <a:spcBef>
              <a:spcPts val="0"/>
            </a:spcBef>
            <a:spcAft>
              <a:spcPts val="0"/>
            </a:spcAft>
            <a:buNone/>
          </a:pPr>
          <a:endParaRPr sz="4400" b="1">
            <a:latin typeface="Questrial"/>
            <a:ea typeface="Questrial"/>
            <a:cs typeface="Questrial"/>
            <a:sym typeface="Questrial"/>
          </a:endParaRPr>
        </a:p>
        <a:p>
          <a:pPr marL="0" lvl="0" indent="0" algn="l" rtl="0">
            <a:lnSpc>
              <a:spcPct val="70000"/>
            </a:lnSpc>
            <a:spcBef>
              <a:spcPts val="0"/>
            </a:spcBef>
            <a:spcAft>
              <a:spcPts val="0"/>
            </a:spcAft>
            <a:buNone/>
          </a:pPr>
          <a:endParaRPr sz="1100" b="1">
            <a:latin typeface="Questrial"/>
            <a:ea typeface="Questrial"/>
            <a:cs typeface="Questrial"/>
            <a:sym typeface="Questrial"/>
          </a:endParaRPr>
        </a:p>
        <a:p>
          <a:pPr marL="0" lvl="0" indent="0" algn="l" rtl="0">
            <a:lnSpc>
              <a:spcPct val="70000"/>
            </a:lnSpc>
            <a:spcBef>
              <a:spcPts val="0"/>
            </a:spcBef>
            <a:spcAft>
              <a:spcPts val="0"/>
            </a:spcAft>
            <a:buNone/>
          </a:pPr>
          <a:endParaRPr sz="1100" b="1">
            <a:latin typeface="Questrial"/>
            <a:ea typeface="Questrial"/>
            <a:cs typeface="Questrial"/>
            <a:sym typeface="Quest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manshu/Dropbox/TKMH%20&amp;%20Co.,%20Chartered%20Accountant/GMR%20Training/Financal%20Model%20Case%20Studies/Day%203/Hotels%20Ver%203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feasibility\HASINA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tant/Downloads/Project%20Park_Updated_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NEXT/CD_JUN%202010/2011/MAR/Excel%20Next%20-%20Mar%202011/Excel%20Next/eModules_Mar%202011/II/Practic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G%20Drive\Workshop%20Batches\TWSS%20234%20Batch_Full%20Time\22%20Nov\Raw%20Template\Case%20Study_Hotel%20TW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Queries"/>
      <sheetName val="Tables Spa Resort 1"/>
      <sheetName val="Dashboard"/>
      <sheetName val="Tables Spa Resort Consol"/>
      <sheetName val="Assumptions Spa Resort 1"/>
      <sheetName val="TM_Land &amp; Construction"/>
      <sheetName val="Dev cost Spa Resort 1"/>
      <sheetName val="Revenue Spa Resort 1"/>
      <sheetName val="Cost Spa Resort 1"/>
      <sheetName val="P&amp;L Spa Resort 1"/>
      <sheetName val="Bal Sh Spa Resort 1"/>
      <sheetName val="Debt Spa Resort 1"/>
      <sheetName val="Cash flow Spa Resort 1"/>
      <sheetName val="W Cap Spa Resort 1"/>
      <sheetName val="Tax Spa Resort 1"/>
      <sheetName val="Depr Spa Resort 1"/>
      <sheetName val="Assumptions Spa Resort 2"/>
      <sheetName val="Dev cost Spa Resort 2"/>
      <sheetName val="Revenue Spa Resort 2"/>
      <sheetName val="Cost Spa Resort 2"/>
      <sheetName val="P&amp;L Spa Resort 2"/>
      <sheetName val="Bal Sh Spa Resort 2"/>
      <sheetName val="Debt Spa Resort 2"/>
      <sheetName val="Cash flow Spa Resort 2"/>
      <sheetName val="W Cap Spa Resort 2"/>
      <sheetName val="Tax Spa Resort 2"/>
      <sheetName val="Depr Spa Resort 2"/>
      <sheetName val="Assumptions Spa Resort 3"/>
      <sheetName val="Dev cost Spa Resort 3"/>
      <sheetName val="Revenue Spa Resort 3"/>
      <sheetName val="Cost Spa Resort 3"/>
      <sheetName val="P&amp;L Spa Resort 3"/>
      <sheetName val="Bal Sh Spa Resort 3"/>
      <sheetName val="Debt Spa Resort 3"/>
      <sheetName val="Cash flow Spa Resort 3"/>
      <sheetName val="W Cap Spa Resort 3"/>
      <sheetName val="Tax Spa Resort 3"/>
      <sheetName val="Depr Spa Resort 3"/>
      <sheetName val="P&amp;L Spa Resort 3 (2)"/>
      <sheetName val="Cash flow Spa Resort 3 (2)"/>
      <sheetName val="TM_Cash Flow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Project ABC (SPA Resort)</v>
          </cell>
        </row>
        <row r="92">
          <cell r="D92">
            <v>198850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2">
          <cell r="H22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CK-CUT 48"/>
      <sheetName val="CROCK-CUT (2)"/>
      <sheetName val="KITCHEQUIP"/>
      <sheetName val="CROCK-CUT"/>
      <sheetName val="engg"/>
      <sheetName val="PREOPENING BUDGET"/>
      <sheetName val="HASINA01"/>
      <sheetName val="HASINA02"/>
      <sheetName val="arr"/>
      <sheetName val="HASINA 03"/>
      <sheetName val="RHASINA GUEST ROOM"/>
      <sheetName val="HASINA , STAFF &amp; SALARY"/>
      <sheetName val="HASINA , STAFF &amp; SALARY (2)"/>
      <sheetName val="DETAIL SALES HASINA"/>
      <sheetName val="DETAIL SALES (2)"/>
      <sheetName val="RAHEJA PARQUE02 (2)"/>
      <sheetName val="HOMI"/>
      <sheetName val="HOMI (2)"/>
      <sheetName val="CLUB 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Historical PL"/>
      <sheetName val="Client Projection Workings"/>
      <sheetName val="Client Projection"/>
      <sheetName val="Fy13 Confirmed Order Book"/>
      <sheetName val="75% Confidence Future Orders"/>
      <sheetName val="As per co Act"/>
      <sheetName val="Capex &amp; Dep"/>
      <sheetName val="As per IT"/>
      <sheetName val="Client Balance sheet"/>
      <sheetName val="Assumptions"/>
      <sheetName val="Profit &amp; Loss"/>
      <sheetName val="Balance Sheet"/>
      <sheetName val="CF"/>
      <sheetName val="Working Capital"/>
      <sheetName val="Tax Sheet"/>
      <sheetName val="Debt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C10">
            <v>100000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 Sheet (2)"/>
      <sheetName val="Assumptions"/>
      <sheetName val="Output Sheet"/>
      <sheetName val="Revenue Projections"/>
      <sheetName val="Share of land provider Schedule"/>
      <sheetName val="Working Sheet"/>
      <sheetName val="Income Statement"/>
      <sheetName val="Cash Flows "/>
      <sheetName val="Balance sheet"/>
      <sheetName val="Fixed Assets Schedule"/>
      <sheetName val="Capex Schedule"/>
      <sheetName val="Debt Schedule"/>
    </sheetNames>
    <sheetDataSet>
      <sheetData sheetId="0"/>
      <sheetData sheetId="1">
        <row r="7">
          <cell r="D7">
            <v>1000000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Table1" displayName="Table1" ref="E5:AO72" headerRowCount="0" totalsRowShown="0" headerRowDxfId="206" headerRowBorderDxfId="205" tableBorderDxfId="204">
  <tableColumns count="37">
    <tableColumn id="1" name="Column1" headerRowDxfId="203" dataDxfId="202"/>
    <tableColumn id="2" name="Column2" headerRowDxfId="201" dataDxfId="200"/>
    <tableColumn id="3" name="Column3" headerRowDxfId="199" dataDxfId="198"/>
    <tableColumn id="4" name="Column4" headerRowDxfId="197" dataDxfId="196"/>
    <tableColumn id="5" name="Column5" headerRowDxfId="195" dataDxfId="194"/>
    <tableColumn id="6" name="Column6" headerRowDxfId="193" dataDxfId="192"/>
    <tableColumn id="7" name="Column7" headerRowDxfId="191" dataDxfId="190"/>
    <tableColumn id="8" name="Column8" headerRowDxfId="189" dataDxfId="188"/>
    <tableColumn id="9" name="Column9" headerRowDxfId="187" dataDxfId="186"/>
    <tableColumn id="10" name="Column10" headerRowDxfId="185" dataDxfId="184"/>
    <tableColumn id="11" name="Column11" headerRowDxfId="183" dataDxfId="182"/>
    <tableColumn id="12" name="Column12" headerRowDxfId="181" dataDxfId="180"/>
    <tableColumn id="13" name="Column13" headerRowDxfId="179" dataDxfId="178"/>
    <tableColumn id="14" name="Column14" headerRowDxfId="177" dataDxfId="176"/>
    <tableColumn id="15" name="Column15" headerRowDxfId="175" dataDxfId="174"/>
    <tableColumn id="16" name="Column16" headerRowDxfId="173" dataDxfId="172"/>
    <tableColumn id="17" name="Column17" headerRowDxfId="171" dataDxfId="170"/>
    <tableColumn id="18" name="Column18" headerRowDxfId="169" dataDxfId="168"/>
    <tableColumn id="19" name="Column19" headerRowDxfId="167" dataDxfId="166"/>
    <tableColumn id="20" name="Column20" headerRowDxfId="165" dataDxfId="164"/>
    <tableColumn id="21" name="Column21" headerRowDxfId="163" dataDxfId="162"/>
    <tableColumn id="22" name="Column22" headerRowDxfId="161" dataDxfId="160"/>
    <tableColumn id="23" name="Column23" headerRowDxfId="159" dataDxfId="158"/>
    <tableColumn id="24" name="Column24" headerRowDxfId="157" dataDxfId="156"/>
    <tableColumn id="25" name="Column25" headerRowDxfId="155" dataDxfId="154"/>
    <tableColumn id="26" name="Column26" headerRowDxfId="153" dataDxfId="152"/>
    <tableColumn id="27" name="Column27" headerRowDxfId="151" dataDxfId="150"/>
    <tableColumn id="28" name="Column28" headerRowDxfId="149" dataDxfId="148"/>
    <tableColumn id="29" name="Column29" headerRowDxfId="147" dataDxfId="146"/>
    <tableColumn id="30" name="Column30" headerRowDxfId="145" dataDxfId="144"/>
    <tableColumn id="31" name="Column31" headerRowDxfId="143" dataDxfId="142"/>
    <tableColumn id="32" name="Column32" headerRowDxfId="141" dataDxfId="140"/>
    <tableColumn id="33" name="Column33" headerRowDxfId="139" dataDxfId="138"/>
    <tableColumn id="34" name="Column34" headerRowDxfId="137" dataDxfId="136"/>
    <tableColumn id="35" name="Column35" headerRowDxfId="135" dataDxfId="134"/>
    <tableColumn id="36" name="Column36" dataDxfId="133"/>
    <tableColumn id="37" name="Column37" headerRowDxfId="132" dataDxfId="13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E5:AN34" headerRowCount="0" totalsRowShown="0" headerRowDxfId="130" headerRowBorderDxfId="129" tableBorderDxfId="128">
  <tableColumns count="36">
    <tableColumn id="1" name="Column1" headerRowDxfId="127" dataDxfId="126"/>
    <tableColumn id="2" name="Column2" headerRowDxfId="125" dataDxfId="124"/>
    <tableColumn id="3" name="Column3" headerRowDxfId="123" dataDxfId="122"/>
    <tableColumn id="4" name="Column4" headerRowDxfId="121" dataDxfId="120"/>
    <tableColumn id="5" name="Column5" headerRowDxfId="119" dataDxfId="118"/>
    <tableColumn id="6" name="Column6" headerRowDxfId="117" dataDxfId="116"/>
    <tableColumn id="7" name="Column7" headerRowDxfId="115" dataDxfId="114"/>
    <tableColumn id="8" name="Column8" headerRowDxfId="113" dataDxfId="112"/>
    <tableColumn id="9" name="Column9" headerRowDxfId="111" dataDxfId="110"/>
    <tableColumn id="10" name="Column10" headerRowDxfId="109" dataDxfId="108"/>
    <tableColumn id="11" name="Column11" headerRowDxfId="107" dataDxfId="106"/>
    <tableColumn id="12" name="Column12" headerRowDxfId="105" dataDxfId="104"/>
    <tableColumn id="13" name="Column13" headerRowDxfId="103" dataDxfId="102"/>
    <tableColumn id="14" name="Column14" headerRowDxfId="101" dataDxfId="100"/>
    <tableColumn id="15" name="Column15" headerRowDxfId="99" dataDxfId="98"/>
    <tableColumn id="16" name="Column16" headerRowDxfId="97" dataDxfId="96"/>
    <tableColumn id="17" name="Column17" headerRowDxfId="95" dataDxfId="94"/>
    <tableColumn id="18" name="Column18" headerRowDxfId="93" dataDxfId="92"/>
    <tableColumn id="19" name="Column19" headerRowDxfId="91" dataDxfId="90"/>
    <tableColumn id="20" name="Column20" headerRowDxfId="89" dataDxfId="88"/>
    <tableColumn id="21" name="Column21" headerRowDxfId="87" dataDxfId="86"/>
    <tableColumn id="22" name="Column22" headerRowDxfId="85" dataDxfId="84"/>
    <tableColumn id="23" name="Column23" headerRowDxfId="83" dataDxfId="82"/>
    <tableColumn id="24" name="Column24" headerRowDxfId="81" dataDxfId="80"/>
    <tableColumn id="25" name="Column25" headerRowDxfId="79" dataDxfId="78"/>
    <tableColumn id="26" name="Column26" headerRowDxfId="77" dataDxfId="76"/>
    <tableColumn id="27" name="Column27" headerRowDxfId="75" dataDxfId="74"/>
    <tableColumn id="28" name="Column28" headerRowDxfId="73" dataDxfId="72"/>
    <tableColumn id="29" name="Column29" headerRowDxfId="71" dataDxfId="70"/>
    <tableColumn id="30" name="Column30" headerRowDxfId="69" dataDxfId="68"/>
    <tableColumn id="31" name="Column31" headerRowDxfId="67" dataDxfId="66"/>
    <tableColumn id="32" name="Column32" headerRowDxfId="65" dataDxfId="64"/>
    <tableColumn id="33" name="Column33" headerRowDxfId="63" dataDxfId="62"/>
    <tableColumn id="34" name="Column34" headerRowDxfId="61" dataDxfId="60"/>
    <tableColumn id="35" name="Column35" headerRowDxfId="59" dataDxfId="58"/>
    <tableColumn id="36" name="Column36" headerRowDxfId="57" dataDxfId="5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5:E20" headerRowCount="0" totalsRowShown="0">
  <tableColumns count="5">
    <tableColumn id="1" name="Column1"/>
    <tableColumn id="2" name="Column2"/>
    <tableColumn id="3" name="Column3"/>
    <tableColumn id="4" name="Column4"/>
    <tableColumn id="5" name="Column5" headerRowDxfId="55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3:G31" headerRowCount="0" totalsRowShown="0" headerRowDxfId="54" dataDxfId="53" dataCellStyle="Comma">
  <tableColumns count="7">
    <tableColumn id="1" name="Column1" headerRowDxfId="52"/>
    <tableColumn id="2" name="Column2" headerRowDxfId="51"/>
    <tableColumn id="3" name="Column3" headerRowDxfId="50"/>
    <tableColumn id="4" name="Column4" headerRowDxfId="49"/>
    <tableColumn id="5" name="Column5" headerRowDxfId="48" dataDxfId="47" dataCellStyle="Comma"/>
    <tableColumn id="6" name="Column6" headerRowDxfId="46" dataDxfId="45" dataCellStyle="Comma"/>
    <tableColumn id="7" name="Column7" headerRowDxfId="44" dataDxfId="43" dataCellStyle="Comm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3:G19" headerRowCount="0" totalsRowShown="0" headerRowDxfId="42" dataDxfId="41" dataCellStyle="Comma">
  <tableColumns count="7">
    <tableColumn id="1" name="Column1" headerRowDxfId="40"/>
    <tableColumn id="2" name="Column2" headerRowDxfId="39"/>
    <tableColumn id="3" name="Column3" headerRowDxfId="38"/>
    <tableColumn id="4" name="Column4" headerRowDxfId="37"/>
    <tableColumn id="5" name="Column5" headerRowDxfId="36" dataDxfId="35" dataCellStyle="Comma"/>
    <tableColumn id="6" name="Column6" headerRowDxfId="34" dataDxfId="33" dataCellStyle="Comma"/>
    <tableColumn id="7" name="Column7" headerRowDxfId="32" dataDxfId="31" dataCellStyle="Comma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4:G35" headerRowCount="0" totalsRowShown="0" headerRowDxfId="30" dataDxfId="29" headerRowCellStyle="Comma" dataCellStyle="Comma">
  <tableColumns count="7">
    <tableColumn id="1" name="Column1" headerRowDxfId="28" dataDxfId="27">
      <calculatedColumnFormula>'Monthly P and L'!A7</calculatedColumnFormula>
    </tableColumn>
    <tableColumn id="2" name="Column2"/>
    <tableColumn id="3" name="Column3"/>
    <tableColumn id="4" name="Column4"/>
    <tableColumn id="5" name="Column5" headerRowDxfId="26" dataDxfId="25" headerRowCellStyle="Comma" dataCellStyle="Comma">
      <calculatedColumnFormula>SUMIFS('Monthly P and L'!$E7:$AN7, 'Monthly P and L'!$E$6:$AN$6,"&gt;"&amp; 'Annual Pand L'!D$3, 'Monthly P and L'!$E$6:$AN$6,"&lt;="&amp;'Annual Pand L'!E$3)</calculatedColumnFormula>
    </tableColumn>
    <tableColumn id="6" name="Column6" headerRowDxfId="24" dataDxfId="23" headerRowCellStyle="Comma" dataCellStyle="Comma">
      <calculatedColumnFormula>SUMIFS('Monthly P and L'!$E7:$AN7, 'Monthly P and L'!$E$6:$AN$6,"&gt;"&amp; 'Annual Pand L'!E$3, 'Monthly P and L'!$E$6:$AN$6,"&lt;="&amp;'Annual Pand L'!F$3)</calculatedColumnFormula>
    </tableColumn>
    <tableColumn id="7" name="Column7" headerRowDxfId="22" dataDxfId="21" headerRowCellStyle="Comma" dataCellStyle="Comma">
      <calculatedColumnFormula>SUMIFS('Monthly P and L'!$E7:$AN7, 'Monthly P and L'!$E$6:$AN$6,"&gt;"&amp; 'Annual Pand L'!F$3, 'Monthly P and L'!$E$6:$AN$6,"&lt;="&amp;'Annual Pand L'!G$3)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A3:G20" headerRowCount="0" totalsRowShown="0" headerRowDxfId="20" dataDxfId="19" dataCellStyle="Comma">
  <tableColumns count="7">
    <tableColumn id="1" name="Column1" headerRowDxfId="18"/>
    <tableColumn id="2" name="Column2"/>
    <tableColumn id="3" name="Column3"/>
    <tableColumn id="4" name="Column4"/>
    <tableColumn id="5" name="Column5" headerRowDxfId="17" dataDxfId="16" dataCellStyle="Comma"/>
    <tableColumn id="6" name="Column6" headerRowDxfId="15" dataDxfId="14" dataCellStyle="Comma"/>
    <tableColumn id="7" name="Column7" headerRowDxfId="13" dataDxfId="12" dataCellStyle="Comm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A3:G34" headerRowCount="0" totalsRowShown="0" headerRowDxfId="11" dataDxfId="10" dataCellStyle="Comma">
  <tableColumns count="7">
    <tableColumn id="1" name="Column1" headerRowDxfId="9"/>
    <tableColumn id="2" name="Column2" headerRowDxfId="8"/>
    <tableColumn id="3" name="Column3" headerRowDxfId="7"/>
    <tableColumn id="4" name="Column4" headerRowDxfId="6"/>
    <tableColumn id="5" name="Column5" headerRowDxfId="5" dataDxfId="4" dataCellStyle="Comma"/>
    <tableColumn id="6" name="Column6" headerRowDxfId="3" dataDxfId="2" dataCellStyle="Comma"/>
    <tableColumn id="7" name="Column7" headerRowDxfId="1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894"/>
  <sheetViews>
    <sheetView showGridLines="0" topLeftCell="A393" workbookViewId="0">
      <selection activeCell="D46" sqref="D46"/>
    </sheetView>
  </sheetViews>
  <sheetFormatPr defaultColWidth="13.85546875" defaultRowHeight="15" customHeight="1" x14ac:dyDescent="0.2"/>
  <cols>
    <col min="1" max="3" width="8.7109375" style="90" customWidth="1"/>
    <col min="4" max="4" width="12" style="90" customWidth="1"/>
    <col min="5" max="5" width="13.7109375" style="90" customWidth="1"/>
    <col min="6" max="6" width="9.85546875" style="90" customWidth="1"/>
    <col min="7" max="7" width="19.42578125" style="90" customWidth="1"/>
    <col min="8" max="8" width="29.85546875" style="90" customWidth="1"/>
    <col min="9" max="9" width="37.5703125" style="90" customWidth="1"/>
    <col min="10" max="26" width="8.42578125" style="90" customWidth="1"/>
    <col min="27" max="16384" width="13.85546875" style="90"/>
  </cols>
  <sheetData>
    <row r="1" spans="1:26" ht="14.25" customHeight="1" x14ac:dyDescent="0.2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spans="1:26" ht="14.25" customHeight="1" x14ac:dyDescent="0.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spans="1:26" ht="14.25" customHeight="1" x14ac:dyDescent="0.2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spans="1:26" ht="14.25" customHeight="1" x14ac:dyDescent="0.2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spans="1:26" ht="14.25" customHeight="1" x14ac:dyDescent="0.2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spans="1:26" ht="14.25" customHeight="1" x14ac:dyDescent="0.2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 spans="1:26" ht="14.25" customHeight="1" x14ac:dyDescent="0.2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spans="1:26" ht="14.25" customHeight="1" x14ac:dyDescent="0.2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 spans="1:26" ht="14.25" customHeight="1" x14ac:dyDescent="0.2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 spans="1:26" ht="14.25" customHeight="1" x14ac:dyDescent="0.2">
      <c r="A10" s="91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 spans="1:26" ht="14.25" customHeight="1" x14ac:dyDescent="0.2">
      <c r="A11" s="91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 spans="1:26" ht="14.25" customHeight="1" x14ac:dyDescent="0.2">
      <c r="A12" s="91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 spans="1:26" ht="14.25" customHeight="1" x14ac:dyDescent="0.2">
      <c r="A13" s="91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spans="1:26" ht="14.25" customHeight="1" x14ac:dyDescent="0.2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 spans="1:26" ht="14.25" customHeight="1" x14ac:dyDescent="0.2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 spans="1:26" ht="14.25" customHeight="1" x14ac:dyDescent="0.2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 spans="1:26" ht="14.25" customHeight="1" x14ac:dyDescent="0.2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 spans="1:26" ht="14.25" customHeight="1" x14ac:dyDescent="0.2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 spans="1:26" ht="14.25" customHeight="1" x14ac:dyDescent="0.2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 spans="1:26" ht="14.25" customHeight="1" x14ac:dyDescent="0.2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 spans="1:26" ht="14.25" customHeight="1" x14ac:dyDescent="0.2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spans="1:26" ht="14.25" customHeight="1" x14ac:dyDescent="0.2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 spans="1:26" ht="14.25" customHeight="1" x14ac:dyDescent="0.2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 spans="1:26" ht="14.25" customHeight="1" x14ac:dyDescent="0.2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 spans="1:26" ht="14.25" customHeight="1" x14ac:dyDescent="0.2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 spans="1:26" ht="14.25" customHeight="1" x14ac:dyDescent="0.2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 spans="1:26" ht="14.25" customHeight="1" x14ac:dyDescent="0.2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 spans="1:26" ht="14.25" customHeight="1" x14ac:dyDescent="0.2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 spans="1:26" ht="14.25" customHeight="1" x14ac:dyDescent="0.2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 spans="1:26" ht="14.25" customHeight="1" x14ac:dyDescent="0.2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spans="1:26" ht="14.25" customHeight="1" x14ac:dyDescent="0.2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 spans="1:26" ht="14.25" customHeight="1" x14ac:dyDescent="0.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 spans="1:26" ht="14.25" customHeight="1" x14ac:dyDescent="0.2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spans="1:26" ht="14.25" customHeight="1" x14ac:dyDescent="0.2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spans="1:26" ht="14.25" customHeight="1" x14ac:dyDescent="0.2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spans="1:26" ht="14.25" customHeight="1" x14ac:dyDescent="0.2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spans="1:26" ht="14.25" customHeight="1" x14ac:dyDescent="0.2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spans="1:26" ht="14.25" customHeight="1" x14ac:dyDescent="0.2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spans="1:26" ht="14.25" customHeight="1" x14ac:dyDescent="0.2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spans="1:26" ht="14.25" customHeight="1" x14ac:dyDescent="0.2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spans="1:26" ht="14.25" customHeight="1" x14ac:dyDescent="0.2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spans="1:26" ht="14.25" customHeight="1" x14ac:dyDescent="0.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 spans="1:26" ht="14.25" customHeight="1" x14ac:dyDescent="0.2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 spans="1:26" ht="14.25" customHeight="1" x14ac:dyDescent="0.2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 spans="1:26" ht="14.25" customHeight="1" x14ac:dyDescent="0.2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 spans="1:26" ht="14.25" customHeight="1" x14ac:dyDescent="0.2">
      <c r="A46" s="91"/>
      <c r="B46" s="91"/>
      <c r="C46" s="91"/>
      <c r="D46" s="91" t="s">
        <v>96</v>
      </c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 spans="1:26" ht="14.25" customHeight="1" x14ac:dyDescent="0.2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 spans="1:26" ht="14.25" customHeight="1" x14ac:dyDescent="0.2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 spans="1:26" ht="14.25" customHeight="1" x14ac:dyDescent="0.2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 spans="1:26" ht="14.25" customHeight="1" x14ac:dyDescent="0.2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 spans="1:26" ht="14.25" customHeight="1" x14ac:dyDescent="0.2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 spans="1:26" ht="14.25" customHeight="1" x14ac:dyDescent="0.2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 spans="1:26" ht="14.25" customHeight="1" x14ac:dyDescent="0.2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 spans="1:26" ht="14.25" customHeight="1" x14ac:dyDescent="0.2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 spans="1:26" ht="14.25" customHeight="1" x14ac:dyDescent="0.2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 spans="1:26" ht="14.25" customHeight="1" x14ac:dyDescent="0.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 spans="1:26" ht="14.25" customHeight="1" x14ac:dyDescent="0.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 spans="1:26" ht="14.25" customHeight="1" x14ac:dyDescent="0.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 spans="1:26" ht="14.25" customHeight="1" x14ac:dyDescent="0.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 spans="1:26" ht="14.25" customHeight="1" x14ac:dyDescent="0.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 spans="1:26" ht="14.25" customHeight="1" x14ac:dyDescent="0.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 spans="1:26" ht="14.25" customHeight="1" x14ac:dyDescent="0.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 spans="1:26" ht="14.25" customHeight="1" x14ac:dyDescent="0.2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 spans="1:26" ht="14.25" customHeight="1" x14ac:dyDescent="0.2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 spans="1:26" ht="14.25" customHeight="1" x14ac:dyDescent="0.2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 spans="1:26" ht="14.25" customHeight="1" x14ac:dyDescent="0.2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 spans="1:26" ht="14.25" customHeight="1" x14ac:dyDescent="0.2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 spans="1:26" ht="14.25" customHeight="1" x14ac:dyDescent="0.2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 spans="1:26" ht="14.25" customHeight="1" x14ac:dyDescent="0.2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 spans="1:26" ht="14.25" customHeight="1" x14ac:dyDescent="0.2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 spans="1:26" ht="14.25" customHeight="1" x14ac:dyDescent="0.2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 spans="1:26" ht="14.25" customHeight="1" x14ac:dyDescent="0.2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 spans="1:26" ht="14.25" customHeight="1" x14ac:dyDescent="0.2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 spans="1:26" ht="14.25" customHeight="1" x14ac:dyDescent="0.2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 spans="1:26" ht="14.25" customHeight="1" x14ac:dyDescent="0.2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 spans="1:26" ht="14.25" customHeight="1" x14ac:dyDescent="0.2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 spans="1:26" ht="14.25" customHeight="1" x14ac:dyDescent="0.2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 spans="1:26" ht="14.25" customHeight="1" x14ac:dyDescent="0.2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 spans="1:26" ht="14.25" customHeight="1" x14ac:dyDescent="0.2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 spans="1:26" ht="14.25" customHeight="1" x14ac:dyDescent="0.2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 spans="1:26" ht="14.25" customHeight="1" x14ac:dyDescent="0.2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 spans="1:26" ht="14.25" customHeight="1" x14ac:dyDescent="0.2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 spans="1:26" ht="14.25" customHeight="1" x14ac:dyDescent="0.2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 spans="1:26" ht="14.25" customHeight="1" x14ac:dyDescent="0.2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 spans="1:26" ht="14.25" customHeight="1" x14ac:dyDescent="0.2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 spans="1:26" ht="14.25" customHeight="1" x14ac:dyDescent="0.2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 spans="1:26" ht="14.25" customHeight="1" x14ac:dyDescent="0.2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 spans="1:26" ht="14.25" customHeight="1" x14ac:dyDescent="0.2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 spans="1:26" ht="14.25" customHeight="1" x14ac:dyDescent="0.2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 spans="1:26" ht="14.25" customHeight="1" x14ac:dyDescent="0.2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 spans="1:26" ht="14.25" customHeight="1" x14ac:dyDescent="0.2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 spans="1:26" ht="14.25" customHeight="1" x14ac:dyDescent="0.2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 spans="1:26" ht="14.25" customHeight="1" x14ac:dyDescent="0.2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 spans="1:26" ht="14.25" customHeight="1" x14ac:dyDescent="0.2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 spans="1:26" ht="14.25" customHeight="1" x14ac:dyDescent="0.2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 spans="1:26" ht="14.25" customHeight="1" x14ac:dyDescent="0.2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 spans="1:26" ht="14.25" customHeight="1" x14ac:dyDescent="0.2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 spans="1:26" ht="14.25" customHeight="1" x14ac:dyDescent="0.2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 spans="1:26" ht="14.25" customHeight="1" x14ac:dyDescent="0.2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 spans="1:26" ht="14.25" customHeight="1" x14ac:dyDescent="0.2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 spans="1:26" ht="14.25" customHeight="1" x14ac:dyDescent="0.2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 spans="1:26" ht="14.25" customHeight="1" x14ac:dyDescent="0.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 spans="1:26" ht="14.25" customHeight="1" x14ac:dyDescent="0.2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 spans="1:26" ht="14.25" customHeight="1" x14ac:dyDescent="0.2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spans="1:26" ht="14.25" customHeight="1" x14ac:dyDescent="0.2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 spans="1:26" ht="14.25" customHeight="1" x14ac:dyDescent="0.2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 spans="1:26" ht="14.25" customHeight="1" x14ac:dyDescent="0.2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 spans="1:26" ht="14.25" customHeight="1" x14ac:dyDescent="0.2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 spans="1:26" ht="14.25" customHeight="1" x14ac:dyDescent="0.2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 spans="1:26" ht="14.25" customHeight="1" x14ac:dyDescent="0.2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 spans="1:26" ht="14.25" customHeight="1" x14ac:dyDescent="0.2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 spans="1:26" ht="14.25" customHeight="1" x14ac:dyDescent="0.2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 spans="1:26" ht="14.25" customHeight="1" x14ac:dyDescent="0.2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 spans="1:26" ht="14.25" customHeight="1" x14ac:dyDescent="0.2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 spans="1:26" ht="14.25" customHeight="1" x14ac:dyDescent="0.2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 spans="1:26" ht="14.25" customHeight="1" x14ac:dyDescent="0.2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 spans="1:26" ht="14.25" customHeight="1" x14ac:dyDescent="0.2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 spans="1:26" ht="14.25" customHeight="1" x14ac:dyDescent="0.2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 spans="1:26" ht="14.25" customHeight="1" x14ac:dyDescent="0.2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 spans="1:26" ht="14.25" customHeight="1" x14ac:dyDescent="0.2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 spans="1:26" ht="14.25" customHeight="1" x14ac:dyDescent="0.2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 spans="1:26" ht="14.25" customHeight="1" x14ac:dyDescent="0.2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 spans="1:26" ht="14.25" customHeight="1" x14ac:dyDescent="0.2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 spans="1:26" ht="14.25" customHeight="1" x14ac:dyDescent="0.2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 spans="1:26" ht="14.25" customHeight="1" x14ac:dyDescent="0.2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 spans="1:26" ht="14.25" customHeight="1" x14ac:dyDescent="0.2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 spans="1:26" ht="14.25" customHeight="1" x14ac:dyDescent="0.2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 spans="1:26" ht="14.25" customHeight="1" x14ac:dyDescent="0.2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 spans="1:26" ht="14.25" customHeight="1" x14ac:dyDescent="0.2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 spans="1:26" ht="14.25" customHeight="1" x14ac:dyDescent="0.2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spans="1:26" ht="14.25" customHeight="1" x14ac:dyDescent="0.2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spans="1:26" ht="14.25" customHeight="1" x14ac:dyDescent="0.2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spans="1:26" ht="14.25" customHeight="1" x14ac:dyDescent="0.2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spans="1:26" ht="14.25" customHeight="1" x14ac:dyDescent="0.2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spans="1:26" ht="14.25" customHeight="1" x14ac:dyDescent="0.2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spans="1:26" ht="14.25" customHeight="1" x14ac:dyDescent="0.2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spans="1:26" ht="14.25" customHeight="1" x14ac:dyDescent="0.2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spans="1:26" ht="14.25" customHeight="1" x14ac:dyDescent="0.2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spans="1:26" ht="14.25" customHeight="1" x14ac:dyDescent="0.2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spans="1:26" ht="14.25" customHeight="1" x14ac:dyDescent="0.2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spans="1:26" ht="14.25" customHeight="1" x14ac:dyDescent="0.2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spans="1:26" ht="14.25" customHeight="1" x14ac:dyDescent="0.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spans="1:26" ht="14.25" customHeight="1" x14ac:dyDescent="0.2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spans="1:26" ht="14.25" customHeight="1" x14ac:dyDescent="0.2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spans="1:26" ht="14.25" customHeight="1" x14ac:dyDescent="0.2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spans="1:26" ht="14.25" customHeight="1" x14ac:dyDescent="0.2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spans="1:26" ht="14.25" customHeight="1" x14ac:dyDescent="0.2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spans="1:26" ht="14.25" customHeight="1" x14ac:dyDescent="0.2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spans="1:26" ht="14.25" customHeight="1" x14ac:dyDescent="0.2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spans="1:26" ht="14.25" customHeight="1" x14ac:dyDescent="0.2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spans="1:26" ht="14.25" customHeight="1" x14ac:dyDescent="0.2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spans="1:26" ht="14.25" customHeight="1" x14ac:dyDescent="0.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spans="1:26" ht="14.25" customHeight="1" x14ac:dyDescent="0.2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spans="1:26" ht="14.25" customHeight="1" x14ac:dyDescent="0.2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spans="1:26" ht="14.25" customHeight="1" x14ac:dyDescent="0.2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spans="1:26" ht="14.25" customHeight="1" x14ac:dyDescent="0.2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spans="1:26" ht="14.25" customHeight="1" x14ac:dyDescent="0.2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spans="1:26" ht="14.25" customHeight="1" x14ac:dyDescent="0.2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spans="1:26" ht="14.25" customHeight="1" x14ac:dyDescent="0.2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spans="1:26" ht="14.25" customHeight="1" x14ac:dyDescent="0.2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spans="1:26" ht="14.25" customHeight="1" x14ac:dyDescent="0.2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spans="1:26" ht="14.25" customHeight="1" x14ac:dyDescent="0.2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spans="1:26" ht="14.25" customHeight="1" x14ac:dyDescent="0.2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spans="1:26" ht="14.25" customHeight="1" x14ac:dyDescent="0.2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spans="1:26" ht="14.25" customHeight="1" x14ac:dyDescent="0.2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spans="1:26" ht="14.25" customHeight="1" x14ac:dyDescent="0.2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spans="1:26" ht="14.25" customHeight="1" x14ac:dyDescent="0.2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spans="1:26" ht="14.25" customHeight="1" x14ac:dyDescent="0.2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spans="1:26" ht="14.25" customHeight="1" x14ac:dyDescent="0.2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spans="1:26" ht="14.25" customHeight="1" x14ac:dyDescent="0.2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spans="1:26" ht="14.25" customHeight="1" x14ac:dyDescent="0.2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spans="1:26" ht="14.25" customHeight="1" x14ac:dyDescent="0.2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spans="1:26" ht="14.25" customHeight="1" x14ac:dyDescent="0.2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spans="1:26" ht="14.25" customHeight="1" x14ac:dyDescent="0.2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spans="1:26" ht="14.25" customHeight="1" x14ac:dyDescent="0.2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spans="1:26" ht="14.25" customHeight="1" x14ac:dyDescent="0.2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spans="1:26" ht="14.25" customHeight="1" x14ac:dyDescent="0.2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spans="1:26" ht="14.25" customHeight="1" x14ac:dyDescent="0.2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spans="1:26" ht="14.25" customHeight="1" x14ac:dyDescent="0.2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spans="1:26" ht="14.25" customHeight="1" x14ac:dyDescent="0.2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spans="1:26" ht="14.25" customHeight="1" x14ac:dyDescent="0.2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spans="1:26" ht="14.25" customHeight="1" x14ac:dyDescent="0.2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spans="1:26" ht="14.25" customHeight="1" x14ac:dyDescent="0.2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spans="1:26" ht="14.25" customHeight="1" x14ac:dyDescent="0.2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spans="1:26" ht="14.25" customHeight="1" x14ac:dyDescent="0.2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spans="1:26" ht="14.25" customHeight="1" x14ac:dyDescent="0.2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spans="1:26" ht="14.25" customHeight="1" x14ac:dyDescent="0.2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spans="1:26" ht="14.25" customHeight="1" x14ac:dyDescent="0.2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spans="1:26" ht="14.25" customHeight="1" x14ac:dyDescent="0.2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spans="1:26" ht="14.25" customHeight="1" x14ac:dyDescent="0.2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spans="1:26" ht="14.25" customHeight="1" x14ac:dyDescent="0.2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spans="1:26" ht="14.25" customHeight="1" x14ac:dyDescent="0.2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spans="1:26" ht="14.25" customHeight="1" x14ac:dyDescent="0.2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spans="1:26" ht="14.25" customHeight="1" x14ac:dyDescent="0.2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spans="1:26" ht="14.25" customHeight="1" x14ac:dyDescent="0.2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spans="1:26" ht="14.25" customHeight="1" x14ac:dyDescent="0.2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spans="1:26" ht="14.25" customHeight="1" x14ac:dyDescent="0.2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spans="1:26" ht="14.25" customHeight="1" x14ac:dyDescent="0.2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spans="1:26" ht="14.25" customHeight="1" x14ac:dyDescent="0.2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spans="1:26" ht="14.25" customHeight="1" x14ac:dyDescent="0.2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spans="1:26" ht="14.25" customHeight="1" x14ac:dyDescent="0.2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spans="1:26" ht="14.25" customHeight="1" x14ac:dyDescent="0.2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spans="1:26" ht="14.25" customHeight="1" x14ac:dyDescent="0.2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spans="1:26" ht="14.25" customHeight="1" x14ac:dyDescent="0.2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spans="1:26" ht="14.25" customHeight="1" x14ac:dyDescent="0.2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spans="1:26" ht="14.25" customHeight="1" x14ac:dyDescent="0.2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spans="1:26" ht="14.25" customHeight="1" x14ac:dyDescent="0.2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spans="1:26" ht="14.25" customHeight="1" x14ac:dyDescent="0.2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spans="1:26" ht="14.25" customHeight="1" x14ac:dyDescent="0.2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spans="1:26" ht="14.25" customHeight="1" x14ac:dyDescent="0.2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spans="1:26" ht="14.25" customHeight="1" x14ac:dyDescent="0.2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spans="1:26" ht="14.25" customHeight="1" x14ac:dyDescent="0.2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spans="1:26" ht="14.25" customHeight="1" x14ac:dyDescent="0.2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spans="1:26" ht="14.25" customHeight="1" x14ac:dyDescent="0.2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spans="1:26" ht="14.25" customHeight="1" x14ac:dyDescent="0.2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spans="1:26" ht="14.25" customHeight="1" x14ac:dyDescent="0.2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spans="1:26" ht="14.25" customHeight="1" x14ac:dyDescent="0.2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spans="1:26" ht="14.25" customHeight="1" x14ac:dyDescent="0.2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spans="1:26" ht="14.25" customHeight="1" x14ac:dyDescent="0.2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spans="1:26" ht="14.25" customHeight="1" x14ac:dyDescent="0.2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spans="1:26" ht="14.25" customHeight="1" x14ac:dyDescent="0.2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spans="1:26" ht="14.25" customHeight="1" x14ac:dyDescent="0.2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spans="1:26" ht="14.25" customHeight="1" x14ac:dyDescent="0.2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spans="1:26" ht="14.25" customHeight="1" x14ac:dyDescent="0.2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spans="1:26" ht="14.25" customHeight="1" x14ac:dyDescent="0.2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spans="1:26" ht="14.25" customHeight="1" x14ac:dyDescent="0.2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spans="1:26" ht="14.25" customHeight="1" x14ac:dyDescent="0.2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spans="1:26" ht="14.25" customHeight="1" x14ac:dyDescent="0.2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spans="1:26" ht="14.25" customHeight="1" x14ac:dyDescent="0.2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spans="1:26" ht="14.25" customHeight="1" x14ac:dyDescent="0.2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spans="1:26" ht="14.25" customHeight="1" x14ac:dyDescent="0.2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spans="1:26" ht="14.25" customHeight="1" x14ac:dyDescent="0.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spans="1:26" ht="14.25" customHeight="1" x14ac:dyDescent="0.2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spans="1:26" ht="14.25" customHeight="1" x14ac:dyDescent="0.2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spans="1:26" ht="14.25" customHeight="1" x14ac:dyDescent="0.2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spans="1:26" ht="14.25" customHeight="1" x14ac:dyDescent="0.2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spans="1:26" ht="14.25" customHeight="1" x14ac:dyDescent="0.2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spans="1:26" ht="14.25" customHeight="1" x14ac:dyDescent="0.2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spans="1:26" ht="14.25" customHeight="1" x14ac:dyDescent="0.2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spans="1:26" ht="14.25" customHeight="1" x14ac:dyDescent="0.2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spans="1:26" ht="14.25" customHeight="1" x14ac:dyDescent="0.2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spans="1:26" ht="14.25" customHeight="1" x14ac:dyDescent="0.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spans="1:26" ht="14.25" customHeight="1" x14ac:dyDescent="0.2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spans="1:26" ht="14.25" customHeight="1" x14ac:dyDescent="0.2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spans="1:26" ht="14.25" customHeight="1" x14ac:dyDescent="0.2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spans="1:26" ht="14.25" customHeight="1" x14ac:dyDescent="0.2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spans="1:26" ht="14.25" customHeight="1" x14ac:dyDescent="0.2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spans="1:26" ht="14.25" customHeight="1" x14ac:dyDescent="0.2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spans="1:26" ht="14.25" customHeight="1" x14ac:dyDescent="0.2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spans="1:26" ht="14.25" customHeight="1" x14ac:dyDescent="0.2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spans="1:26" ht="14.25" customHeight="1" x14ac:dyDescent="0.2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spans="1:26" ht="14.25" customHeight="1" x14ac:dyDescent="0.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spans="1:26" ht="14.25" customHeight="1" x14ac:dyDescent="0.2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spans="1:26" ht="14.25" customHeight="1" x14ac:dyDescent="0.2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spans="1:26" ht="14.25" customHeight="1" x14ac:dyDescent="0.2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spans="1:26" ht="14.25" customHeight="1" x14ac:dyDescent="0.2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spans="1:26" ht="14.25" customHeight="1" x14ac:dyDescent="0.2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spans="1:26" ht="14.25" customHeight="1" x14ac:dyDescent="0.2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spans="1:26" ht="14.25" customHeight="1" x14ac:dyDescent="0.2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spans="1:26" ht="14.25" customHeight="1" x14ac:dyDescent="0.2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spans="1:26" ht="14.25" customHeight="1" x14ac:dyDescent="0.2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spans="1:26" ht="14.25" customHeight="1" x14ac:dyDescent="0.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spans="1:26" ht="14.25" customHeight="1" x14ac:dyDescent="0.2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spans="1:26" ht="14.25" customHeight="1" x14ac:dyDescent="0.2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spans="1:26" ht="14.25" customHeight="1" x14ac:dyDescent="0.2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spans="1:26" ht="14.25" customHeight="1" x14ac:dyDescent="0.2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spans="1:26" ht="14.25" customHeight="1" x14ac:dyDescent="0.2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spans="1:26" ht="14.25" customHeight="1" x14ac:dyDescent="0.2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spans="1:26" ht="14.25" customHeight="1" x14ac:dyDescent="0.2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spans="1:26" ht="14.25" customHeight="1" x14ac:dyDescent="0.2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spans="1:26" ht="14.25" customHeight="1" x14ac:dyDescent="0.2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spans="1:26" ht="14.25" customHeight="1" x14ac:dyDescent="0.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spans="1:26" ht="14.25" customHeight="1" x14ac:dyDescent="0.2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spans="1:26" ht="14.25" customHeight="1" x14ac:dyDescent="0.2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spans="1:26" ht="14.25" customHeight="1" x14ac:dyDescent="0.2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spans="1:26" ht="14.25" customHeight="1" x14ac:dyDescent="0.2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spans="1:26" ht="14.25" customHeight="1" x14ac:dyDescent="0.2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spans="1:26" ht="14.25" customHeight="1" x14ac:dyDescent="0.2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spans="1:26" ht="14.25" customHeight="1" x14ac:dyDescent="0.2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spans="1:26" ht="14.25" customHeight="1" x14ac:dyDescent="0.2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spans="1:26" ht="14.25" customHeight="1" x14ac:dyDescent="0.2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spans="1:26" ht="14.25" customHeight="1" x14ac:dyDescent="0.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spans="1:26" ht="14.25" customHeight="1" x14ac:dyDescent="0.2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spans="1:26" ht="14.25" customHeight="1" x14ac:dyDescent="0.2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spans="1:26" ht="14.25" customHeight="1" x14ac:dyDescent="0.2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spans="1:26" ht="14.25" customHeight="1" x14ac:dyDescent="0.2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spans="1:26" ht="14.25" customHeight="1" x14ac:dyDescent="0.2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spans="1:26" ht="14.25" customHeight="1" x14ac:dyDescent="0.2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spans="1:26" ht="14.25" customHeight="1" x14ac:dyDescent="0.2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spans="1:26" ht="14.25" customHeight="1" x14ac:dyDescent="0.2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spans="1:26" ht="14.25" customHeight="1" x14ac:dyDescent="0.2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spans="1:26" ht="14.25" customHeight="1" x14ac:dyDescent="0.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spans="1:26" ht="14.25" customHeight="1" x14ac:dyDescent="0.2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spans="1:26" ht="14.25" customHeight="1" x14ac:dyDescent="0.2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spans="1:26" ht="14.25" customHeight="1" x14ac:dyDescent="0.2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spans="1:26" ht="14.25" customHeight="1" x14ac:dyDescent="0.2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spans="1:26" ht="14.25" customHeight="1" x14ac:dyDescent="0.2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spans="1:26" ht="14.25" customHeight="1" x14ac:dyDescent="0.2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spans="1:26" ht="14.25" customHeight="1" x14ac:dyDescent="0.2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spans="1:26" ht="14.25" customHeight="1" x14ac:dyDescent="0.2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spans="1:26" ht="14.25" customHeight="1" x14ac:dyDescent="0.2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spans="1:26" ht="14.25" customHeight="1" x14ac:dyDescent="0.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spans="1:26" ht="14.25" customHeight="1" x14ac:dyDescent="0.2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spans="1:26" ht="14.25" customHeight="1" x14ac:dyDescent="0.2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spans="1:26" ht="14.25" customHeight="1" x14ac:dyDescent="0.2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spans="1:26" ht="14.25" customHeight="1" x14ac:dyDescent="0.2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spans="1:26" ht="14.25" customHeight="1" x14ac:dyDescent="0.2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spans="1:26" ht="14.25" customHeight="1" x14ac:dyDescent="0.2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spans="1:26" ht="14.25" customHeight="1" x14ac:dyDescent="0.2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spans="1:26" ht="14.25" customHeight="1" x14ac:dyDescent="0.2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spans="1:26" ht="14.25" customHeight="1" x14ac:dyDescent="0.2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spans="1:26" ht="14.25" customHeight="1" x14ac:dyDescent="0.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spans="1:26" ht="14.25" customHeight="1" x14ac:dyDescent="0.2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spans="1:26" ht="14.25" customHeight="1" x14ac:dyDescent="0.2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spans="1:26" ht="14.25" customHeight="1" x14ac:dyDescent="0.2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spans="1:26" ht="14.25" customHeight="1" x14ac:dyDescent="0.2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spans="1:26" ht="14.25" customHeight="1" x14ac:dyDescent="0.2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spans="1:26" ht="14.25" customHeight="1" x14ac:dyDescent="0.2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spans="1:26" ht="14.25" customHeight="1" x14ac:dyDescent="0.2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spans="1:26" ht="14.25" customHeight="1" x14ac:dyDescent="0.2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spans="1:26" ht="14.25" customHeight="1" x14ac:dyDescent="0.2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spans="1:26" ht="14.25" customHeight="1" x14ac:dyDescent="0.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spans="1:26" ht="14.25" customHeight="1" x14ac:dyDescent="0.2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spans="1:26" ht="14.25" customHeight="1" x14ac:dyDescent="0.2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spans="1:26" ht="14.25" customHeight="1" x14ac:dyDescent="0.2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spans="1:26" ht="14.25" customHeight="1" x14ac:dyDescent="0.2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spans="1:26" ht="14.25" customHeight="1" x14ac:dyDescent="0.2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spans="1:26" ht="14.25" customHeight="1" x14ac:dyDescent="0.2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 spans="1:26" ht="14.25" customHeight="1" x14ac:dyDescent="0.2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 spans="1:26" ht="14.25" customHeight="1" x14ac:dyDescent="0.2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 spans="1:26" ht="14.25" customHeight="1" x14ac:dyDescent="0.2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 spans="1:26" ht="14.25" customHeight="1" x14ac:dyDescent="0.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 spans="1:26" ht="14.25" customHeight="1" x14ac:dyDescent="0.2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 spans="1:26" ht="14.25" customHeight="1" x14ac:dyDescent="0.2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 spans="1:26" ht="14.25" customHeight="1" x14ac:dyDescent="0.2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 spans="1:26" ht="14.25" customHeight="1" x14ac:dyDescent="0.2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 spans="1:26" ht="14.25" customHeight="1" x14ac:dyDescent="0.2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 spans="1:26" ht="14.25" customHeight="1" x14ac:dyDescent="0.2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 spans="1:26" ht="14.25" customHeight="1" x14ac:dyDescent="0.2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 spans="1:26" ht="14.25" customHeight="1" x14ac:dyDescent="0.2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 spans="1:26" ht="14.25" customHeight="1" x14ac:dyDescent="0.2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 spans="1:26" ht="14.25" customHeight="1" x14ac:dyDescent="0.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 spans="1:26" ht="14.25" customHeight="1" x14ac:dyDescent="0.2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 spans="1:26" ht="14.25" customHeight="1" x14ac:dyDescent="0.2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 spans="1:26" ht="14.25" customHeight="1" x14ac:dyDescent="0.2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 spans="1:26" ht="14.25" customHeight="1" x14ac:dyDescent="0.2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 spans="1:26" ht="14.25" customHeight="1" x14ac:dyDescent="0.2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 spans="1:26" ht="14.25" customHeight="1" x14ac:dyDescent="0.2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 spans="1:26" ht="14.25" customHeight="1" x14ac:dyDescent="0.2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 spans="1:26" ht="14.25" customHeight="1" x14ac:dyDescent="0.2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 spans="1:26" ht="14.25" customHeight="1" x14ac:dyDescent="0.2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 spans="1:26" ht="14.25" customHeight="1" x14ac:dyDescent="0.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 spans="1:26" ht="14.25" customHeight="1" x14ac:dyDescent="0.2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 spans="1:26" ht="14.25" customHeight="1" x14ac:dyDescent="0.2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 spans="1:26" ht="14.25" customHeight="1" x14ac:dyDescent="0.2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 spans="1:26" ht="14.25" customHeight="1" x14ac:dyDescent="0.2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 spans="1:26" ht="14.25" customHeight="1" x14ac:dyDescent="0.2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 spans="1:26" ht="14.25" customHeight="1" x14ac:dyDescent="0.2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 spans="1:26" ht="14.25" customHeight="1" x14ac:dyDescent="0.2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 spans="1:26" ht="14.25" customHeight="1" x14ac:dyDescent="0.2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 spans="1:26" ht="14.25" customHeight="1" x14ac:dyDescent="0.2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 spans="1:26" ht="14.25" customHeight="1" x14ac:dyDescent="0.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 spans="1:26" ht="14.25" customHeight="1" x14ac:dyDescent="0.2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 spans="1:26" ht="14.25" customHeight="1" x14ac:dyDescent="0.2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 spans="1:26" ht="14.25" customHeight="1" x14ac:dyDescent="0.2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 spans="1:26" ht="14.25" customHeight="1" x14ac:dyDescent="0.2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 spans="1:26" ht="14.25" customHeight="1" x14ac:dyDescent="0.2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 spans="1:26" ht="14.25" customHeight="1" x14ac:dyDescent="0.2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 spans="1:26" ht="14.25" customHeight="1" x14ac:dyDescent="0.2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 spans="1:26" ht="14.25" customHeight="1" x14ac:dyDescent="0.2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 spans="1:26" ht="14.25" customHeight="1" x14ac:dyDescent="0.2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 spans="1:26" ht="14.25" customHeight="1" x14ac:dyDescent="0.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 spans="1:26" ht="14.25" customHeight="1" x14ac:dyDescent="0.2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 spans="1:26" ht="14.25" customHeight="1" x14ac:dyDescent="0.2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 spans="1:26" ht="14.25" customHeight="1" x14ac:dyDescent="0.2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 spans="1:26" ht="14.25" customHeight="1" x14ac:dyDescent="0.2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 spans="1:26" ht="14.25" customHeight="1" x14ac:dyDescent="0.2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 spans="1:26" ht="14.25" customHeight="1" x14ac:dyDescent="0.2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 spans="1:26" ht="14.25" customHeight="1" x14ac:dyDescent="0.2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 spans="1:26" ht="14.25" customHeight="1" x14ac:dyDescent="0.2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 spans="1:26" ht="14.25" customHeight="1" x14ac:dyDescent="0.2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 spans="1:26" ht="14.25" customHeight="1" x14ac:dyDescent="0.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 spans="1:26" ht="14.25" customHeight="1" x14ac:dyDescent="0.2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 spans="1:26" ht="14.25" customHeight="1" x14ac:dyDescent="0.2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 spans="1:26" ht="14.25" customHeight="1" x14ac:dyDescent="0.2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 spans="1:26" ht="14.25" customHeight="1" x14ac:dyDescent="0.2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 spans="1:26" ht="14.25" customHeight="1" x14ac:dyDescent="0.2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 spans="1:26" ht="14.25" customHeight="1" x14ac:dyDescent="0.2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 spans="1:26" ht="14.25" customHeight="1" x14ac:dyDescent="0.2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 spans="1:26" ht="14.25" customHeight="1" x14ac:dyDescent="0.2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 spans="1:26" ht="14.25" customHeight="1" x14ac:dyDescent="0.2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 spans="1:26" ht="14.25" customHeight="1" x14ac:dyDescent="0.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 spans="1:26" ht="14.25" customHeight="1" x14ac:dyDescent="0.2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 spans="1:26" ht="14.25" customHeight="1" x14ac:dyDescent="0.2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 spans="1:26" ht="14.25" customHeight="1" x14ac:dyDescent="0.2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 spans="1:26" ht="14.25" customHeight="1" x14ac:dyDescent="0.2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 spans="1:26" ht="14.25" customHeight="1" x14ac:dyDescent="0.2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 spans="1:26" ht="14.25" customHeight="1" x14ac:dyDescent="0.2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 spans="1:26" ht="14.25" customHeight="1" x14ac:dyDescent="0.2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 spans="1:26" ht="14.25" customHeight="1" x14ac:dyDescent="0.2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 spans="1:26" ht="14.25" customHeight="1" x14ac:dyDescent="0.2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 spans="1:26" ht="14.25" customHeight="1" x14ac:dyDescent="0.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 spans="1:26" ht="14.25" customHeight="1" x14ac:dyDescent="0.2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 spans="1:26" ht="14.25" customHeight="1" x14ac:dyDescent="0.2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 spans="1:26" ht="14.25" customHeight="1" x14ac:dyDescent="0.2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 spans="1:26" ht="14.25" customHeight="1" x14ac:dyDescent="0.2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 spans="1:26" ht="14.25" customHeight="1" x14ac:dyDescent="0.2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 spans="1:26" ht="14.25" customHeight="1" x14ac:dyDescent="0.2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 spans="1:26" ht="14.25" customHeight="1" x14ac:dyDescent="0.2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 spans="1:26" ht="14.25" customHeight="1" x14ac:dyDescent="0.2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 spans="1:26" ht="14.25" customHeight="1" x14ac:dyDescent="0.2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 spans="1:26" ht="14.25" customHeight="1" x14ac:dyDescent="0.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 spans="1:26" ht="14.25" customHeight="1" x14ac:dyDescent="0.2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 spans="1:26" ht="14.25" customHeight="1" x14ac:dyDescent="0.2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 spans="1:26" ht="14.25" customHeight="1" x14ac:dyDescent="0.2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 spans="1:26" ht="14.25" customHeight="1" x14ac:dyDescent="0.2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 spans="1:26" ht="14.25" customHeight="1" x14ac:dyDescent="0.2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 spans="1:26" ht="14.25" customHeight="1" x14ac:dyDescent="0.2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 spans="1:26" ht="14.25" customHeight="1" x14ac:dyDescent="0.2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 spans="1:26" ht="14.25" customHeight="1" x14ac:dyDescent="0.2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 spans="1:26" ht="14.25" customHeight="1" x14ac:dyDescent="0.2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 spans="1:26" ht="14.25" customHeight="1" x14ac:dyDescent="0.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 spans="1:26" ht="14.25" customHeight="1" x14ac:dyDescent="0.2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 spans="1:26" ht="14.25" customHeight="1" x14ac:dyDescent="0.2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 spans="1:26" ht="14.25" customHeight="1" x14ac:dyDescent="0.2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 spans="1:26" ht="14.25" customHeight="1" x14ac:dyDescent="0.2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 spans="1:26" ht="14.25" customHeight="1" x14ac:dyDescent="0.2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 spans="1:26" ht="14.25" customHeight="1" x14ac:dyDescent="0.2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 spans="1:26" ht="14.25" customHeight="1" x14ac:dyDescent="0.2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 spans="1:26" ht="14.25" customHeight="1" x14ac:dyDescent="0.2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 spans="1:26" ht="14.25" customHeight="1" x14ac:dyDescent="0.2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 spans="1:26" ht="14.25" customHeight="1" x14ac:dyDescent="0.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 spans="1:26" ht="14.25" customHeight="1" x14ac:dyDescent="0.2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 spans="1:26" ht="14.25" customHeight="1" x14ac:dyDescent="0.2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 spans="1:26" ht="14.25" customHeight="1" x14ac:dyDescent="0.2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 spans="1:26" ht="14.25" customHeight="1" x14ac:dyDescent="0.2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 spans="1:26" ht="14.25" customHeight="1" x14ac:dyDescent="0.2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 spans="1:26" ht="14.25" customHeight="1" x14ac:dyDescent="0.2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 spans="1:26" ht="14.25" customHeight="1" x14ac:dyDescent="0.2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 spans="1:26" ht="14.25" customHeight="1" x14ac:dyDescent="0.2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 spans="1:26" ht="14.25" customHeight="1" x14ac:dyDescent="0.2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 spans="1:26" ht="14.25" customHeight="1" x14ac:dyDescent="0.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 spans="1:26" ht="14.25" customHeight="1" x14ac:dyDescent="0.2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 spans="1:26" ht="14.25" customHeight="1" x14ac:dyDescent="0.2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 spans="1:26" ht="14.25" customHeight="1" x14ac:dyDescent="0.2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 spans="1:26" ht="14.25" customHeight="1" x14ac:dyDescent="0.2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 spans="1:26" ht="14.25" customHeight="1" x14ac:dyDescent="0.2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 spans="1:26" ht="14.25" customHeight="1" x14ac:dyDescent="0.2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 spans="1:26" ht="14.25" customHeight="1" x14ac:dyDescent="0.2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 spans="1:26" ht="14.25" customHeight="1" x14ac:dyDescent="0.2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 spans="1:26" ht="14.25" customHeight="1" x14ac:dyDescent="0.2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 spans="1:26" ht="14.25" customHeight="1" x14ac:dyDescent="0.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 spans="1:26" ht="14.25" customHeight="1" x14ac:dyDescent="0.2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 spans="1:26" ht="14.25" customHeight="1" x14ac:dyDescent="0.2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 spans="1:26" ht="14.25" customHeight="1" x14ac:dyDescent="0.2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 spans="1:26" ht="14.25" customHeight="1" x14ac:dyDescent="0.2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 spans="1:26" ht="14.25" customHeight="1" x14ac:dyDescent="0.2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 spans="1:26" ht="14.25" customHeight="1" x14ac:dyDescent="0.2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 spans="1:26" ht="14.25" customHeight="1" x14ac:dyDescent="0.2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 spans="1:26" ht="14.25" customHeight="1" x14ac:dyDescent="0.2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 spans="1:26" ht="14.25" customHeight="1" x14ac:dyDescent="0.2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 spans="1:26" ht="14.25" customHeight="1" x14ac:dyDescent="0.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 spans="1:26" ht="14.25" customHeight="1" x14ac:dyDescent="0.2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 spans="1:26" ht="14.25" customHeight="1" x14ac:dyDescent="0.2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 spans="1:26" ht="14.25" customHeight="1" x14ac:dyDescent="0.2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 spans="1:26" ht="14.25" customHeight="1" x14ac:dyDescent="0.2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 spans="1:26" ht="14.25" customHeight="1" x14ac:dyDescent="0.2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 spans="1:26" ht="14.25" customHeight="1" x14ac:dyDescent="0.2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 spans="1:26" ht="14.25" customHeight="1" x14ac:dyDescent="0.2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 spans="1:26" ht="14.25" customHeight="1" x14ac:dyDescent="0.2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 spans="1:26" ht="14.25" customHeight="1" x14ac:dyDescent="0.2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 spans="1:26" ht="14.25" customHeight="1" x14ac:dyDescent="0.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 spans="1:26" ht="14.25" customHeight="1" x14ac:dyDescent="0.2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 spans="1:26" ht="14.25" customHeight="1" x14ac:dyDescent="0.2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 spans="1:26" ht="14.25" customHeight="1" x14ac:dyDescent="0.2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 spans="1:26" ht="14.25" customHeight="1" x14ac:dyDescent="0.2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 spans="1:26" ht="14.25" customHeight="1" x14ac:dyDescent="0.2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 spans="1:26" ht="14.25" customHeight="1" x14ac:dyDescent="0.2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 spans="1:26" ht="14.25" customHeight="1" x14ac:dyDescent="0.2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 spans="1:26" ht="14.25" customHeight="1" x14ac:dyDescent="0.2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 spans="1:26" ht="14.25" customHeight="1" x14ac:dyDescent="0.2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 spans="1:26" ht="14.25" customHeight="1" x14ac:dyDescent="0.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 spans="1:26" ht="14.25" customHeight="1" x14ac:dyDescent="0.2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 spans="1:26" ht="14.25" customHeight="1" x14ac:dyDescent="0.2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 spans="1:26" ht="14.25" customHeight="1" x14ac:dyDescent="0.2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 spans="1:26" ht="14.25" customHeight="1" x14ac:dyDescent="0.2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 spans="1:26" ht="14.25" customHeight="1" x14ac:dyDescent="0.2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 spans="1:26" ht="14.25" customHeight="1" x14ac:dyDescent="0.2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 spans="1:26" ht="14.25" customHeight="1" x14ac:dyDescent="0.2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 spans="1:26" ht="14.25" customHeight="1" x14ac:dyDescent="0.2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 spans="1:26" ht="14.25" customHeight="1" x14ac:dyDescent="0.2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 spans="1:26" ht="14.25" customHeight="1" x14ac:dyDescent="0.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 spans="1:26" ht="14.25" customHeight="1" x14ac:dyDescent="0.2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 spans="1:26" ht="14.25" customHeight="1" x14ac:dyDescent="0.2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 spans="1:26" ht="14.25" customHeight="1" x14ac:dyDescent="0.2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 spans="1:26" ht="14.25" customHeight="1" x14ac:dyDescent="0.2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 spans="1:26" ht="14.25" customHeight="1" x14ac:dyDescent="0.2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 spans="1:26" ht="14.25" customHeight="1" x14ac:dyDescent="0.2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 spans="1:26" ht="14.25" customHeight="1" x14ac:dyDescent="0.2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 spans="1:26" ht="14.25" customHeight="1" x14ac:dyDescent="0.2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 spans="1:26" ht="14.25" customHeight="1" x14ac:dyDescent="0.2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 spans="1:26" ht="14.25" customHeight="1" x14ac:dyDescent="0.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 spans="1:26" ht="14.25" customHeight="1" x14ac:dyDescent="0.2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 spans="1:26" ht="14.25" customHeight="1" x14ac:dyDescent="0.2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 spans="1:26" ht="14.25" customHeight="1" x14ac:dyDescent="0.2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 spans="1:26" ht="14.25" customHeight="1" x14ac:dyDescent="0.2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 spans="1:26" ht="14.25" customHeight="1" x14ac:dyDescent="0.2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 spans="1:26" ht="14.25" customHeight="1" x14ac:dyDescent="0.2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 spans="1:26" ht="14.25" customHeight="1" x14ac:dyDescent="0.2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 spans="1:26" ht="14.25" customHeight="1" x14ac:dyDescent="0.2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 spans="1:26" ht="14.25" customHeight="1" x14ac:dyDescent="0.2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 spans="1:26" ht="14.25" customHeight="1" x14ac:dyDescent="0.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 spans="1:26" ht="14.25" customHeight="1" x14ac:dyDescent="0.2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 spans="1:26" ht="14.25" customHeight="1" x14ac:dyDescent="0.2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 spans="1:26" ht="14.25" customHeight="1" x14ac:dyDescent="0.2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 spans="1:26" ht="14.25" customHeight="1" x14ac:dyDescent="0.2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 spans="1:26" ht="14.25" customHeight="1" x14ac:dyDescent="0.2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 spans="1:26" ht="14.25" customHeight="1" x14ac:dyDescent="0.2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 spans="1:26" ht="14.25" customHeight="1" x14ac:dyDescent="0.2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 spans="1:26" ht="14.25" customHeight="1" x14ac:dyDescent="0.2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 spans="1:26" ht="14.25" customHeight="1" x14ac:dyDescent="0.2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 spans="1:26" ht="14.25" customHeight="1" x14ac:dyDescent="0.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 spans="1:26" ht="14.25" customHeight="1" x14ac:dyDescent="0.2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 spans="1:26" ht="14.25" customHeight="1" x14ac:dyDescent="0.2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 spans="1:26" ht="14.25" customHeight="1" x14ac:dyDescent="0.2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 spans="1:26" ht="14.25" customHeight="1" x14ac:dyDescent="0.2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 spans="1:26" ht="14.25" customHeight="1" x14ac:dyDescent="0.2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 spans="1:26" ht="14.25" customHeight="1" x14ac:dyDescent="0.2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 spans="1:26" ht="14.25" customHeight="1" x14ac:dyDescent="0.2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 spans="1:26" ht="14.25" customHeight="1" x14ac:dyDescent="0.2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 spans="1:26" ht="14.25" customHeight="1" x14ac:dyDescent="0.2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 spans="1:26" ht="14.25" customHeight="1" x14ac:dyDescent="0.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 spans="1:26" ht="14.25" customHeight="1" x14ac:dyDescent="0.2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 spans="1:26" ht="14.25" customHeight="1" x14ac:dyDescent="0.2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 spans="1:26" ht="14.25" customHeight="1" x14ac:dyDescent="0.2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 spans="1:26" ht="14.25" customHeight="1" x14ac:dyDescent="0.2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 spans="1:26" ht="14.25" customHeight="1" x14ac:dyDescent="0.2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 spans="1:26" ht="14.25" customHeight="1" x14ac:dyDescent="0.2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 spans="1:26" ht="14.25" customHeight="1" x14ac:dyDescent="0.2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 spans="1:26" ht="14.25" customHeight="1" x14ac:dyDescent="0.2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 spans="1:26" ht="14.25" customHeight="1" x14ac:dyDescent="0.2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 spans="1:26" ht="14.25" customHeight="1" x14ac:dyDescent="0.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 spans="1:26" ht="14.25" customHeight="1" x14ac:dyDescent="0.2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 spans="1:26" ht="14.25" customHeight="1" x14ac:dyDescent="0.2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 spans="1:26" ht="14.25" customHeight="1" x14ac:dyDescent="0.2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 spans="1:26" ht="14.25" customHeight="1" x14ac:dyDescent="0.2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 spans="1:26" ht="14.25" customHeight="1" x14ac:dyDescent="0.2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 spans="1:26" ht="14.25" customHeight="1" x14ac:dyDescent="0.2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 spans="1:26" ht="14.25" customHeight="1" x14ac:dyDescent="0.2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 spans="1:26" ht="14.25" customHeight="1" x14ac:dyDescent="0.2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 spans="1:26" ht="14.25" customHeight="1" x14ac:dyDescent="0.2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 spans="1:26" ht="14.25" customHeight="1" x14ac:dyDescent="0.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 spans="1:26" ht="14.25" customHeight="1" x14ac:dyDescent="0.2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 spans="1:26" ht="14.25" customHeight="1" x14ac:dyDescent="0.2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 spans="1:26" ht="14.25" customHeight="1" x14ac:dyDescent="0.2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spans="1:26" ht="14.25" customHeight="1" x14ac:dyDescent="0.2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 spans="1:26" ht="14.25" customHeight="1" x14ac:dyDescent="0.2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 spans="1:26" ht="14.25" customHeight="1" x14ac:dyDescent="0.2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spans="1:26" ht="14.25" customHeight="1" x14ac:dyDescent="0.2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 spans="1:26" ht="14.25" customHeight="1" x14ac:dyDescent="0.2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 spans="1:26" ht="14.25" customHeight="1" x14ac:dyDescent="0.2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spans="1:26" ht="14.25" customHeight="1" x14ac:dyDescent="0.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spans="1:26" ht="14.25" customHeight="1" x14ac:dyDescent="0.2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 spans="1:26" ht="14.25" customHeight="1" x14ac:dyDescent="0.2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 spans="1:26" ht="14.25" customHeight="1" x14ac:dyDescent="0.2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spans="1:26" ht="14.25" customHeight="1" x14ac:dyDescent="0.2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 spans="1:26" ht="14.25" customHeight="1" x14ac:dyDescent="0.2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spans="1:26" ht="14.25" customHeight="1" x14ac:dyDescent="0.2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spans="1:26" ht="14.25" customHeight="1" x14ac:dyDescent="0.2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 spans="1:26" ht="14.25" customHeight="1" x14ac:dyDescent="0.2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 spans="1:26" ht="14.25" customHeight="1" x14ac:dyDescent="0.2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 spans="1:26" ht="14.25" customHeight="1" x14ac:dyDescent="0.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 spans="1:26" ht="14.25" customHeight="1" x14ac:dyDescent="0.2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 spans="1:26" ht="14.25" customHeight="1" x14ac:dyDescent="0.2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 spans="1:26" ht="14.25" customHeight="1" x14ac:dyDescent="0.2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 spans="1:26" ht="14.25" customHeight="1" x14ac:dyDescent="0.2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 spans="1:26" ht="14.25" customHeight="1" x14ac:dyDescent="0.2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 spans="1:26" ht="14.25" customHeight="1" x14ac:dyDescent="0.2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 spans="1:26" ht="14.25" customHeight="1" x14ac:dyDescent="0.2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 spans="1:26" ht="14.25" customHeight="1" x14ac:dyDescent="0.2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 spans="1:26" ht="14.25" customHeight="1" x14ac:dyDescent="0.2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 spans="1:26" ht="14.25" customHeight="1" x14ac:dyDescent="0.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 spans="1:26" ht="14.25" customHeight="1" x14ac:dyDescent="0.2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 spans="1:26" ht="14.25" customHeight="1" x14ac:dyDescent="0.2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 spans="1:26" ht="14.25" customHeight="1" x14ac:dyDescent="0.2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 spans="1:26" ht="14.25" customHeight="1" x14ac:dyDescent="0.2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 spans="1:26" ht="14.25" customHeight="1" x14ac:dyDescent="0.2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 spans="1:26" ht="14.25" customHeight="1" x14ac:dyDescent="0.2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 spans="1:26" ht="14.25" customHeight="1" x14ac:dyDescent="0.2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 spans="1:26" ht="14.25" customHeight="1" x14ac:dyDescent="0.2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 spans="1:26" ht="14.25" customHeight="1" x14ac:dyDescent="0.2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 spans="1:26" ht="14.25" customHeight="1" x14ac:dyDescent="0.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 spans="1:26" ht="14.25" customHeight="1" x14ac:dyDescent="0.2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 spans="1:26" ht="14.25" customHeight="1" x14ac:dyDescent="0.2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 spans="1:26" ht="14.25" customHeight="1" x14ac:dyDescent="0.2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 spans="1:26" ht="14.25" customHeight="1" x14ac:dyDescent="0.2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 spans="1:26" ht="14.25" customHeight="1" x14ac:dyDescent="0.2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 spans="1:26" ht="14.25" customHeight="1" x14ac:dyDescent="0.2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 spans="1:26" ht="14.25" customHeight="1" x14ac:dyDescent="0.2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 spans="1:26" ht="14.25" customHeight="1" x14ac:dyDescent="0.2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 spans="1:26" ht="14.25" customHeight="1" x14ac:dyDescent="0.2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 spans="1:26" ht="14.25" customHeight="1" x14ac:dyDescent="0.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 spans="1:26" ht="14.25" customHeight="1" x14ac:dyDescent="0.2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 spans="1:26" ht="14.25" customHeight="1" x14ac:dyDescent="0.2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 spans="1:26" ht="14.25" customHeight="1" x14ac:dyDescent="0.2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 spans="1:26" ht="14.25" customHeight="1" x14ac:dyDescent="0.2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 spans="1:26" ht="14.25" customHeight="1" x14ac:dyDescent="0.2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 spans="1:26" ht="14.25" customHeight="1" x14ac:dyDescent="0.2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 spans="1:26" ht="14.25" customHeight="1" x14ac:dyDescent="0.2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 spans="1:26" ht="14.25" customHeight="1" x14ac:dyDescent="0.2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 spans="1:26" ht="14.25" customHeight="1" x14ac:dyDescent="0.2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 spans="1:26" ht="14.25" customHeight="1" x14ac:dyDescent="0.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 spans="1:26" ht="14.25" customHeight="1" x14ac:dyDescent="0.2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 spans="1:26" ht="14.25" customHeight="1" x14ac:dyDescent="0.2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 spans="1:26" ht="14.25" customHeight="1" x14ac:dyDescent="0.2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 spans="1:26" ht="14.25" customHeight="1" x14ac:dyDescent="0.2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 spans="1:26" ht="14.25" customHeight="1" x14ac:dyDescent="0.2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 spans="1:26" ht="14.25" customHeight="1" x14ac:dyDescent="0.2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 spans="1:26" ht="14.25" customHeight="1" x14ac:dyDescent="0.2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 spans="1:26" ht="14.25" customHeight="1" x14ac:dyDescent="0.2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 spans="1:26" ht="14.25" customHeight="1" x14ac:dyDescent="0.2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 spans="1:26" ht="14.25" customHeight="1" x14ac:dyDescent="0.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 spans="1:26" ht="14.25" customHeight="1" x14ac:dyDescent="0.2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 spans="1:26" ht="14.25" customHeight="1" x14ac:dyDescent="0.2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 spans="1:26" ht="14.25" customHeight="1" x14ac:dyDescent="0.2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 spans="1:26" ht="14.25" customHeight="1" x14ac:dyDescent="0.2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 spans="1:26" ht="14.25" customHeight="1" x14ac:dyDescent="0.2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 spans="1:26" ht="14.25" customHeight="1" x14ac:dyDescent="0.2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 spans="1:26" ht="14.25" customHeight="1" x14ac:dyDescent="0.2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 spans="1:26" ht="14.25" customHeight="1" x14ac:dyDescent="0.2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 spans="1:26" ht="14.25" customHeight="1" x14ac:dyDescent="0.2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 spans="1:26" ht="14.25" customHeight="1" x14ac:dyDescent="0.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 spans="1:26" ht="14.25" customHeight="1" x14ac:dyDescent="0.2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 spans="1:26" ht="14.25" customHeight="1" x14ac:dyDescent="0.2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 spans="1:26" ht="14.25" customHeight="1" x14ac:dyDescent="0.2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 spans="1:26" ht="14.25" customHeight="1" x14ac:dyDescent="0.2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 spans="1:26" ht="14.25" customHeight="1" x14ac:dyDescent="0.2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 spans="1:26" ht="14.25" customHeight="1" x14ac:dyDescent="0.2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 spans="1:26" ht="14.25" customHeight="1" x14ac:dyDescent="0.2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 spans="1:26" ht="14.25" customHeight="1" x14ac:dyDescent="0.2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 spans="1:26" ht="14.25" customHeight="1" x14ac:dyDescent="0.2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 spans="1:26" ht="14.25" customHeight="1" x14ac:dyDescent="0.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 spans="1:26" ht="14.25" customHeight="1" x14ac:dyDescent="0.2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 spans="1:26" ht="14.25" customHeight="1" x14ac:dyDescent="0.2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 spans="1:26" ht="14.25" customHeight="1" x14ac:dyDescent="0.2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 spans="1:26" ht="14.25" customHeight="1" x14ac:dyDescent="0.2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 spans="1:26" ht="14.25" customHeight="1" x14ac:dyDescent="0.2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 spans="1:26" ht="14.25" customHeight="1" x14ac:dyDescent="0.2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 spans="1:26" ht="14.25" customHeight="1" x14ac:dyDescent="0.2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 spans="1:26" ht="14.25" customHeight="1" x14ac:dyDescent="0.2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 spans="1:26" ht="14.25" customHeight="1" x14ac:dyDescent="0.2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 spans="1:26" ht="14.25" customHeight="1" x14ac:dyDescent="0.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 spans="1:26" ht="14.25" customHeight="1" x14ac:dyDescent="0.2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 spans="1:26" ht="14.25" customHeight="1" x14ac:dyDescent="0.2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 spans="1:26" ht="14.25" customHeight="1" x14ac:dyDescent="0.2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 spans="1:26" ht="14.25" customHeight="1" x14ac:dyDescent="0.2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 spans="1:26" ht="14.25" customHeight="1" x14ac:dyDescent="0.2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 spans="1:26" ht="14.25" customHeight="1" x14ac:dyDescent="0.2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 spans="1:26" ht="14.25" customHeight="1" x14ac:dyDescent="0.2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 spans="1:26" ht="14.25" customHeight="1" x14ac:dyDescent="0.2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 spans="1:26" ht="14.25" customHeight="1" x14ac:dyDescent="0.2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 spans="1:26" ht="14.25" customHeight="1" x14ac:dyDescent="0.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 spans="1:26" ht="14.25" customHeight="1" x14ac:dyDescent="0.2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 spans="1:26" ht="14.25" customHeight="1" x14ac:dyDescent="0.2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 spans="1:26" ht="14.25" customHeight="1" x14ac:dyDescent="0.2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 spans="1:26" ht="14.25" customHeight="1" x14ac:dyDescent="0.2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 spans="1:26" ht="14.25" customHeight="1" x14ac:dyDescent="0.2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 spans="1:26" ht="14.25" customHeight="1" x14ac:dyDescent="0.2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 spans="1:26" ht="14.25" customHeight="1" x14ac:dyDescent="0.2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 spans="1:26" ht="14.25" customHeight="1" x14ac:dyDescent="0.2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 spans="1:26" ht="14.25" customHeight="1" x14ac:dyDescent="0.2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 spans="1:26" ht="14.25" customHeight="1" x14ac:dyDescent="0.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 spans="1:26" ht="14.25" customHeight="1" x14ac:dyDescent="0.2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 spans="1:26" ht="14.25" customHeight="1" x14ac:dyDescent="0.2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 spans="1:26" ht="14.25" customHeight="1" x14ac:dyDescent="0.2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 spans="1:26" ht="14.25" customHeight="1" x14ac:dyDescent="0.2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 spans="1:26" ht="14.25" customHeight="1" x14ac:dyDescent="0.2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 spans="1:26" ht="14.25" customHeight="1" x14ac:dyDescent="0.2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 spans="1:26" ht="14.25" customHeight="1" x14ac:dyDescent="0.2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 spans="1:26" ht="14.25" customHeight="1" x14ac:dyDescent="0.2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 spans="1:26" ht="14.25" customHeight="1" x14ac:dyDescent="0.2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 spans="1:26" ht="14.25" customHeight="1" x14ac:dyDescent="0.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 spans="1:26" ht="14.25" customHeight="1" x14ac:dyDescent="0.2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 spans="1:26" ht="14.25" customHeight="1" x14ac:dyDescent="0.2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 spans="1:26" ht="14.25" customHeight="1" x14ac:dyDescent="0.2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 spans="1:26" ht="14.25" customHeight="1" x14ac:dyDescent="0.2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 spans="1:26" ht="14.25" customHeight="1" x14ac:dyDescent="0.2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 spans="1:26" ht="14.25" customHeight="1" x14ac:dyDescent="0.2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 spans="1:26" ht="14.25" customHeight="1" x14ac:dyDescent="0.2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 spans="1:26" ht="14.25" customHeight="1" x14ac:dyDescent="0.2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 spans="1:26" ht="14.25" customHeight="1" x14ac:dyDescent="0.2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 spans="1:26" ht="14.25" customHeight="1" x14ac:dyDescent="0.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 spans="1:26" ht="14.25" customHeight="1" x14ac:dyDescent="0.2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 spans="1:26" ht="14.25" customHeight="1" x14ac:dyDescent="0.2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 spans="1:26" ht="14.25" customHeight="1" x14ac:dyDescent="0.2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 spans="1:26" ht="14.25" customHeight="1" x14ac:dyDescent="0.2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 spans="1:26" ht="14.25" customHeight="1" x14ac:dyDescent="0.2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 spans="1:26" ht="14.25" customHeight="1" x14ac:dyDescent="0.2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 spans="1:26" ht="14.25" customHeight="1" x14ac:dyDescent="0.2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 spans="1:26" ht="14.25" customHeight="1" x14ac:dyDescent="0.2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 spans="1:26" ht="14.25" customHeight="1" x14ac:dyDescent="0.2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 spans="1:26" ht="14.25" customHeight="1" x14ac:dyDescent="0.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 spans="1:26" ht="14.25" customHeight="1" x14ac:dyDescent="0.2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 spans="1:26" ht="14.25" customHeight="1" x14ac:dyDescent="0.2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 spans="1:26" ht="14.25" customHeight="1" x14ac:dyDescent="0.2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 spans="1:26" ht="14.25" customHeight="1" x14ac:dyDescent="0.2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 spans="1:26" ht="14.25" customHeight="1" x14ac:dyDescent="0.2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 spans="1:26" ht="14.25" customHeight="1" x14ac:dyDescent="0.2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 spans="1:26" ht="14.25" customHeight="1" x14ac:dyDescent="0.2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 spans="1:26" ht="14.25" customHeight="1" x14ac:dyDescent="0.2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 spans="1:26" ht="14.25" customHeight="1" x14ac:dyDescent="0.2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 spans="1:26" ht="14.25" customHeight="1" x14ac:dyDescent="0.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 spans="1:26" ht="14.25" customHeight="1" x14ac:dyDescent="0.2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 spans="1:26" ht="14.25" customHeight="1" x14ac:dyDescent="0.2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 spans="1:26" ht="14.25" customHeight="1" x14ac:dyDescent="0.2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 spans="1:26" ht="14.25" customHeight="1" x14ac:dyDescent="0.2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 spans="1:26" ht="14.25" customHeight="1" x14ac:dyDescent="0.2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 spans="1:26" ht="14.25" customHeight="1" x14ac:dyDescent="0.2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 spans="1:26" ht="14.25" customHeight="1" x14ac:dyDescent="0.2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 spans="1:26" ht="14.25" customHeight="1" x14ac:dyDescent="0.2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 spans="1:26" ht="14.25" customHeight="1" x14ac:dyDescent="0.2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 spans="1:26" ht="14.25" customHeight="1" x14ac:dyDescent="0.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 spans="1:26" ht="14.25" customHeight="1" x14ac:dyDescent="0.2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 spans="1:26" ht="14.25" customHeight="1" x14ac:dyDescent="0.2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 spans="1:26" ht="14.25" customHeight="1" x14ac:dyDescent="0.2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 spans="1:26" ht="14.25" customHeight="1" x14ac:dyDescent="0.2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 spans="1:26" ht="14.25" customHeight="1" x14ac:dyDescent="0.2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 spans="1:26" ht="14.25" customHeight="1" x14ac:dyDescent="0.2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 spans="1:26" ht="14.25" customHeight="1" x14ac:dyDescent="0.2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 spans="1:26" ht="14.25" customHeight="1" x14ac:dyDescent="0.2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 spans="1:26" ht="14.25" customHeight="1" x14ac:dyDescent="0.2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 spans="1:26" ht="14.25" customHeight="1" x14ac:dyDescent="0.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 spans="1:26" ht="14.25" customHeight="1" x14ac:dyDescent="0.2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 spans="1:26" ht="14.25" customHeight="1" x14ac:dyDescent="0.2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 spans="1:26" ht="14.25" customHeight="1" x14ac:dyDescent="0.2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 spans="1:26" ht="14.25" customHeight="1" x14ac:dyDescent="0.2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 spans="1:26" ht="14.25" customHeight="1" x14ac:dyDescent="0.2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 spans="1:26" ht="14.25" customHeight="1" x14ac:dyDescent="0.2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 spans="1:26" ht="14.25" customHeight="1" x14ac:dyDescent="0.2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 spans="1:26" ht="14.25" customHeight="1" x14ac:dyDescent="0.2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 spans="1:26" ht="14.25" customHeight="1" x14ac:dyDescent="0.2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 spans="1:26" ht="14.25" customHeight="1" x14ac:dyDescent="0.2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 spans="1:26" ht="14.25" customHeight="1" x14ac:dyDescent="0.2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 spans="1:26" ht="14.25" customHeight="1" x14ac:dyDescent="0.2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 spans="1:26" ht="14.25" customHeight="1" x14ac:dyDescent="0.2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 spans="1:26" ht="14.25" customHeight="1" x14ac:dyDescent="0.2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 spans="1:26" ht="14.25" customHeight="1" x14ac:dyDescent="0.2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 spans="1:26" ht="14.25" customHeight="1" x14ac:dyDescent="0.2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 spans="1:26" ht="14.25" customHeight="1" x14ac:dyDescent="0.2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 spans="1:26" ht="14.25" customHeight="1" x14ac:dyDescent="0.2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 spans="1:26" ht="14.25" customHeight="1" x14ac:dyDescent="0.2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 spans="1:26" ht="14.25" customHeight="1" x14ac:dyDescent="0.2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 spans="1:26" ht="14.25" customHeight="1" x14ac:dyDescent="0.2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 spans="1:26" ht="14.25" customHeight="1" x14ac:dyDescent="0.2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 spans="1:26" ht="14.25" customHeight="1" x14ac:dyDescent="0.2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 spans="1:26" ht="14.25" customHeight="1" x14ac:dyDescent="0.2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 spans="1:26" ht="14.25" customHeight="1" x14ac:dyDescent="0.2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 spans="1:26" ht="14.25" customHeight="1" x14ac:dyDescent="0.2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 spans="1:26" ht="14.25" customHeight="1" x14ac:dyDescent="0.2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 spans="1:26" ht="14.25" customHeight="1" x14ac:dyDescent="0.2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 spans="1:26" ht="14.25" customHeight="1" x14ac:dyDescent="0.2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 spans="1:26" ht="14.25" customHeight="1" x14ac:dyDescent="0.2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 spans="1:26" ht="14.25" customHeight="1" x14ac:dyDescent="0.2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 spans="1:26" ht="14.25" customHeight="1" x14ac:dyDescent="0.2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 spans="1:26" ht="14.25" customHeight="1" x14ac:dyDescent="0.2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 spans="1:26" ht="14.25" customHeight="1" x14ac:dyDescent="0.2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 spans="1:26" ht="14.25" customHeight="1" x14ac:dyDescent="0.2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 spans="1:26" ht="14.25" customHeight="1" x14ac:dyDescent="0.2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 spans="1:26" ht="14.25" customHeight="1" x14ac:dyDescent="0.2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 spans="1:26" ht="14.25" customHeight="1" x14ac:dyDescent="0.2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 spans="1:26" ht="14.25" customHeight="1" x14ac:dyDescent="0.2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 spans="1:26" ht="14.25" customHeight="1" x14ac:dyDescent="0.2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 spans="1:26" ht="14.25" customHeight="1" x14ac:dyDescent="0.2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 spans="1:26" ht="14.25" customHeight="1" x14ac:dyDescent="0.2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 spans="1:26" ht="14.25" customHeight="1" x14ac:dyDescent="0.2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 spans="1:26" ht="14.25" customHeight="1" x14ac:dyDescent="0.2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 spans="1:26" ht="14.25" customHeight="1" x14ac:dyDescent="0.2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 spans="1:26" ht="14.25" customHeight="1" x14ac:dyDescent="0.2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 spans="1:26" ht="14.25" customHeight="1" x14ac:dyDescent="0.2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 spans="1:26" ht="14.25" customHeight="1" x14ac:dyDescent="0.2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 spans="1:26" ht="14.25" customHeight="1" x14ac:dyDescent="0.2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 spans="1:26" ht="14.25" customHeight="1" x14ac:dyDescent="0.2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 spans="1:26" ht="14.25" customHeight="1" x14ac:dyDescent="0.2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 spans="1:26" ht="14.25" customHeight="1" x14ac:dyDescent="0.2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 spans="1:26" ht="14.25" customHeight="1" x14ac:dyDescent="0.2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 spans="1:26" ht="14.25" customHeight="1" x14ac:dyDescent="0.2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 spans="1:26" ht="14.25" customHeight="1" x14ac:dyDescent="0.2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 spans="1:26" ht="14.25" customHeight="1" x14ac:dyDescent="0.2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 spans="1:26" ht="14.25" customHeight="1" x14ac:dyDescent="0.2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 spans="1:26" ht="14.25" customHeight="1" x14ac:dyDescent="0.2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 spans="1:26" ht="14.25" customHeight="1" x14ac:dyDescent="0.2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 spans="1:26" ht="14.25" customHeight="1" x14ac:dyDescent="0.2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 spans="1:26" ht="14.25" customHeight="1" x14ac:dyDescent="0.2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 spans="1:26" ht="14.25" customHeight="1" x14ac:dyDescent="0.2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 spans="1:26" ht="14.25" customHeight="1" x14ac:dyDescent="0.2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 spans="1:26" ht="14.25" customHeight="1" x14ac:dyDescent="0.2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 spans="1:26" ht="14.25" customHeight="1" x14ac:dyDescent="0.2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 spans="1:26" ht="14.25" customHeight="1" x14ac:dyDescent="0.2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 spans="1:26" ht="14.25" customHeight="1" x14ac:dyDescent="0.2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 spans="1:26" ht="14.25" customHeight="1" x14ac:dyDescent="0.2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 spans="1:26" ht="14.25" customHeight="1" x14ac:dyDescent="0.2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 spans="1:26" ht="14.25" customHeight="1" x14ac:dyDescent="0.2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 spans="1:26" ht="14.25" customHeight="1" x14ac:dyDescent="0.2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 spans="1:26" ht="14.25" customHeight="1" x14ac:dyDescent="0.2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 spans="1:26" ht="14.25" customHeight="1" x14ac:dyDescent="0.2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 spans="1:26" ht="14.25" customHeight="1" x14ac:dyDescent="0.2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 spans="1:26" ht="14.25" customHeight="1" x14ac:dyDescent="0.2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 spans="1:26" ht="14.25" customHeight="1" x14ac:dyDescent="0.2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 spans="1:26" ht="14.25" customHeight="1" x14ac:dyDescent="0.2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 spans="1:26" ht="14.25" customHeight="1" x14ac:dyDescent="0.2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 spans="1:26" ht="14.25" customHeight="1" x14ac:dyDescent="0.2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 spans="1:26" ht="14.25" customHeight="1" x14ac:dyDescent="0.2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 spans="1:26" ht="14.25" customHeight="1" x14ac:dyDescent="0.2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 spans="1:26" ht="14.25" customHeight="1" x14ac:dyDescent="0.2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 spans="1:26" ht="14.25" customHeight="1" x14ac:dyDescent="0.2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 spans="1:26" ht="14.25" customHeight="1" x14ac:dyDescent="0.2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 spans="1:26" ht="14.25" customHeight="1" x14ac:dyDescent="0.2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 spans="1:26" ht="14.25" customHeight="1" x14ac:dyDescent="0.2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 spans="1:26" ht="14.25" customHeight="1" x14ac:dyDescent="0.2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 spans="1:26" ht="14.25" customHeight="1" x14ac:dyDescent="0.2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 spans="1:26" ht="14.25" customHeight="1" x14ac:dyDescent="0.2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 spans="1:26" ht="14.25" customHeight="1" x14ac:dyDescent="0.2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 spans="1:26" ht="14.25" customHeight="1" x14ac:dyDescent="0.2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 spans="1:26" ht="14.25" customHeight="1" x14ac:dyDescent="0.2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 spans="1:26" ht="14.25" customHeight="1" x14ac:dyDescent="0.2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 spans="1:26" ht="14.25" customHeight="1" x14ac:dyDescent="0.2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 spans="1:26" ht="14.25" customHeight="1" x14ac:dyDescent="0.2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 spans="1:26" ht="14.25" customHeight="1" x14ac:dyDescent="0.2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 spans="1:26" ht="14.25" customHeight="1" x14ac:dyDescent="0.2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 spans="1:26" ht="14.25" customHeight="1" x14ac:dyDescent="0.2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 spans="1:26" ht="14.25" customHeight="1" x14ac:dyDescent="0.2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 spans="1:26" ht="14.25" customHeight="1" x14ac:dyDescent="0.2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 spans="1:26" ht="14.25" customHeight="1" x14ac:dyDescent="0.2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 spans="1:26" ht="14.25" customHeight="1" x14ac:dyDescent="0.2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 spans="1:26" ht="14.25" customHeight="1" x14ac:dyDescent="0.2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 spans="1:26" ht="14.25" customHeight="1" x14ac:dyDescent="0.2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 spans="1:26" ht="14.25" customHeight="1" x14ac:dyDescent="0.2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 spans="1:26" ht="14.25" customHeight="1" x14ac:dyDescent="0.2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 spans="1:26" ht="14.25" customHeight="1" x14ac:dyDescent="0.2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 spans="1:26" ht="14.25" customHeight="1" x14ac:dyDescent="0.2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 spans="1:26" ht="14.25" customHeight="1" x14ac:dyDescent="0.2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 spans="1:26" ht="14.25" customHeight="1" x14ac:dyDescent="0.2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 spans="1:26" ht="14.25" customHeight="1" x14ac:dyDescent="0.2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 spans="1:26" ht="14.25" customHeight="1" x14ac:dyDescent="0.2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 spans="1:26" ht="14.25" customHeight="1" x14ac:dyDescent="0.2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 spans="1:26" ht="14.25" customHeight="1" x14ac:dyDescent="0.2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 spans="1:26" ht="14.25" customHeight="1" x14ac:dyDescent="0.2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 spans="1:26" ht="14.25" customHeight="1" x14ac:dyDescent="0.2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 spans="1:26" ht="14.25" customHeight="1" x14ac:dyDescent="0.2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 spans="1:26" ht="14.25" customHeight="1" x14ac:dyDescent="0.2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 spans="1:26" ht="14.25" customHeight="1" x14ac:dyDescent="0.2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 spans="1:26" ht="14.25" customHeight="1" x14ac:dyDescent="0.2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 spans="1:26" ht="14.25" customHeight="1" x14ac:dyDescent="0.2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 spans="1:26" ht="14.25" customHeight="1" x14ac:dyDescent="0.2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 spans="1:26" ht="14.25" customHeight="1" x14ac:dyDescent="0.2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 spans="1:26" ht="14.25" customHeight="1" x14ac:dyDescent="0.2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 spans="1:26" ht="14.25" customHeight="1" x14ac:dyDescent="0.2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 spans="1:26" ht="14.25" customHeight="1" x14ac:dyDescent="0.2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 spans="1:26" ht="14.25" customHeight="1" x14ac:dyDescent="0.2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 spans="1:26" ht="14.25" customHeight="1" x14ac:dyDescent="0.2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 spans="1:26" ht="14.25" customHeight="1" x14ac:dyDescent="0.2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 spans="1:26" ht="14.25" customHeight="1" x14ac:dyDescent="0.2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 spans="1:26" ht="14.25" customHeight="1" x14ac:dyDescent="0.2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 spans="1:26" ht="14.25" customHeight="1" x14ac:dyDescent="0.2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 spans="1:26" ht="14.25" customHeight="1" x14ac:dyDescent="0.2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 spans="1:26" ht="14.25" customHeight="1" x14ac:dyDescent="0.2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 spans="1:26" ht="14.25" customHeight="1" x14ac:dyDescent="0.2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 spans="1:26" ht="14.25" customHeight="1" x14ac:dyDescent="0.2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 spans="1:26" ht="14.25" customHeight="1" x14ac:dyDescent="0.2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 spans="1:26" ht="14.25" customHeight="1" x14ac:dyDescent="0.2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 spans="1:26" ht="14.25" customHeight="1" x14ac:dyDescent="0.2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 spans="1:26" ht="14.25" customHeight="1" x14ac:dyDescent="0.2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 spans="1:26" ht="14.25" customHeight="1" x14ac:dyDescent="0.2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 spans="1:26" ht="14.25" customHeight="1" x14ac:dyDescent="0.2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 spans="1:26" ht="14.25" customHeight="1" x14ac:dyDescent="0.2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 spans="1:26" ht="14.25" customHeight="1" x14ac:dyDescent="0.2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 spans="1:26" ht="14.25" customHeight="1" x14ac:dyDescent="0.2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 spans="1:26" ht="14.25" customHeight="1" x14ac:dyDescent="0.2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 spans="1:26" ht="14.25" customHeight="1" x14ac:dyDescent="0.2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 spans="1:26" ht="14.25" customHeight="1" x14ac:dyDescent="0.2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 spans="1:26" ht="14.25" customHeight="1" x14ac:dyDescent="0.2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 spans="1:26" ht="14.25" customHeight="1" x14ac:dyDescent="0.2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 spans="1:26" ht="14.25" customHeight="1" x14ac:dyDescent="0.2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 spans="1:26" ht="14.25" customHeight="1" x14ac:dyDescent="0.2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 spans="1:26" ht="14.25" customHeight="1" x14ac:dyDescent="0.2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 spans="1:26" ht="14.25" customHeight="1" x14ac:dyDescent="0.2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 spans="1:26" ht="14.25" customHeight="1" x14ac:dyDescent="0.2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 spans="1:26" ht="14.25" customHeight="1" x14ac:dyDescent="0.2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 spans="1:26" ht="14.25" customHeight="1" x14ac:dyDescent="0.2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 spans="1:26" ht="14.25" customHeight="1" x14ac:dyDescent="0.2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 spans="1:26" ht="14.25" customHeight="1" x14ac:dyDescent="0.2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 spans="1:26" ht="14.25" customHeight="1" x14ac:dyDescent="0.2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 spans="1:26" ht="14.25" customHeight="1" x14ac:dyDescent="0.2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 spans="1:26" ht="14.25" customHeight="1" x14ac:dyDescent="0.2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</sheetData>
  <pageMargins left="0.69930555555555596" right="0.69930555555555596" top="0.75" bottom="0.75" header="0" footer="0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4" workbookViewId="0">
      <selection activeCell="H20" sqref="H20"/>
    </sheetView>
  </sheetViews>
  <sheetFormatPr defaultRowHeight="15" x14ac:dyDescent="0.25"/>
  <cols>
    <col min="1" max="4" width="16" customWidth="1"/>
    <col min="5" max="7" width="11" style="77" bestFit="1" customWidth="1"/>
    <col min="8" max="16384" width="9.140625" style="77"/>
  </cols>
  <sheetData>
    <row r="1" spans="1:7" customFormat="1" x14ac:dyDescent="0.25"/>
    <row r="2" spans="1:7" customFormat="1" x14ac:dyDescent="0.25"/>
    <row r="3" spans="1:7" customFormat="1" ht="23.25" x14ac:dyDescent="0.25">
      <c r="A3" s="176" t="s">
        <v>123</v>
      </c>
      <c r="B3" s="176"/>
      <c r="C3" s="176"/>
      <c r="D3" s="175"/>
      <c r="E3" s="94" t="s">
        <v>97</v>
      </c>
      <c r="F3" s="94" t="s">
        <v>98</v>
      </c>
      <c r="G3" s="94" t="s">
        <v>99</v>
      </c>
    </row>
    <row r="4" spans="1:7" ht="24" thickBot="1" x14ac:dyDescent="0.3">
      <c r="A4" s="177"/>
      <c r="B4" s="177"/>
      <c r="C4" s="177"/>
      <c r="D4" s="178"/>
      <c r="E4" s="95">
        <f>EOMONTH(Assumptions!G3,11)</f>
        <v>44286</v>
      </c>
      <c r="F4" s="95">
        <f>EOMONTH(E4,12)</f>
        <v>44651</v>
      </c>
      <c r="G4" s="95">
        <f>EOMONTH(F4,12)</f>
        <v>45016</v>
      </c>
    </row>
    <row r="5" spans="1:7" ht="15.75" thickTop="1" x14ac:dyDescent="0.25">
      <c r="A5" s="139" t="s">
        <v>159</v>
      </c>
      <c r="B5" s="139"/>
      <c r="C5" s="139"/>
    </row>
    <row r="6" spans="1:7" x14ac:dyDescent="0.25">
      <c r="A6" s="170" t="s">
        <v>160</v>
      </c>
      <c r="E6" s="77">
        <f>'Capital Structure'!E15</f>
        <v>18500000</v>
      </c>
      <c r="F6" s="77">
        <v>18500000</v>
      </c>
      <c r="G6" s="77">
        <v>18500000</v>
      </c>
    </row>
    <row r="7" spans="1:7" x14ac:dyDescent="0.25">
      <c r="A7" s="170" t="s">
        <v>161</v>
      </c>
      <c r="E7" s="77">
        <f>D7+'Annual Pand L'!E35</f>
        <v>-2392277.4520769073</v>
      </c>
      <c r="F7" s="77">
        <f>E7+'Annual Pand L'!F35</f>
        <v>702867.11040474847</v>
      </c>
      <c r="G7" s="77">
        <f>F7+'Annual Pand L'!G35</f>
        <v>14536595.486726196</v>
      </c>
    </row>
    <row r="8" spans="1:7" x14ac:dyDescent="0.25">
      <c r="A8" s="7" t="s">
        <v>162</v>
      </c>
      <c r="E8" s="77">
        <f>SUM(E6:E7)</f>
        <v>16107722.547923092</v>
      </c>
      <c r="F8" s="77">
        <f t="shared" ref="F8:G8" si="0">SUM(F6:F7)</f>
        <v>19202867.110404748</v>
      </c>
      <c r="G8" s="77">
        <f t="shared" si="0"/>
        <v>33036595.486726195</v>
      </c>
    </row>
    <row r="9" spans="1:7" x14ac:dyDescent="0.25">
      <c r="A9" s="139" t="s">
        <v>163</v>
      </c>
    </row>
    <row r="10" spans="1:7" x14ac:dyDescent="0.25">
      <c r="A10" s="170" t="str">
        <f>'Working Capital'!A12</f>
        <v>Creditor For Raw material</v>
      </c>
      <c r="B10" s="170"/>
      <c r="E10" s="77">
        <f>'Working Capital'!E12</f>
        <v>2803059.0707389517</v>
      </c>
      <c r="F10" s="77">
        <f>'Working Capital'!F12</f>
        <v>3296940.6334079998</v>
      </c>
      <c r="G10" s="77">
        <f>'Working Capital'!G12</f>
        <v>3919758.8254327672</v>
      </c>
    </row>
    <row r="11" spans="1:7" x14ac:dyDescent="0.25">
      <c r="A11" s="172" t="str">
        <f>'Working Capital'!A13</f>
        <v>Creditor For Expenses</v>
      </c>
      <c r="B11" s="170"/>
      <c r="E11" s="77">
        <f>'Working Capital'!E13</f>
        <v>0</v>
      </c>
      <c r="F11" s="77">
        <f>'Working Capital'!F13</f>
        <v>0</v>
      </c>
      <c r="G11" s="77">
        <f>'Working Capital'!G13</f>
        <v>0</v>
      </c>
    </row>
    <row r="12" spans="1:7" x14ac:dyDescent="0.25">
      <c r="A12" s="170" t="str">
        <f>'Working Capital'!A14</f>
        <v>Alcoholic Beverage cost (% of revenue)</v>
      </c>
      <c r="B12" s="170"/>
      <c r="E12" s="77">
        <f>'Working Capital'!E14</f>
        <v>769639.61419276812</v>
      </c>
      <c r="F12" s="77">
        <f>'Working Capital'!F14</f>
        <v>1024893.5817437744</v>
      </c>
      <c r="G12" s="77">
        <f>'Working Capital'!G14</f>
        <v>1364803.5191136773</v>
      </c>
    </row>
    <row r="13" spans="1:7" x14ac:dyDescent="0.25">
      <c r="A13" s="170" t="str">
        <f>'Working Capital'!A15</f>
        <v>Non Alcoholic Beverages (% of revenue)</v>
      </c>
      <c r="B13" s="170"/>
      <c r="E13" s="77">
        <f>'Working Capital'!E15</f>
        <v>344936.52176706702</v>
      </c>
      <c r="F13" s="77">
        <f>'Working Capital'!F15</f>
        <v>459336.05904482893</v>
      </c>
      <c r="G13" s="77">
        <f>'Working Capital'!G15</f>
        <v>611676.64722181624</v>
      </c>
    </row>
    <row r="14" spans="1:7" x14ac:dyDescent="0.25">
      <c r="A14" s="170" t="str">
        <f>'Working Capital'!A16</f>
        <v>Food (% of revenue)</v>
      </c>
      <c r="B14" s="170"/>
      <c r="E14" s="77">
        <f>'Working Capital'!E16</f>
        <v>892523.25007228577</v>
      </c>
      <c r="F14" s="77">
        <f>'Working Capital'!F16</f>
        <v>1188532.0527784948</v>
      </c>
      <c r="G14" s="77">
        <f>'Working Capital'!G16</f>
        <v>1582713.3246864497</v>
      </c>
    </row>
    <row r="15" spans="1:7" x14ac:dyDescent="0.25">
      <c r="A15" s="7" t="str">
        <f>'Working Capital'!A17</f>
        <v>Total Current Liability</v>
      </c>
      <c r="E15" s="77">
        <f>'Working Capital'!E17</f>
        <v>2007099.386032121</v>
      </c>
      <c r="F15" s="77">
        <f>'Working Capital'!F17</f>
        <v>2672761.6935670981</v>
      </c>
      <c r="G15" s="77">
        <f>'Working Capital'!G17</f>
        <v>3559193.4910219433</v>
      </c>
    </row>
    <row r="16" spans="1:7" x14ac:dyDescent="0.25">
      <c r="A16" s="7" t="s">
        <v>164</v>
      </c>
      <c r="E16" s="77">
        <v>0</v>
      </c>
      <c r="F16" s="77">
        <v>0</v>
      </c>
      <c r="G16" s="77">
        <v>0</v>
      </c>
    </row>
    <row r="17" spans="1:14" ht="15.75" thickBot="1" x14ac:dyDescent="0.3">
      <c r="A17" s="137" t="s">
        <v>165</v>
      </c>
      <c r="B17" s="137"/>
      <c r="C17" s="137"/>
      <c r="D17" s="137"/>
      <c r="E17" s="173">
        <f>E16+E15+E10+E8</f>
        <v>20917881.004694164</v>
      </c>
      <c r="F17" s="173">
        <f>F16+F15+F10+F8</f>
        <v>25172569.437379844</v>
      </c>
      <c r="G17" s="173">
        <f>G16+G15+G10+G8</f>
        <v>40515547.803180903</v>
      </c>
    </row>
    <row r="18" spans="1:14" ht="15.75" thickTop="1" x14ac:dyDescent="0.25"/>
    <row r="19" spans="1:14" x14ac:dyDescent="0.25">
      <c r="A19" s="139" t="s">
        <v>166</v>
      </c>
    </row>
    <row r="20" spans="1:14" x14ac:dyDescent="0.25">
      <c r="A20" s="174" t="s">
        <v>167</v>
      </c>
    </row>
    <row r="21" spans="1:14" x14ac:dyDescent="0.25">
      <c r="A21" s="171" t="s">
        <v>130</v>
      </c>
      <c r="E21" s="77">
        <f>'Fixed Asset schedule'!E10</f>
        <v>2663424.6575342463</v>
      </c>
      <c r="F21" s="77">
        <f>'Fixed Asset schedule'!F10</f>
        <v>2263910.9589041094</v>
      </c>
      <c r="G21" s="77">
        <f>'Fixed Asset schedule'!G10</f>
        <v>1924324.3150684931</v>
      </c>
    </row>
    <row r="22" spans="1:14" x14ac:dyDescent="0.25">
      <c r="A22" s="170" t="s">
        <v>168</v>
      </c>
      <c r="E22" s="77">
        <f>'Fixed Asset schedule'!E17</f>
        <v>4626027.3972602738</v>
      </c>
      <c r="F22" s="77">
        <f>'Fixed Asset schedule'!F17</f>
        <v>3932123.2876712326</v>
      </c>
      <c r="G22" s="77">
        <f>'Fixed Asset schedule'!G17</f>
        <v>3342304.7945205476</v>
      </c>
    </row>
    <row r="23" spans="1:14" x14ac:dyDescent="0.25">
      <c r="A23" s="170" t="s">
        <v>169</v>
      </c>
      <c r="E23" s="77">
        <f>'Fixed Asset schedule'!E24</f>
        <v>4718547.9452054799</v>
      </c>
      <c r="F23" s="77">
        <f>'Fixed Asset schedule'!F24</f>
        <v>4010765.753424658</v>
      </c>
      <c r="G23" s="77">
        <f>'Fixed Asset schedule'!G24</f>
        <v>3409150.8904109593</v>
      </c>
      <c r="N23" s="77" t="s">
        <v>143</v>
      </c>
    </row>
    <row r="24" spans="1:14" x14ac:dyDescent="0.25">
      <c r="A24" s="179" t="s">
        <v>61</v>
      </c>
      <c r="E24" s="77">
        <f>'Fixed Asset schedule'!E31</f>
        <v>1850410.9589041097</v>
      </c>
      <c r="F24" s="77">
        <f>'Fixed Asset schedule'!F31</f>
        <v>1572849.3150684931</v>
      </c>
      <c r="G24" s="77">
        <f>'Fixed Asset schedule'!G31</f>
        <v>1336921.9178082191</v>
      </c>
    </row>
    <row r="26" spans="1:14" x14ac:dyDescent="0.25">
      <c r="A26" s="7" t="s">
        <v>170</v>
      </c>
      <c r="E26" s="77">
        <f>'Capital Structure'!E12</f>
        <v>1000000</v>
      </c>
      <c r="F26" s="77">
        <f>Table10[[#This Row],[Column5]]</f>
        <v>1000000</v>
      </c>
      <c r="G26" s="77">
        <f>Table10[[#This Row],[Column6]]</f>
        <v>1000000</v>
      </c>
    </row>
    <row r="27" spans="1:14" x14ac:dyDescent="0.25">
      <c r="A27" s="7" t="s">
        <v>131</v>
      </c>
    </row>
    <row r="28" spans="1:14" x14ac:dyDescent="0.25">
      <c r="A28" s="172" t="str">
        <f>'Working Capital'!A6</f>
        <v>Inventroy</v>
      </c>
    </row>
    <row r="29" spans="1:14" x14ac:dyDescent="0.25">
      <c r="A29" s="170" t="str">
        <f>'Working Capital'!A7</f>
        <v>Alcoholic Beverages</v>
      </c>
      <c r="E29" s="77">
        <f>'Working Capital'!E7</f>
        <v>744812.52986396907</v>
      </c>
      <c r="F29" s="77">
        <f>'Working Capital'!F7</f>
        <v>2833807.138462049</v>
      </c>
      <c r="G29" s="77">
        <f>'Working Capital'!G7</f>
        <v>1320777.5991422685</v>
      </c>
    </row>
    <row r="30" spans="1:14" x14ac:dyDescent="0.25">
      <c r="A30" s="170" t="str">
        <f>'Working Capital'!A8</f>
        <v>Non Alcoholic Beverages</v>
      </c>
      <c r="E30" s="77">
        <f>'Working Capital'!E8</f>
        <v>166904.76859696792</v>
      </c>
      <c r="F30" s="77">
        <f>'Working Capital'!F8</f>
        <v>555648.45852197055</v>
      </c>
      <c r="G30" s="77">
        <f>'Working Capital'!G8</f>
        <v>797839.10507193417</v>
      </c>
    </row>
    <row r="31" spans="1:14" x14ac:dyDescent="0.25">
      <c r="A31" s="170" t="str">
        <f>'Working Capital'!A9</f>
        <v>Food</v>
      </c>
      <c r="E31" s="77">
        <f>'Working Capital'!E9</f>
        <v>143955.36291488481</v>
      </c>
      <c r="F31" s="77">
        <f>'Working Capital'!F9</f>
        <v>638995.72730026604</v>
      </c>
      <c r="G31" s="77">
        <f>'Working Capital'!G9</f>
        <v>255276.34269136284</v>
      </c>
    </row>
    <row r="32" spans="1:14" x14ac:dyDescent="0.25">
      <c r="A32" s="7" t="str">
        <f>'Working Capital'!A10</f>
        <v>Total Current Assets</v>
      </c>
      <c r="E32" s="77">
        <f>'Working Capital'!E10</f>
        <v>1055672.6613758218</v>
      </c>
      <c r="F32" s="77">
        <f>'Working Capital'!F10</f>
        <v>4028451.3242842853</v>
      </c>
      <c r="G32" s="77">
        <f>'Working Capital'!G10</f>
        <v>2373893.0469055655</v>
      </c>
    </row>
    <row r="33" spans="1:7" x14ac:dyDescent="0.25">
      <c r="A33" s="7" t="s">
        <v>171</v>
      </c>
      <c r="E33" s="77">
        <f>'Cash Flow'!E20</f>
        <v>-3599261.6863247175</v>
      </c>
      <c r="F33" s="77">
        <f>'Cash Flow'!F20</f>
        <v>-732471.83538093185</v>
      </c>
      <c r="G33" s="77">
        <f>'Cash Flow'!G20</f>
        <v>17409194.013034359</v>
      </c>
    </row>
    <row r="34" spans="1:7" ht="15.75" thickBot="1" x14ac:dyDescent="0.3">
      <c r="A34" s="180" t="s">
        <v>54</v>
      </c>
      <c r="B34" s="142"/>
      <c r="C34" s="142"/>
      <c r="D34" s="142"/>
      <c r="E34" s="173">
        <v>20917881.004694164</v>
      </c>
      <c r="F34" s="173">
        <v>25172569.437379844</v>
      </c>
      <c r="G34" s="173">
        <v>40515547.803180903</v>
      </c>
    </row>
    <row r="35" spans="1:7" ht="15.75" thickTop="1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7"/>
  <sheetViews>
    <sheetView showGridLines="0" topLeftCell="A2" workbookViewId="0">
      <selection activeCell="C22" sqref="C22"/>
    </sheetView>
  </sheetViews>
  <sheetFormatPr defaultColWidth="8.85546875" defaultRowHeight="15" x14ac:dyDescent="0.25"/>
  <cols>
    <col min="1" max="1" width="32" style="7" bestFit="1" customWidth="1"/>
    <col min="2" max="2" width="9.140625" customWidth="1"/>
    <col min="3" max="3" width="9" bestFit="1" customWidth="1"/>
    <col min="4" max="4" width="10.85546875" bestFit="1" customWidth="1"/>
    <col min="5" max="5" width="30.85546875" bestFit="1" customWidth="1"/>
    <col min="6" max="6" width="11.5703125" customWidth="1"/>
    <col min="7" max="7" width="13.85546875" style="31" bestFit="1" customWidth="1"/>
  </cols>
  <sheetData>
    <row r="1" spans="1:7" x14ac:dyDescent="0.25">
      <c r="A1" s="184" t="s">
        <v>80</v>
      </c>
      <c r="B1" s="184"/>
      <c r="C1" s="184"/>
      <c r="D1" s="184"/>
      <c r="E1" s="184"/>
      <c r="F1" s="184"/>
      <c r="G1" s="184"/>
    </row>
    <row r="2" spans="1:7" ht="15.75" thickBot="1" x14ac:dyDescent="0.3">
      <c r="A2" s="1"/>
    </row>
    <row r="3" spans="1:7" x14ac:dyDescent="0.25">
      <c r="A3" s="5" t="s">
        <v>81</v>
      </c>
      <c r="B3" s="56"/>
      <c r="C3" s="57"/>
      <c r="D3" s="57"/>
      <c r="E3" s="57"/>
      <c r="F3" s="60"/>
      <c r="G3" s="88">
        <v>43922</v>
      </c>
    </row>
    <row r="4" spans="1:7" x14ac:dyDescent="0.25">
      <c r="A4" s="3" t="s">
        <v>82</v>
      </c>
      <c r="B4" s="4"/>
      <c r="F4" s="61"/>
      <c r="G4" s="2" t="s">
        <v>83</v>
      </c>
    </row>
    <row r="5" spans="1:7" ht="15.75" thickBot="1" x14ac:dyDescent="0.3">
      <c r="A5" s="6" t="s">
        <v>84</v>
      </c>
      <c r="B5" s="58"/>
      <c r="C5" s="59"/>
      <c r="D5" s="59"/>
      <c r="E5" s="59"/>
      <c r="F5" s="62"/>
      <c r="G5" s="55">
        <f>EOMONTH(G3,2)+1</f>
        <v>44013</v>
      </c>
    </row>
    <row r="6" spans="1:7" x14ac:dyDescent="0.25">
      <c r="A6" s="184" t="s">
        <v>0</v>
      </c>
      <c r="B6" s="184"/>
      <c r="C6" s="184"/>
      <c r="D6" s="184"/>
      <c r="E6" s="184"/>
      <c r="F6" s="184"/>
      <c r="G6" s="184"/>
    </row>
    <row r="7" spans="1:7" ht="15.75" thickBot="1" x14ac:dyDescent="0.3">
      <c r="A7" s="51"/>
      <c r="B7" s="51"/>
      <c r="C7" s="51"/>
      <c r="D7" s="51"/>
      <c r="E7" s="51"/>
      <c r="F7" s="51"/>
      <c r="G7" s="51"/>
    </row>
    <row r="8" spans="1:7" ht="15.75" thickBot="1" x14ac:dyDescent="0.3">
      <c r="A8" s="63" t="s">
        <v>1</v>
      </c>
      <c r="B8" s="64" t="s">
        <v>2</v>
      </c>
      <c r="C8" s="66" t="s">
        <v>3</v>
      </c>
      <c r="E8" s="63" t="s">
        <v>1</v>
      </c>
      <c r="F8" s="64" t="s">
        <v>2</v>
      </c>
      <c r="G8" s="65" t="s">
        <v>3</v>
      </c>
    </row>
    <row r="9" spans="1:7" x14ac:dyDescent="0.25">
      <c r="A9" s="8" t="s">
        <v>4</v>
      </c>
      <c r="B9" s="9"/>
      <c r="C9" s="10"/>
      <c r="E9" s="11" t="s">
        <v>16</v>
      </c>
      <c r="F9" s="9"/>
      <c r="G9" s="10"/>
    </row>
    <row r="10" spans="1:7" x14ac:dyDescent="0.25">
      <c r="A10" s="12" t="s">
        <v>5</v>
      </c>
      <c r="B10" s="109">
        <f>SUBTOTAL(9,B11:B13)</f>
        <v>2100</v>
      </c>
      <c r="C10" s="111">
        <f>SUBTOTAL(9,C11:C13)</f>
        <v>2400</v>
      </c>
      <c r="E10" s="12" t="s">
        <v>5</v>
      </c>
      <c r="F10" s="13">
        <f>SUBTOTAL(9,F11:F13)</f>
        <v>2200</v>
      </c>
      <c r="G10" s="13">
        <f>SUBTOTAL(9,G11:G13)</f>
        <v>2400</v>
      </c>
    </row>
    <row r="11" spans="1:7" x14ac:dyDescent="0.25">
      <c r="A11" s="108" t="s">
        <v>6</v>
      </c>
      <c r="B11" s="114">
        <v>700</v>
      </c>
      <c r="C11" s="115">
        <v>1000</v>
      </c>
      <c r="E11" s="14" t="s">
        <v>6</v>
      </c>
      <c r="F11" s="112">
        <v>600</v>
      </c>
      <c r="G11" s="113">
        <v>1000</v>
      </c>
    </row>
    <row r="12" spans="1:7" x14ac:dyDescent="0.25">
      <c r="A12" s="108" t="s">
        <v>7</v>
      </c>
      <c r="B12" s="114">
        <v>300</v>
      </c>
      <c r="C12" s="115">
        <v>300</v>
      </c>
      <c r="E12" s="14" t="s">
        <v>7</v>
      </c>
      <c r="F12" s="112">
        <v>400</v>
      </c>
      <c r="G12" s="113">
        <v>300</v>
      </c>
    </row>
    <row r="13" spans="1:7" x14ac:dyDescent="0.25">
      <c r="A13" s="108" t="s">
        <v>8</v>
      </c>
      <c r="B13" s="114">
        <v>1100</v>
      </c>
      <c r="C13" s="115">
        <v>1100</v>
      </c>
      <c r="E13" s="14" t="s">
        <v>8</v>
      </c>
      <c r="F13" s="112">
        <v>1200</v>
      </c>
      <c r="G13" s="113">
        <v>1100</v>
      </c>
    </row>
    <row r="14" spans="1:7" x14ac:dyDescent="0.25">
      <c r="A14" s="108" t="s">
        <v>9</v>
      </c>
      <c r="B14" s="110">
        <v>0.05</v>
      </c>
      <c r="C14" s="16">
        <v>0.05</v>
      </c>
      <c r="E14" s="14" t="s">
        <v>17</v>
      </c>
      <c r="F14" s="15">
        <v>0.05</v>
      </c>
      <c r="G14" s="16">
        <v>0.05</v>
      </c>
    </row>
    <row r="15" spans="1:7" x14ac:dyDescent="0.25">
      <c r="A15" s="17"/>
      <c r="B15" s="9"/>
      <c r="C15" s="10"/>
      <c r="E15" s="14"/>
      <c r="F15" s="9"/>
      <c r="G15" s="10"/>
    </row>
    <row r="16" spans="1:7" x14ac:dyDescent="0.25">
      <c r="A16" s="17" t="s">
        <v>10</v>
      </c>
      <c r="B16" s="9"/>
      <c r="C16" s="10"/>
      <c r="E16" s="17" t="s">
        <v>10</v>
      </c>
      <c r="F16" s="9"/>
      <c r="G16" s="10"/>
    </row>
    <row r="17" spans="1:7" x14ac:dyDescent="0.25">
      <c r="A17" s="17" t="s">
        <v>11</v>
      </c>
      <c r="B17" s="9">
        <v>100</v>
      </c>
      <c r="C17" s="10">
        <v>100</v>
      </c>
      <c r="E17" s="14" t="s">
        <v>11</v>
      </c>
      <c r="F17" s="9">
        <v>100</v>
      </c>
      <c r="G17" s="10">
        <v>100</v>
      </c>
    </row>
    <row r="18" spans="1:7" x14ac:dyDescent="0.25">
      <c r="A18" s="17" t="s">
        <v>12</v>
      </c>
      <c r="B18" s="9">
        <v>2</v>
      </c>
      <c r="C18" s="10">
        <v>2</v>
      </c>
      <c r="E18" s="14" t="s">
        <v>12</v>
      </c>
      <c r="F18" s="9">
        <v>2</v>
      </c>
      <c r="G18" s="10">
        <v>2</v>
      </c>
    </row>
    <row r="19" spans="1:7" x14ac:dyDescent="0.25">
      <c r="A19" s="17" t="s">
        <v>13</v>
      </c>
      <c r="B19" s="73">
        <v>10</v>
      </c>
      <c r="C19" s="74">
        <v>13</v>
      </c>
      <c r="E19" s="14" t="s">
        <v>13</v>
      </c>
      <c r="F19" s="73">
        <v>13</v>
      </c>
      <c r="G19" s="74">
        <v>15</v>
      </c>
    </row>
    <row r="20" spans="1:7" x14ac:dyDescent="0.25">
      <c r="A20" s="17" t="s">
        <v>14</v>
      </c>
      <c r="B20" s="15">
        <v>0.02</v>
      </c>
      <c r="C20" s="16">
        <v>0.04</v>
      </c>
      <c r="E20" s="14" t="s">
        <v>14</v>
      </c>
      <c r="F20" s="15">
        <v>0.02</v>
      </c>
      <c r="G20" s="16">
        <v>0.04</v>
      </c>
    </row>
    <row r="21" spans="1:7" ht="15.75" thickBot="1" x14ac:dyDescent="0.3">
      <c r="A21" s="49" t="s">
        <v>15</v>
      </c>
      <c r="B21" s="19">
        <v>60</v>
      </c>
      <c r="C21" s="20">
        <v>80</v>
      </c>
      <c r="E21" s="18" t="s">
        <v>15</v>
      </c>
      <c r="F21" s="19">
        <v>70</v>
      </c>
      <c r="G21" s="20">
        <v>90</v>
      </c>
    </row>
    <row r="24" spans="1:7" ht="15.75" thickBot="1" x14ac:dyDescent="0.3">
      <c r="A24" s="192" t="s">
        <v>18</v>
      </c>
      <c r="B24" s="184"/>
      <c r="C24" s="184"/>
      <c r="D24" s="184"/>
      <c r="E24" s="184"/>
      <c r="F24" s="184"/>
      <c r="G24" s="184"/>
    </row>
    <row r="25" spans="1:7" x14ac:dyDescent="0.25">
      <c r="A25" s="185" t="s">
        <v>19</v>
      </c>
      <c r="B25" s="186"/>
      <c r="C25" s="186"/>
      <c r="D25" s="186"/>
      <c r="E25" s="186"/>
      <c r="F25" s="186"/>
      <c r="G25" s="21">
        <v>0.35</v>
      </c>
    </row>
    <row r="26" spans="1:7" x14ac:dyDescent="0.25">
      <c r="A26" s="205" t="s">
        <v>20</v>
      </c>
      <c r="B26" s="206"/>
      <c r="C26" s="206"/>
      <c r="D26" s="206"/>
      <c r="E26" s="206"/>
      <c r="F26" s="206"/>
      <c r="G26" s="15">
        <v>0.4</v>
      </c>
    </row>
    <row r="27" spans="1:7" ht="15.75" thickBot="1" x14ac:dyDescent="0.3">
      <c r="A27" s="187" t="s">
        <v>21</v>
      </c>
      <c r="B27" s="188"/>
      <c r="C27" s="188"/>
      <c r="D27" s="188"/>
      <c r="E27" s="188"/>
      <c r="F27" s="188"/>
      <c r="G27" s="22">
        <v>0.3</v>
      </c>
    </row>
    <row r="28" spans="1:7" x14ac:dyDescent="0.25">
      <c r="A28"/>
      <c r="G28"/>
    </row>
    <row r="29" spans="1:7" ht="15.75" thickBot="1" x14ac:dyDescent="0.3">
      <c r="A29" s="187" t="s">
        <v>24</v>
      </c>
      <c r="B29" s="188"/>
      <c r="C29" s="188"/>
      <c r="D29" s="188"/>
      <c r="E29" s="188"/>
      <c r="F29" s="188"/>
      <c r="G29" s="188"/>
    </row>
    <row r="30" spans="1:7" ht="15.75" thickBot="1" x14ac:dyDescent="0.3">
      <c r="A30" s="185" t="s">
        <v>22</v>
      </c>
      <c r="B30" s="186"/>
      <c r="C30" s="186"/>
      <c r="D30" s="227"/>
      <c r="E30" s="23" t="s">
        <v>23</v>
      </c>
      <c r="F30" s="24" t="s">
        <v>34</v>
      </c>
      <c r="G30" s="79" t="s">
        <v>34</v>
      </c>
    </row>
    <row r="31" spans="1:7" x14ac:dyDescent="0.25">
      <c r="A31" s="218" t="s">
        <v>25</v>
      </c>
      <c r="B31" s="219"/>
      <c r="C31" s="219"/>
      <c r="D31" s="220"/>
      <c r="E31" s="25">
        <v>2</v>
      </c>
      <c r="F31" s="26">
        <v>20000</v>
      </c>
      <c r="G31" s="80">
        <v>40000</v>
      </c>
    </row>
    <row r="32" spans="1:7" x14ac:dyDescent="0.25">
      <c r="A32" s="215" t="s">
        <v>26</v>
      </c>
      <c r="B32" s="216"/>
      <c r="C32" s="216"/>
      <c r="D32" s="217"/>
      <c r="E32" s="28">
        <v>2</v>
      </c>
      <c r="F32" s="9">
        <v>50000</v>
      </c>
      <c r="G32" s="81">
        <v>100000</v>
      </c>
    </row>
    <row r="33" spans="1:7" x14ac:dyDescent="0.25">
      <c r="A33" s="215" t="s">
        <v>27</v>
      </c>
      <c r="B33" s="216"/>
      <c r="C33" s="216"/>
      <c r="D33" s="217"/>
      <c r="E33" s="28">
        <v>10</v>
      </c>
      <c r="F33" s="9">
        <v>20000</v>
      </c>
      <c r="G33" s="81">
        <v>200000</v>
      </c>
    </row>
    <row r="34" spans="1:7" x14ac:dyDescent="0.25">
      <c r="A34" s="215" t="s">
        <v>28</v>
      </c>
      <c r="B34" s="216"/>
      <c r="C34" s="216"/>
      <c r="D34" s="217"/>
      <c r="E34" s="28">
        <v>1</v>
      </c>
      <c r="F34" s="9">
        <v>100000</v>
      </c>
      <c r="G34" s="81">
        <v>100000</v>
      </c>
    </row>
    <row r="35" spans="1:7" x14ac:dyDescent="0.25">
      <c r="A35" s="215" t="s">
        <v>29</v>
      </c>
      <c r="B35" s="216"/>
      <c r="C35" s="216"/>
      <c r="D35" s="217"/>
      <c r="E35" s="28">
        <v>2</v>
      </c>
      <c r="F35" s="9">
        <v>75000</v>
      </c>
      <c r="G35" s="81">
        <v>150000</v>
      </c>
    </row>
    <row r="36" spans="1:7" x14ac:dyDescent="0.25">
      <c r="A36" s="215" t="s">
        <v>30</v>
      </c>
      <c r="B36" s="216"/>
      <c r="C36" s="216"/>
      <c r="D36" s="217"/>
      <c r="E36" s="28">
        <v>6</v>
      </c>
      <c r="F36" s="9">
        <v>30000</v>
      </c>
      <c r="G36" s="81">
        <v>180000</v>
      </c>
    </row>
    <row r="37" spans="1:7" x14ac:dyDescent="0.25">
      <c r="A37" s="215" t="s">
        <v>31</v>
      </c>
      <c r="B37" s="216"/>
      <c r="C37" s="216"/>
      <c r="D37" s="217"/>
      <c r="E37" s="28">
        <v>3</v>
      </c>
      <c r="F37" s="9">
        <v>17000</v>
      </c>
      <c r="G37" s="81">
        <v>51000</v>
      </c>
    </row>
    <row r="38" spans="1:7" x14ac:dyDescent="0.25">
      <c r="A38" s="215" t="s">
        <v>32</v>
      </c>
      <c r="B38" s="216"/>
      <c r="C38" s="216"/>
      <c r="D38" s="217"/>
      <c r="E38" s="28">
        <v>5</v>
      </c>
      <c r="F38" s="9">
        <v>17000</v>
      </c>
      <c r="G38" s="81">
        <v>85000</v>
      </c>
    </row>
    <row r="39" spans="1:7" ht="15.75" thickBot="1" x14ac:dyDescent="0.3">
      <c r="A39" s="212" t="s">
        <v>33</v>
      </c>
      <c r="B39" s="213"/>
      <c r="C39" s="213"/>
      <c r="D39" s="214"/>
      <c r="E39" s="30">
        <v>4</v>
      </c>
      <c r="F39" s="19">
        <v>20000</v>
      </c>
      <c r="G39" s="78">
        <v>80000</v>
      </c>
    </row>
    <row r="40" spans="1:7" ht="15.75" thickBot="1" x14ac:dyDescent="0.3">
      <c r="A40" s="221" t="s">
        <v>54</v>
      </c>
      <c r="B40" s="222"/>
      <c r="C40" s="222"/>
      <c r="D40" s="222"/>
      <c r="E40" s="223"/>
      <c r="F40" s="19"/>
      <c r="G40" s="78">
        <f>SUM(G31:G39)</f>
        <v>986000</v>
      </c>
    </row>
    <row r="41" spans="1:7" x14ac:dyDescent="0.25">
      <c r="A41" s="40" t="s">
        <v>86</v>
      </c>
      <c r="G41" s="82">
        <v>0.08</v>
      </c>
    </row>
    <row r="42" spans="1:7" ht="15.75" thickBot="1" x14ac:dyDescent="0.3">
      <c r="A42" s="184" t="s">
        <v>35</v>
      </c>
      <c r="B42" s="184"/>
      <c r="C42" s="184"/>
      <c r="D42" s="184"/>
      <c r="E42" s="184"/>
      <c r="F42" s="184"/>
      <c r="G42" s="184"/>
    </row>
    <row r="43" spans="1:7" ht="15.75" thickBot="1" x14ac:dyDescent="0.3">
      <c r="A43" s="185" t="s">
        <v>22</v>
      </c>
      <c r="B43" s="186"/>
      <c r="C43" s="186"/>
      <c r="D43" s="227"/>
      <c r="E43" s="23" t="s">
        <v>23</v>
      </c>
      <c r="F43" s="24" t="s">
        <v>34</v>
      </c>
      <c r="G43" s="32" t="s">
        <v>34</v>
      </c>
    </row>
    <row r="44" spans="1:7" x14ac:dyDescent="0.25">
      <c r="A44" s="218" t="s">
        <v>47</v>
      </c>
      <c r="B44" s="219"/>
      <c r="C44" s="219"/>
      <c r="D44" s="219"/>
      <c r="E44" s="33">
        <v>1</v>
      </c>
      <c r="F44" s="26">
        <v>50000</v>
      </c>
      <c r="G44" s="27">
        <v>50000</v>
      </c>
    </row>
    <row r="45" spans="1:7" x14ac:dyDescent="0.25">
      <c r="A45" s="215" t="s">
        <v>48</v>
      </c>
      <c r="B45" s="216"/>
      <c r="C45" s="216"/>
      <c r="D45" s="216"/>
      <c r="E45" s="28">
        <v>2</v>
      </c>
      <c r="F45" s="9">
        <v>35000</v>
      </c>
      <c r="G45" s="29">
        <v>70000</v>
      </c>
    </row>
    <row r="46" spans="1:7" x14ac:dyDescent="0.25">
      <c r="A46" s="215" t="s">
        <v>49</v>
      </c>
      <c r="B46" s="216"/>
      <c r="C46" s="216"/>
      <c r="D46" s="216"/>
      <c r="E46" s="28">
        <v>2</v>
      </c>
      <c r="F46" s="9">
        <v>20000</v>
      </c>
      <c r="G46" s="29">
        <v>40000</v>
      </c>
    </row>
    <row r="47" spans="1:7" x14ac:dyDescent="0.25">
      <c r="A47" s="215" t="s">
        <v>50</v>
      </c>
      <c r="B47" s="216"/>
      <c r="C47" s="216"/>
      <c r="D47" s="216"/>
      <c r="E47" s="28">
        <v>2</v>
      </c>
      <c r="F47" s="9">
        <v>40000</v>
      </c>
      <c r="G47" s="29">
        <v>80000</v>
      </c>
    </row>
    <row r="48" spans="1:7" x14ac:dyDescent="0.25">
      <c r="A48" s="215" t="s">
        <v>51</v>
      </c>
      <c r="B48" s="216"/>
      <c r="C48" s="216"/>
      <c r="D48" s="216"/>
      <c r="E48" s="28">
        <v>2</v>
      </c>
      <c r="F48" s="9">
        <v>40000</v>
      </c>
      <c r="G48" s="29">
        <v>80000</v>
      </c>
    </row>
    <row r="49" spans="1:7" ht="15.75" thickBot="1" x14ac:dyDescent="0.3">
      <c r="A49" s="215" t="s">
        <v>52</v>
      </c>
      <c r="B49" s="216"/>
      <c r="C49" s="216"/>
      <c r="D49" s="216"/>
      <c r="E49" s="28">
        <v>2</v>
      </c>
      <c r="F49" s="9">
        <v>30000</v>
      </c>
      <c r="G49" s="29">
        <v>60000</v>
      </c>
    </row>
    <row r="50" spans="1:7" ht="15.75" thickBot="1" x14ac:dyDescent="0.3">
      <c r="A50" s="224" t="s">
        <v>54</v>
      </c>
      <c r="B50" s="225"/>
      <c r="C50" s="225"/>
      <c r="D50" s="225"/>
      <c r="E50" s="226"/>
      <c r="F50" s="34"/>
      <c r="G50" s="35">
        <f>SUM(G44:G49)</f>
        <v>380000</v>
      </c>
    </row>
    <row r="51" spans="1:7" ht="15.75" thickBot="1" x14ac:dyDescent="0.3">
      <c r="A51" s="36"/>
      <c r="B51" s="37"/>
      <c r="C51" s="36"/>
      <c r="D51" s="36"/>
      <c r="E51" s="36"/>
      <c r="F51" s="37"/>
      <c r="G51" s="38"/>
    </row>
    <row r="52" spans="1:7" x14ac:dyDescent="0.25">
      <c r="A52" s="218" t="s">
        <v>85</v>
      </c>
      <c r="B52" s="219"/>
      <c r="C52" s="219"/>
      <c r="D52" s="219"/>
      <c r="E52" s="219"/>
      <c r="F52" s="220"/>
      <c r="G52" s="21">
        <v>0.05</v>
      </c>
    </row>
    <row r="53" spans="1:7" x14ac:dyDescent="0.25">
      <c r="A53" s="215" t="s">
        <v>36</v>
      </c>
      <c r="B53" s="216"/>
      <c r="C53" s="216"/>
      <c r="D53" s="216"/>
      <c r="E53" s="216"/>
      <c r="F53" s="217"/>
      <c r="G53" s="15">
        <v>0.1</v>
      </c>
    </row>
    <row r="54" spans="1:7" x14ac:dyDescent="0.25">
      <c r="A54" s="215" t="s">
        <v>70</v>
      </c>
      <c r="B54" s="216"/>
      <c r="C54" s="216"/>
      <c r="D54" s="216"/>
      <c r="E54" s="216"/>
      <c r="F54" s="217"/>
      <c r="G54" s="76">
        <v>10000</v>
      </c>
    </row>
    <row r="55" spans="1:7" x14ac:dyDescent="0.25">
      <c r="A55" s="215" t="s">
        <v>69</v>
      </c>
      <c r="B55" s="216"/>
      <c r="C55" s="216"/>
      <c r="D55" s="216"/>
      <c r="E55" s="216"/>
      <c r="F55" s="217"/>
      <c r="G55" s="76">
        <v>50000</v>
      </c>
    </row>
    <row r="56" spans="1:7" x14ac:dyDescent="0.25">
      <c r="A56" s="215" t="s">
        <v>71</v>
      </c>
      <c r="B56" s="216"/>
      <c r="C56" s="216"/>
      <c r="D56" s="216"/>
      <c r="E56" s="216"/>
      <c r="F56" s="217"/>
      <c r="G56" s="89">
        <v>50000</v>
      </c>
    </row>
    <row r="57" spans="1:7" x14ac:dyDescent="0.25">
      <c r="A57" s="215" t="s">
        <v>56</v>
      </c>
      <c r="B57" s="216"/>
      <c r="C57" s="216"/>
      <c r="D57" s="216"/>
      <c r="E57" s="216"/>
      <c r="F57" s="217"/>
      <c r="G57" s="9">
        <v>5</v>
      </c>
    </row>
    <row r="58" spans="1:7" x14ac:dyDescent="0.25">
      <c r="A58" s="215" t="s">
        <v>72</v>
      </c>
      <c r="B58" s="216"/>
      <c r="C58" s="216"/>
      <c r="D58" s="216"/>
      <c r="E58" s="216"/>
      <c r="F58" s="217"/>
      <c r="G58" s="87">
        <v>15000</v>
      </c>
    </row>
    <row r="59" spans="1:7" x14ac:dyDescent="0.25">
      <c r="A59" s="215" t="s">
        <v>45</v>
      </c>
      <c r="B59" s="216"/>
      <c r="C59" s="216"/>
      <c r="D59" s="216"/>
      <c r="E59" s="216"/>
      <c r="F59" s="217"/>
      <c r="G59" s="15">
        <v>0.02</v>
      </c>
    </row>
    <row r="60" spans="1:7" x14ac:dyDescent="0.25">
      <c r="A60" s="215" t="s">
        <v>46</v>
      </c>
      <c r="B60" s="216"/>
      <c r="C60" s="216"/>
      <c r="D60" s="216"/>
      <c r="E60" s="216"/>
      <c r="F60" s="217"/>
      <c r="G60" s="39">
        <v>1.4999999999999999E-2</v>
      </c>
    </row>
    <row r="61" spans="1:7" ht="15.75" thickBot="1" x14ac:dyDescent="0.3">
      <c r="A61" s="212" t="s">
        <v>55</v>
      </c>
      <c r="B61" s="213"/>
      <c r="C61" s="213"/>
      <c r="D61" s="213"/>
      <c r="E61" s="213"/>
      <c r="F61" s="214"/>
      <c r="G61" s="22">
        <v>0.5</v>
      </c>
    </row>
    <row r="62" spans="1:7" x14ac:dyDescent="0.25">
      <c r="A62" s="83" t="s">
        <v>53</v>
      </c>
      <c r="B62" s="84"/>
      <c r="C62" s="85"/>
      <c r="D62" s="85"/>
      <c r="E62" s="85"/>
      <c r="F62" s="85"/>
      <c r="G62" s="86">
        <v>0.08</v>
      </c>
    </row>
    <row r="63" spans="1:7" x14ac:dyDescent="0.25">
      <c r="A63" s="41"/>
      <c r="B63" s="42"/>
    </row>
    <row r="64" spans="1:7" ht="15.75" thickBot="1" x14ac:dyDescent="0.3">
      <c r="A64" s="211" t="s">
        <v>57</v>
      </c>
      <c r="B64" s="211"/>
      <c r="C64" s="211"/>
      <c r="D64" s="211"/>
      <c r="E64" s="211"/>
      <c r="F64" s="211"/>
      <c r="G64" s="211"/>
    </row>
    <row r="65" spans="1:10" x14ac:dyDescent="0.25">
      <c r="A65" s="218" t="s">
        <v>87</v>
      </c>
      <c r="B65" s="219"/>
      <c r="C65" s="219"/>
      <c r="D65" s="219"/>
      <c r="E65" s="219"/>
      <c r="F65" s="220"/>
      <c r="G65" s="26">
        <v>4000</v>
      </c>
    </row>
    <row r="66" spans="1:10" x14ac:dyDescent="0.25">
      <c r="A66" s="215" t="s">
        <v>37</v>
      </c>
      <c r="B66" s="216"/>
      <c r="C66" s="216"/>
      <c r="D66" s="216"/>
      <c r="E66" s="216"/>
      <c r="F66" s="217"/>
      <c r="G66" s="9">
        <v>1.33</v>
      </c>
      <c r="J66">
        <f>G67*G57</f>
        <v>26600</v>
      </c>
    </row>
    <row r="67" spans="1:10" x14ac:dyDescent="0.25">
      <c r="A67" s="215" t="s">
        <v>88</v>
      </c>
      <c r="B67" s="216"/>
      <c r="C67" s="216"/>
      <c r="D67" s="216"/>
      <c r="E67" s="216"/>
      <c r="F67" s="217"/>
      <c r="G67" s="9">
        <f>G65*G66</f>
        <v>5320</v>
      </c>
    </row>
    <row r="68" spans="1:10" x14ac:dyDescent="0.25">
      <c r="A68" s="215" t="s">
        <v>38</v>
      </c>
      <c r="B68" s="216"/>
      <c r="C68" s="216"/>
      <c r="D68" s="216"/>
      <c r="E68" s="216"/>
      <c r="F68" s="217"/>
      <c r="G68" s="15">
        <v>0.75</v>
      </c>
    </row>
    <row r="69" spans="1:10" x14ac:dyDescent="0.25">
      <c r="A69" s="215" t="s">
        <v>39</v>
      </c>
      <c r="B69" s="216"/>
      <c r="C69" s="216"/>
      <c r="D69" s="216"/>
      <c r="E69" s="216"/>
      <c r="F69" s="217"/>
      <c r="G69" s="9">
        <v>3000</v>
      </c>
    </row>
    <row r="70" spans="1:10" x14ac:dyDescent="0.25">
      <c r="A70" s="215" t="s">
        <v>40</v>
      </c>
      <c r="B70" s="216"/>
      <c r="C70" s="216"/>
      <c r="D70" s="216"/>
      <c r="E70" s="216"/>
      <c r="F70" s="217"/>
      <c r="G70" s="9">
        <v>1000</v>
      </c>
    </row>
    <row r="71" spans="1:10" x14ac:dyDescent="0.25">
      <c r="A71" s="215" t="s">
        <v>41</v>
      </c>
      <c r="B71" s="216"/>
      <c r="C71" s="216"/>
      <c r="D71" s="216"/>
      <c r="E71" s="216"/>
      <c r="F71" s="217"/>
      <c r="G71" s="9">
        <v>25</v>
      </c>
    </row>
    <row r="72" spans="1:10" x14ac:dyDescent="0.25">
      <c r="A72" s="215" t="s">
        <v>42</v>
      </c>
      <c r="B72" s="216"/>
      <c r="C72" s="216"/>
      <c r="D72" s="216"/>
      <c r="E72" s="216"/>
      <c r="F72" s="217"/>
      <c r="G72" s="9">
        <v>100</v>
      </c>
    </row>
    <row r="73" spans="1:10" x14ac:dyDescent="0.25">
      <c r="A73" s="215" t="s">
        <v>43</v>
      </c>
      <c r="B73" s="216"/>
      <c r="C73" s="216"/>
      <c r="D73" s="216"/>
      <c r="E73" s="216"/>
      <c r="F73" s="217"/>
      <c r="G73" s="9">
        <v>4</v>
      </c>
    </row>
    <row r="74" spans="1:10" ht="15.75" thickBot="1" x14ac:dyDescent="0.3">
      <c r="A74" s="212" t="s">
        <v>44</v>
      </c>
      <c r="B74" s="213"/>
      <c r="C74" s="213"/>
      <c r="D74" s="213"/>
      <c r="E74" s="213"/>
      <c r="F74" s="214"/>
      <c r="G74" s="19">
        <v>30</v>
      </c>
    </row>
    <row r="75" spans="1:10" x14ac:dyDescent="0.25">
      <c r="A75" s="205"/>
      <c r="B75" s="206"/>
      <c r="C75" s="206"/>
      <c r="D75" s="206"/>
      <c r="E75" s="206"/>
      <c r="F75" s="206"/>
      <c r="G75" s="43"/>
    </row>
    <row r="77" spans="1:10" ht="15.75" thickBot="1" x14ac:dyDescent="0.3">
      <c r="A77" s="192" t="s">
        <v>58</v>
      </c>
      <c r="B77" s="184"/>
      <c r="C77" s="184"/>
      <c r="D77" s="184"/>
      <c r="E77" s="184"/>
      <c r="F77" s="184"/>
      <c r="G77" s="184"/>
    </row>
    <row r="78" spans="1:10" ht="15.75" thickBot="1" x14ac:dyDescent="0.3">
      <c r="A78" s="189" t="s">
        <v>59</v>
      </c>
      <c r="B78" s="190"/>
      <c r="C78" s="190"/>
      <c r="D78" s="190"/>
      <c r="E78" s="190"/>
      <c r="F78" s="191"/>
      <c r="G78" s="44" t="s">
        <v>62</v>
      </c>
    </row>
    <row r="79" spans="1:10" x14ac:dyDescent="0.25">
      <c r="A79" s="215" t="s">
        <v>89</v>
      </c>
      <c r="B79" s="216"/>
      <c r="C79" s="216"/>
      <c r="D79" s="216"/>
      <c r="E79" s="216"/>
      <c r="F79" s="217"/>
      <c r="G79" s="76">
        <v>3000</v>
      </c>
    </row>
    <row r="80" spans="1:10" x14ac:dyDescent="0.25">
      <c r="A80" s="215" t="s">
        <v>95</v>
      </c>
      <c r="B80" s="216"/>
      <c r="C80" s="216"/>
      <c r="D80" s="216"/>
      <c r="E80" s="216"/>
      <c r="F80" s="217"/>
      <c r="G80" s="76">
        <v>5000</v>
      </c>
    </row>
    <row r="81" spans="1:7" x14ac:dyDescent="0.25">
      <c r="A81" s="215" t="s">
        <v>60</v>
      </c>
      <c r="B81" s="216"/>
      <c r="C81" s="216"/>
      <c r="D81" s="216"/>
      <c r="E81" s="216"/>
      <c r="F81" s="217"/>
      <c r="G81" s="76">
        <v>1700</v>
      </c>
    </row>
    <row r="82" spans="1:7" x14ac:dyDescent="0.25">
      <c r="A82" s="215" t="s">
        <v>61</v>
      </c>
      <c r="B82" s="216"/>
      <c r="C82" s="216"/>
      <c r="D82" s="216"/>
      <c r="E82" s="216"/>
      <c r="F82" s="217"/>
      <c r="G82" s="76">
        <v>2000</v>
      </c>
    </row>
    <row r="83" spans="1:7" ht="15.75" thickBot="1" x14ac:dyDescent="0.3">
      <c r="A83" s="212" t="s">
        <v>94</v>
      </c>
      <c r="B83" s="213"/>
      <c r="C83" s="213"/>
      <c r="D83" s="213"/>
      <c r="E83" s="213"/>
      <c r="F83" s="214"/>
      <c r="G83" s="68">
        <v>1000000</v>
      </c>
    </row>
    <row r="85" spans="1:7" ht="15.75" thickBot="1" x14ac:dyDescent="0.3">
      <c r="A85" s="211" t="s">
        <v>63</v>
      </c>
      <c r="B85" s="211"/>
      <c r="C85" s="211"/>
      <c r="D85" s="211"/>
      <c r="E85" s="211"/>
      <c r="F85" s="211"/>
      <c r="G85" s="211"/>
    </row>
    <row r="86" spans="1:7" ht="15.75" thickBot="1" x14ac:dyDescent="0.3">
      <c r="A86" s="208"/>
      <c r="B86" s="209"/>
      <c r="C86" s="209"/>
      <c r="D86" s="209"/>
      <c r="E86" s="209"/>
      <c r="F86" s="210"/>
      <c r="G86" s="45" t="s">
        <v>68</v>
      </c>
    </row>
    <row r="87" spans="1:7" ht="15.75" thickBot="1" x14ac:dyDescent="0.3">
      <c r="A87" s="70" t="s">
        <v>90</v>
      </c>
      <c r="B87" s="51"/>
      <c r="C87" s="51"/>
      <c r="D87" s="51"/>
      <c r="E87" s="51"/>
      <c r="F87" s="69"/>
      <c r="G87" s="75">
        <f>2400000</f>
        <v>2400000</v>
      </c>
    </row>
    <row r="88" spans="1:7" x14ac:dyDescent="0.25">
      <c r="A88" s="205" t="s">
        <v>64</v>
      </c>
      <c r="B88" s="206"/>
      <c r="C88" s="206"/>
      <c r="D88" s="206"/>
      <c r="E88" s="206"/>
      <c r="F88" s="207"/>
      <c r="G88" s="46"/>
    </row>
    <row r="89" spans="1:7" x14ac:dyDescent="0.25">
      <c r="A89" s="202" t="s">
        <v>6</v>
      </c>
      <c r="B89" s="203"/>
      <c r="C89" s="203"/>
      <c r="D89" s="203"/>
      <c r="E89" s="203"/>
      <c r="F89" s="204"/>
      <c r="G89" s="9">
        <v>30</v>
      </c>
    </row>
    <row r="90" spans="1:7" x14ac:dyDescent="0.25">
      <c r="A90" s="202" t="s">
        <v>65</v>
      </c>
      <c r="B90" s="203"/>
      <c r="C90" s="203"/>
      <c r="D90" s="203"/>
      <c r="E90" s="203"/>
      <c r="F90" s="204"/>
      <c r="G90" s="9">
        <v>15</v>
      </c>
    </row>
    <row r="91" spans="1:7" x14ac:dyDescent="0.25">
      <c r="A91" s="199" t="s">
        <v>8</v>
      </c>
      <c r="B91" s="200"/>
      <c r="C91" s="200"/>
      <c r="D91" s="200"/>
      <c r="E91" s="200"/>
      <c r="F91" s="201"/>
      <c r="G91" s="9">
        <v>5</v>
      </c>
    </row>
    <row r="92" spans="1:7" x14ac:dyDescent="0.25">
      <c r="A92" s="196" t="s">
        <v>66</v>
      </c>
      <c r="B92" s="197"/>
      <c r="C92" s="197"/>
      <c r="D92" s="197"/>
      <c r="E92" s="197"/>
      <c r="F92" s="198"/>
      <c r="G92" s="9">
        <v>30</v>
      </c>
    </row>
    <row r="93" spans="1:7" ht="15.75" thickBot="1" x14ac:dyDescent="0.3">
      <c r="A93" s="193" t="s">
        <v>67</v>
      </c>
      <c r="B93" s="194"/>
      <c r="C93" s="194"/>
      <c r="D93" s="194"/>
      <c r="E93" s="194"/>
      <c r="F93" s="195"/>
      <c r="G93" s="19">
        <v>30</v>
      </c>
    </row>
    <row r="94" spans="1:7" x14ac:dyDescent="0.25">
      <c r="A94" s="48"/>
      <c r="B94" s="47"/>
      <c r="C94" s="47"/>
      <c r="D94" s="47"/>
      <c r="E94" s="47"/>
      <c r="F94" s="47"/>
      <c r="G94" s="37"/>
    </row>
    <row r="95" spans="1:7" ht="15.75" thickBot="1" x14ac:dyDescent="0.3">
      <c r="A95" s="184" t="s">
        <v>73</v>
      </c>
      <c r="B95" s="184"/>
      <c r="C95" s="184"/>
      <c r="D95" s="184"/>
      <c r="E95" s="184"/>
      <c r="F95" s="184"/>
      <c r="G95" s="184"/>
    </row>
    <row r="96" spans="1:7" x14ac:dyDescent="0.25">
      <c r="A96" s="185" t="s">
        <v>74</v>
      </c>
      <c r="B96" s="186"/>
      <c r="C96" s="186"/>
      <c r="D96" s="186"/>
      <c r="E96" s="186"/>
      <c r="F96" s="186"/>
      <c r="G96" s="52">
        <v>0.15</v>
      </c>
    </row>
    <row r="97" spans="1:7" ht="15.75" thickBot="1" x14ac:dyDescent="0.3">
      <c r="A97" s="187" t="s">
        <v>75</v>
      </c>
      <c r="B97" s="188"/>
      <c r="C97" s="188"/>
      <c r="D97" s="188"/>
      <c r="E97" s="188"/>
      <c r="F97" s="188"/>
      <c r="G97" s="53">
        <v>0.1</v>
      </c>
    </row>
    <row r="98" spans="1:7" x14ac:dyDescent="0.25">
      <c r="A98" s="48"/>
      <c r="B98" s="37"/>
      <c r="C98" s="47"/>
      <c r="D98" s="47"/>
      <c r="E98" s="47"/>
      <c r="F98" s="47"/>
      <c r="G98"/>
    </row>
    <row r="99" spans="1:7" ht="15.75" thickBot="1" x14ac:dyDescent="0.3">
      <c r="A99" s="184" t="s">
        <v>76</v>
      </c>
      <c r="B99" s="184"/>
      <c r="C99" s="184"/>
      <c r="D99" s="184"/>
      <c r="E99" s="184"/>
      <c r="F99" s="184"/>
      <c r="G99" s="184"/>
    </row>
    <row r="100" spans="1:7" x14ac:dyDescent="0.25">
      <c r="A100" s="185" t="s">
        <v>77</v>
      </c>
      <c r="B100" s="186"/>
      <c r="C100" s="186"/>
      <c r="D100" s="186"/>
      <c r="E100" s="186"/>
      <c r="F100" s="186"/>
      <c r="G100" s="52">
        <v>1</v>
      </c>
    </row>
    <row r="101" spans="1:7" ht="15.75" thickBot="1" x14ac:dyDescent="0.3">
      <c r="A101" s="187" t="s">
        <v>78</v>
      </c>
      <c r="B101" s="188"/>
      <c r="C101" s="188"/>
      <c r="D101" s="188"/>
      <c r="E101" s="188"/>
      <c r="F101" s="188"/>
      <c r="G101" s="53">
        <f>G100-1</f>
        <v>0</v>
      </c>
    </row>
    <row r="102" spans="1:7" ht="15.75" thickBot="1" x14ac:dyDescent="0.3">
      <c r="A102" s="67" t="s">
        <v>92</v>
      </c>
      <c r="B102" s="67"/>
      <c r="C102" s="67"/>
      <c r="D102" s="67"/>
      <c r="E102" s="67"/>
      <c r="F102" s="67"/>
      <c r="G102" s="50"/>
    </row>
    <row r="103" spans="1:7" ht="15.75" thickBot="1" x14ac:dyDescent="0.3">
      <c r="A103" s="189" t="s">
        <v>93</v>
      </c>
      <c r="B103" s="190"/>
      <c r="C103" s="190"/>
      <c r="D103" s="190"/>
      <c r="E103" s="190"/>
      <c r="F103" s="190"/>
      <c r="G103" s="71">
        <v>0.12</v>
      </c>
    </row>
    <row r="104" spans="1:7" ht="15.75" thickBot="1" x14ac:dyDescent="0.3">
      <c r="B104" s="7"/>
      <c r="C104" s="7"/>
      <c r="D104" s="7"/>
      <c r="E104" s="7"/>
      <c r="F104" s="7"/>
    </row>
    <row r="105" spans="1:7" ht="15.75" thickBot="1" x14ac:dyDescent="0.3">
      <c r="A105" s="182" t="s">
        <v>79</v>
      </c>
      <c r="B105" s="183"/>
      <c r="C105" s="183"/>
      <c r="D105" s="183"/>
      <c r="E105" s="183"/>
      <c r="F105" s="183"/>
      <c r="G105" s="54">
        <v>0.25169999999999998</v>
      </c>
    </row>
    <row r="107" spans="1:7" s="72" customFormat="1" x14ac:dyDescent="0.25">
      <c r="A107" s="72" t="s">
        <v>91</v>
      </c>
    </row>
  </sheetData>
  <mergeCells count="72">
    <mergeCell ref="A6:G6"/>
    <mergeCell ref="A30:D30"/>
    <mergeCell ref="A31:D31"/>
    <mergeCell ref="A32:D32"/>
    <mergeCell ref="A33:D33"/>
    <mergeCell ref="A29:G29"/>
    <mergeCell ref="A25:F25"/>
    <mergeCell ref="A26:F26"/>
    <mergeCell ref="A27:F27"/>
    <mergeCell ref="A24:G24"/>
    <mergeCell ref="A34:D34"/>
    <mergeCell ref="A35:D35"/>
    <mergeCell ref="A36:D36"/>
    <mergeCell ref="A37:D37"/>
    <mergeCell ref="A38:D38"/>
    <mergeCell ref="A39:D39"/>
    <mergeCell ref="A40:E40"/>
    <mergeCell ref="A50:E50"/>
    <mergeCell ref="A43:D43"/>
    <mergeCell ref="A44:D44"/>
    <mergeCell ref="A45:D45"/>
    <mergeCell ref="A46:D46"/>
    <mergeCell ref="A47:D47"/>
    <mergeCell ref="A61:F61"/>
    <mergeCell ref="A60:F60"/>
    <mergeCell ref="A59:F59"/>
    <mergeCell ref="A58:F58"/>
    <mergeCell ref="A48:D48"/>
    <mergeCell ref="A49:D49"/>
    <mergeCell ref="A57:F57"/>
    <mergeCell ref="A56:F56"/>
    <mergeCell ref="A55:F55"/>
    <mergeCell ref="A54:F54"/>
    <mergeCell ref="A52:F52"/>
    <mergeCell ref="A53:F53"/>
    <mergeCell ref="A64:G64"/>
    <mergeCell ref="A75:F75"/>
    <mergeCell ref="A65:F65"/>
    <mergeCell ref="A66:F66"/>
    <mergeCell ref="A67:F67"/>
    <mergeCell ref="A68:F68"/>
    <mergeCell ref="A69:F69"/>
    <mergeCell ref="A70:F70"/>
    <mergeCell ref="A82:F82"/>
    <mergeCell ref="A81:F81"/>
    <mergeCell ref="A80:F80"/>
    <mergeCell ref="A79:F79"/>
    <mergeCell ref="A71:F71"/>
    <mergeCell ref="A72:F72"/>
    <mergeCell ref="A73:F73"/>
    <mergeCell ref="A74:F74"/>
    <mergeCell ref="A89:F89"/>
    <mergeCell ref="A88:F88"/>
    <mergeCell ref="A86:F86"/>
    <mergeCell ref="A85:G85"/>
    <mergeCell ref="A83:F83"/>
    <mergeCell ref="A105:F105"/>
    <mergeCell ref="A99:G99"/>
    <mergeCell ref="A1:G1"/>
    <mergeCell ref="A42:G42"/>
    <mergeCell ref="A95:G95"/>
    <mergeCell ref="A96:F96"/>
    <mergeCell ref="A97:F97"/>
    <mergeCell ref="A100:F100"/>
    <mergeCell ref="A101:F101"/>
    <mergeCell ref="A103:F103"/>
    <mergeCell ref="A78:F78"/>
    <mergeCell ref="A77:G77"/>
    <mergeCell ref="A93:F93"/>
    <mergeCell ref="A92:F92"/>
    <mergeCell ref="A91:F91"/>
    <mergeCell ref="A90:F9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zoomScaleNormal="100" workbookViewId="0">
      <pane xSplit="4" ySplit="9" topLeftCell="E63" activePane="bottomRight" state="frozen"/>
      <selection pane="topRight" activeCell="E1" sqref="E1"/>
      <selection pane="bottomLeft" activeCell="A10" sqref="A10"/>
      <selection pane="bottomRight" activeCell="E66" sqref="E66:AN66"/>
    </sheetView>
  </sheetViews>
  <sheetFormatPr defaultRowHeight="15" x14ac:dyDescent="0.25"/>
  <cols>
    <col min="1" max="1" width="25" bestFit="1" customWidth="1"/>
    <col min="2" max="2" width="7.28515625" bestFit="1" customWidth="1"/>
    <col min="4" max="4" width="8.28515625" style="97" bestFit="1" customWidth="1"/>
    <col min="5" max="5" width="9.5703125" style="103" bestFit="1" customWidth="1"/>
    <col min="6" max="6" width="10.140625" style="103" bestFit="1" customWidth="1"/>
    <col min="7" max="7" width="9.42578125" style="103" bestFit="1" customWidth="1"/>
    <col min="8" max="39" width="13.28515625" style="103" bestFit="1" customWidth="1"/>
    <col min="40" max="40" width="14.28515625" style="103" bestFit="1" customWidth="1"/>
    <col min="41" max="16384" width="9.140625" style="96"/>
  </cols>
  <sheetData>
    <row r="1" spans="1:41" customFormat="1" x14ac:dyDescent="0.25"/>
    <row r="2" spans="1:41" customFormat="1" x14ac:dyDescent="0.25"/>
    <row r="3" spans="1:41" customFormat="1" x14ac:dyDescent="0.25">
      <c r="D3" s="100"/>
    </row>
    <row r="4" spans="1:41" customFormat="1" x14ac:dyDescent="0.25">
      <c r="D4" s="101"/>
    </row>
    <row r="5" spans="1:41" customFormat="1" x14ac:dyDescent="0.25">
      <c r="D5" s="102"/>
      <c r="E5" s="98">
        <f>D4+1</f>
        <v>1</v>
      </c>
      <c r="F5" s="92">
        <f t="shared" ref="F5:AN5" si="0">E5+1</f>
        <v>2</v>
      </c>
      <c r="G5" s="92">
        <f t="shared" si="0"/>
        <v>3</v>
      </c>
      <c r="H5" s="92">
        <f t="shared" si="0"/>
        <v>4</v>
      </c>
      <c r="I5" s="92">
        <f t="shared" si="0"/>
        <v>5</v>
      </c>
      <c r="J5" s="92">
        <f t="shared" si="0"/>
        <v>6</v>
      </c>
      <c r="K5" s="92">
        <f t="shared" si="0"/>
        <v>7</v>
      </c>
      <c r="L5" s="92">
        <f t="shared" si="0"/>
        <v>8</v>
      </c>
      <c r="M5" s="92">
        <f t="shared" si="0"/>
        <v>9</v>
      </c>
      <c r="N5" s="92">
        <f t="shared" si="0"/>
        <v>10</v>
      </c>
      <c r="O5" s="92">
        <f t="shared" si="0"/>
        <v>11</v>
      </c>
      <c r="P5" s="92">
        <f t="shared" si="0"/>
        <v>12</v>
      </c>
      <c r="Q5" s="92">
        <f t="shared" si="0"/>
        <v>13</v>
      </c>
      <c r="R5" s="92">
        <f t="shared" si="0"/>
        <v>14</v>
      </c>
      <c r="S5" s="92">
        <f t="shared" si="0"/>
        <v>15</v>
      </c>
      <c r="T5" s="92">
        <f t="shared" si="0"/>
        <v>16</v>
      </c>
      <c r="U5" s="92">
        <f t="shared" si="0"/>
        <v>17</v>
      </c>
      <c r="V5" s="92">
        <f t="shared" si="0"/>
        <v>18</v>
      </c>
      <c r="W5" s="92">
        <f t="shared" si="0"/>
        <v>19</v>
      </c>
      <c r="X5" s="92">
        <f t="shared" si="0"/>
        <v>20</v>
      </c>
      <c r="Y5" s="92">
        <f t="shared" si="0"/>
        <v>21</v>
      </c>
      <c r="Z5" s="92">
        <f t="shared" si="0"/>
        <v>22</v>
      </c>
      <c r="AA5" s="92">
        <f t="shared" si="0"/>
        <v>23</v>
      </c>
      <c r="AB5" s="92">
        <f t="shared" si="0"/>
        <v>24</v>
      </c>
      <c r="AC5" s="92">
        <f t="shared" si="0"/>
        <v>25</v>
      </c>
      <c r="AD5" s="92">
        <f t="shared" si="0"/>
        <v>26</v>
      </c>
      <c r="AE5" s="92">
        <f t="shared" si="0"/>
        <v>27</v>
      </c>
      <c r="AF5" s="92">
        <f t="shared" si="0"/>
        <v>28</v>
      </c>
      <c r="AG5" s="92">
        <f t="shared" si="0"/>
        <v>29</v>
      </c>
      <c r="AH5" s="92">
        <f t="shared" si="0"/>
        <v>30</v>
      </c>
      <c r="AI5" s="92">
        <f t="shared" si="0"/>
        <v>31</v>
      </c>
      <c r="AJ5" s="92">
        <f t="shared" si="0"/>
        <v>32</v>
      </c>
      <c r="AK5" s="92">
        <f t="shared" si="0"/>
        <v>33</v>
      </c>
      <c r="AL5" s="92">
        <f t="shared" si="0"/>
        <v>34</v>
      </c>
      <c r="AM5" s="92">
        <f t="shared" si="0"/>
        <v>35</v>
      </c>
      <c r="AN5" s="92">
        <f t="shared" si="0"/>
        <v>36</v>
      </c>
      <c r="AO5" s="103"/>
    </row>
    <row r="6" spans="1:41" ht="18.75" x14ac:dyDescent="0.3">
      <c r="A6" s="120" t="s">
        <v>100</v>
      </c>
      <c r="E6" s="99">
        <f>EOMONTH(Assumptions!G3,0)</f>
        <v>43951</v>
      </c>
      <c r="F6" s="93">
        <f>EOMONTH(E6,1)</f>
        <v>43982</v>
      </c>
      <c r="G6" s="93">
        <f t="shared" ref="G6:AN6" si="1">EOMONTH(F6,1)</f>
        <v>44012</v>
      </c>
      <c r="H6" s="93">
        <f t="shared" si="1"/>
        <v>44043</v>
      </c>
      <c r="I6" s="93">
        <f t="shared" si="1"/>
        <v>44074</v>
      </c>
      <c r="J6" s="93">
        <f t="shared" si="1"/>
        <v>44104</v>
      </c>
      <c r="K6" s="93">
        <f t="shared" si="1"/>
        <v>44135</v>
      </c>
      <c r="L6" s="93">
        <f t="shared" si="1"/>
        <v>44165</v>
      </c>
      <c r="M6" s="93">
        <f t="shared" si="1"/>
        <v>44196</v>
      </c>
      <c r="N6" s="93">
        <f t="shared" si="1"/>
        <v>44227</v>
      </c>
      <c r="O6" s="93">
        <f t="shared" si="1"/>
        <v>44255</v>
      </c>
      <c r="P6" s="93">
        <f t="shared" si="1"/>
        <v>44286</v>
      </c>
      <c r="Q6" s="93">
        <f t="shared" si="1"/>
        <v>44316</v>
      </c>
      <c r="R6" s="93">
        <f t="shared" si="1"/>
        <v>44347</v>
      </c>
      <c r="S6" s="93">
        <f t="shared" si="1"/>
        <v>44377</v>
      </c>
      <c r="T6" s="93">
        <f t="shared" si="1"/>
        <v>44408</v>
      </c>
      <c r="U6" s="93">
        <f t="shared" si="1"/>
        <v>44439</v>
      </c>
      <c r="V6" s="93">
        <f t="shared" si="1"/>
        <v>44469</v>
      </c>
      <c r="W6" s="93">
        <f t="shared" si="1"/>
        <v>44500</v>
      </c>
      <c r="X6" s="93">
        <f t="shared" si="1"/>
        <v>44530</v>
      </c>
      <c r="Y6" s="93">
        <f t="shared" si="1"/>
        <v>44561</v>
      </c>
      <c r="Z6" s="93">
        <f t="shared" si="1"/>
        <v>44592</v>
      </c>
      <c r="AA6" s="93">
        <f t="shared" si="1"/>
        <v>44620</v>
      </c>
      <c r="AB6" s="93">
        <f t="shared" si="1"/>
        <v>44651</v>
      </c>
      <c r="AC6" s="93">
        <f t="shared" si="1"/>
        <v>44681</v>
      </c>
      <c r="AD6" s="93">
        <f t="shared" si="1"/>
        <v>44712</v>
      </c>
      <c r="AE6" s="93">
        <f t="shared" si="1"/>
        <v>44742</v>
      </c>
      <c r="AF6" s="93">
        <f t="shared" si="1"/>
        <v>44773</v>
      </c>
      <c r="AG6" s="93">
        <f t="shared" si="1"/>
        <v>44804</v>
      </c>
      <c r="AH6" s="93">
        <f t="shared" si="1"/>
        <v>44834</v>
      </c>
      <c r="AI6" s="93">
        <f t="shared" si="1"/>
        <v>44865</v>
      </c>
      <c r="AJ6" s="93">
        <f t="shared" si="1"/>
        <v>44895</v>
      </c>
      <c r="AK6" s="93">
        <f t="shared" si="1"/>
        <v>44926</v>
      </c>
      <c r="AL6" s="93">
        <f t="shared" si="1"/>
        <v>44957</v>
      </c>
      <c r="AM6" s="93">
        <f t="shared" si="1"/>
        <v>44985</v>
      </c>
      <c r="AN6" s="93">
        <f t="shared" si="1"/>
        <v>45016</v>
      </c>
      <c r="AO6" s="103"/>
    </row>
    <row r="7" spans="1:41" x14ac:dyDescent="0.25">
      <c r="A7" t="s">
        <v>106</v>
      </c>
      <c r="E7" s="103">
        <f>IF(E6&gt;Assumptions!$G$5,DAY('Monthly P and L'!E6),0)</f>
        <v>0</v>
      </c>
      <c r="F7" s="103">
        <f>IF(F6&gt;Assumptions!$G$5,DAY('Monthly P and L'!F6),0)</f>
        <v>0</v>
      </c>
      <c r="G7" s="103">
        <f>IF(G6&gt;Assumptions!$G$5,DAY('Monthly P and L'!G6),0)</f>
        <v>0</v>
      </c>
      <c r="H7" s="103">
        <f>IF(H6&gt;Assumptions!$G$5,DAY('Monthly P and L'!H6),0)</f>
        <v>31</v>
      </c>
      <c r="I7" s="103">
        <f>IF(I6&gt;Assumptions!$G$5,DAY('Monthly P and L'!I6),0)</f>
        <v>31</v>
      </c>
      <c r="J7" s="103">
        <f>IF(J6&gt;Assumptions!$G$5,DAY('Monthly P and L'!J6),0)</f>
        <v>30</v>
      </c>
      <c r="K7" s="103">
        <f>IF(K6&gt;Assumptions!$G$5,DAY('Monthly P and L'!K6),0)</f>
        <v>31</v>
      </c>
      <c r="L7" s="103">
        <f>IF(L6&gt;Assumptions!$G$5,DAY('Monthly P and L'!L6),0)</f>
        <v>30</v>
      </c>
      <c r="M7" s="103">
        <f>IF(M6&gt;Assumptions!$G$5,DAY('Monthly P and L'!M6),0)</f>
        <v>31</v>
      </c>
      <c r="N7" s="103">
        <f>IF(N6&gt;Assumptions!$G$5,DAY('Monthly P and L'!N6),0)</f>
        <v>31</v>
      </c>
      <c r="O7" s="103">
        <f>IF(O6&gt;Assumptions!$G$5,DAY('Monthly P and L'!O6),0)</f>
        <v>28</v>
      </c>
      <c r="P7" s="103">
        <f>IF(P6&gt;Assumptions!$G$5,DAY('Monthly P and L'!P6),0)</f>
        <v>31</v>
      </c>
      <c r="Q7" s="103">
        <f>IF(Q6&gt;Assumptions!$G$5,DAY('Monthly P and L'!Q6),0)</f>
        <v>30</v>
      </c>
      <c r="R7" s="103">
        <f>IF(R6&gt;Assumptions!$G$5,DAY('Monthly P and L'!R6),0)</f>
        <v>31</v>
      </c>
      <c r="S7" s="103">
        <f>IF(S6&gt;Assumptions!$G$5,DAY('Monthly P and L'!S6),0)</f>
        <v>30</v>
      </c>
      <c r="T7" s="103">
        <f>IF(T6&gt;Assumptions!$G$5,DAY('Monthly P and L'!T6),0)</f>
        <v>31</v>
      </c>
      <c r="U7" s="103">
        <f>IF(U6&gt;Assumptions!$G$5,DAY('Monthly P and L'!U6),0)</f>
        <v>31</v>
      </c>
      <c r="V7" s="103">
        <f>IF(V6&gt;Assumptions!$G$5,DAY('Monthly P and L'!V6),0)</f>
        <v>30</v>
      </c>
      <c r="W7" s="103">
        <f>IF(W6&gt;Assumptions!$G$5,DAY('Monthly P and L'!W6),0)</f>
        <v>31</v>
      </c>
      <c r="X7" s="103">
        <f>IF(X6&gt;Assumptions!$G$5,DAY('Monthly P and L'!X6),0)</f>
        <v>30</v>
      </c>
      <c r="Y7" s="103">
        <f>IF(Y6&gt;Assumptions!$G$5,DAY('Monthly P and L'!Y6),0)</f>
        <v>31</v>
      </c>
      <c r="Z7" s="103">
        <f>IF(Z6&gt;Assumptions!$G$5,DAY('Monthly P and L'!Z6),0)</f>
        <v>31</v>
      </c>
      <c r="AA7" s="103">
        <f>IF(AA6&gt;Assumptions!$G$5,DAY('Monthly P and L'!AA6),0)</f>
        <v>28</v>
      </c>
      <c r="AB7" s="103">
        <f>IF(AB6&gt;Assumptions!$G$5,DAY('Monthly P and L'!AB6),0)</f>
        <v>31</v>
      </c>
      <c r="AC7" s="103">
        <f>IF(AC6&gt;Assumptions!$G$5,DAY('Monthly P and L'!AC6),0)</f>
        <v>30</v>
      </c>
      <c r="AD7" s="103">
        <f>IF(AD6&gt;Assumptions!$G$5,DAY('Monthly P and L'!AD6),0)</f>
        <v>31</v>
      </c>
      <c r="AE7" s="103">
        <f>IF(AE6&gt;Assumptions!$G$5,DAY('Monthly P and L'!AE6),0)</f>
        <v>30</v>
      </c>
      <c r="AF7" s="103">
        <f>IF(AF6&gt;Assumptions!$G$5,DAY('Monthly P and L'!AF6),0)</f>
        <v>31</v>
      </c>
      <c r="AG7" s="103">
        <f>IF(AG6&gt;Assumptions!$G$5,DAY('Monthly P and L'!AG6),0)</f>
        <v>31</v>
      </c>
      <c r="AH7" s="103">
        <f>IF(AH6&gt;Assumptions!$G$5,DAY('Monthly P and L'!AH6),0)</f>
        <v>30</v>
      </c>
      <c r="AI7" s="103">
        <f>IF(AI6&gt;Assumptions!$G$5,DAY('Monthly P and L'!AI6),0)</f>
        <v>31</v>
      </c>
      <c r="AJ7" s="103">
        <f>IF(AJ6&gt;Assumptions!$G$5,DAY('Monthly P and L'!AJ6),0)</f>
        <v>30</v>
      </c>
      <c r="AK7" s="103">
        <f>IF(AK6&gt;Assumptions!$G$5,DAY('Monthly P and L'!AK6),0)</f>
        <v>31</v>
      </c>
      <c r="AL7" s="103">
        <f>IF(AL6&gt;Assumptions!$G$5,DAY('Monthly P and L'!AL6),0)</f>
        <v>31</v>
      </c>
      <c r="AM7" s="103">
        <f>IF(AM6&gt;Assumptions!$G$5,DAY('Monthly P and L'!AM6),0)</f>
        <v>28</v>
      </c>
      <c r="AN7" s="103">
        <f>IF(AN6&gt;Assumptions!$G$5,DAY('Monthly P and L'!AN6),0)</f>
        <v>31</v>
      </c>
      <c r="AO7" s="103"/>
    </row>
    <row r="8" spans="1:41" x14ac:dyDescent="0.25">
      <c r="A8" t="s">
        <v>107</v>
      </c>
      <c r="E8" s="103">
        <f>IF(E7&gt;0,NETWORKDAYS(D5+1,E6),0)</f>
        <v>0</v>
      </c>
      <c r="F8" s="103">
        <f t="shared" ref="F8:G8" si="2">IF(F7&gt;0,NETWORKDAYS(E6+1,F6),0)</f>
        <v>0</v>
      </c>
      <c r="G8" s="103">
        <f t="shared" si="2"/>
        <v>0</v>
      </c>
      <c r="H8" s="103">
        <f>IF(H7&gt;0,NETWORKDAYS(G6+1,H6),0)</f>
        <v>23</v>
      </c>
      <c r="I8" s="103">
        <f t="shared" ref="I8:AN8" si="3">IF(I7&gt;0,NETWORKDAYS(H6+1,I6),0)</f>
        <v>21</v>
      </c>
      <c r="J8" s="103">
        <f t="shared" si="3"/>
        <v>22</v>
      </c>
      <c r="K8" s="103">
        <f t="shared" si="3"/>
        <v>22</v>
      </c>
      <c r="L8" s="103">
        <f t="shared" si="3"/>
        <v>21</v>
      </c>
      <c r="M8" s="103">
        <f t="shared" si="3"/>
        <v>23</v>
      </c>
      <c r="N8" s="103">
        <f t="shared" si="3"/>
        <v>21</v>
      </c>
      <c r="O8" s="103">
        <f t="shared" si="3"/>
        <v>20</v>
      </c>
      <c r="P8" s="103">
        <f t="shared" si="3"/>
        <v>23</v>
      </c>
      <c r="Q8" s="103">
        <f t="shared" si="3"/>
        <v>22</v>
      </c>
      <c r="R8" s="103">
        <f t="shared" si="3"/>
        <v>21</v>
      </c>
      <c r="S8" s="103">
        <f t="shared" si="3"/>
        <v>22</v>
      </c>
      <c r="T8" s="103">
        <f t="shared" si="3"/>
        <v>22</v>
      </c>
      <c r="U8" s="103">
        <f t="shared" si="3"/>
        <v>22</v>
      </c>
      <c r="V8" s="103">
        <f t="shared" si="3"/>
        <v>22</v>
      </c>
      <c r="W8" s="103">
        <f t="shared" si="3"/>
        <v>21</v>
      </c>
      <c r="X8" s="103">
        <f t="shared" si="3"/>
        <v>22</v>
      </c>
      <c r="Y8" s="103">
        <f t="shared" si="3"/>
        <v>23</v>
      </c>
      <c r="Z8" s="103">
        <f t="shared" si="3"/>
        <v>21</v>
      </c>
      <c r="AA8" s="103">
        <f t="shared" si="3"/>
        <v>20</v>
      </c>
      <c r="AB8" s="103">
        <f t="shared" si="3"/>
        <v>23</v>
      </c>
      <c r="AC8" s="103">
        <f t="shared" si="3"/>
        <v>21</v>
      </c>
      <c r="AD8" s="103">
        <f t="shared" si="3"/>
        <v>22</v>
      </c>
      <c r="AE8" s="103">
        <f t="shared" si="3"/>
        <v>22</v>
      </c>
      <c r="AF8" s="103">
        <f t="shared" si="3"/>
        <v>21</v>
      </c>
      <c r="AG8" s="103">
        <f t="shared" si="3"/>
        <v>23</v>
      </c>
      <c r="AH8" s="103">
        <f t="shared" si="3"/>
        <v>22</v>
      </c>
      <c r="AI8" s="103">
        <f t="shared" si="3"/>
        <v>21</v>
      </c>
      <c r="AJ8" s="103">
        <f t="shared" si="3"/>
        <v>22</v>
      </c>
      <c r="AK8" s="103">
        <f t="shared" si="3"/>
        <v>22</v>
      </c>
      <c r="AL8" s="103">
        <f t="shared" si="3"/>
        <v>22</v>
      </c>
      <c r="AM8" s="103">
        <f t="shared" si="3"/>
        <v>20</v>
      </c>
      <c r="AN8" s="103">
        <f t="shared" si="3"/>
        <v>23</v>
      </c>
      <c r="AO8" s="103"/>
    </row>
    <row r="9" spans="1:41" x14ac:dyDescent="0.25">
      <c r="A9" t="s">
        <v>104</v>
      </c>
      <c r="E9" s="103">
        <f>E7-E8</f>
        <v>0</v>
      </c>
      <c r="F9" s="103">
        <f t="shared" ref="F9:I9" si="4">F7-F8</f>
        <v>0</v>
      </c>
      <c r="G9" s="103">
        <f t="shared" si="4"/>
        <v>0</v>
      </c>
      <c r="H9" s="103">
        <f t="shared" si="4"/>
        <v>8</v>
      </c>
      <c r="I9" s="103">
        <f t="shared" si="4"/>
        <v>10</v>
      </c>
      <c r="J9" s="103">
        <f t="shared" ref="J9" si="5">J7-J8</f>
        <v>8</v>
      </c>
      <c r="K9" s="103">
        <f t="shared" ref="K9" si="6">K7-K8</f>
        <v>9</v>
      </c>
      <c r="L9" s="103">
        <f t="shared" ref="L9:M9" si="7">L7-L8</f>
        <v>9</v>
      </c>
      <c r="M9" s="103">
        <f t="shared" si="7"/>
        <v>8</v>
      </c>
      <c r="N9" s="103">
        <f t="shared" ref="N9" si="8">N7-N8</f>
        <v>10</v>
      </c>
      <c r="O9" s="103">
        <f t="shared" ref="O9" si="9">O7-O8</f>
        <v>8</v>
      </c>
      <c r="P9" s="103">
        <f t="shared" ref="P9:Q9" si="10">P7-P8</f>
        <v>8</v>
      </c>
      <c r="Q9" s="103">
        <f t="shared" si="10"/>
        <v>8</v>
      </c>
      <c r="R9" s="103">
        <f t="shared" ref="R9" si="11">R7-R8</f>
        <v>10</v>
      </c>
      <c r="S9" s="103">
        <f t="shared" ref="S9" si="12">S7-S8</f>
        <v>8</v>
      </c>
      <c r="T9" s="103">
        <f t="shared" ref="T9:V9" si="13">T7-T8</f>
        <v>9</v>
      </c>
      <c r="U9" s="103">
        <f t="shared" si="13"/>
        <v>9</v>
      </c>
      <c r="V9" s="103">
        <f t="shared" si="13"/>
        <v>8</v>
      </c>
      <c r="W9" s="103">
        <f t="shared" ref="W9" si="14">W7-W8</f>
        <v>10</v>
      </c>
      <c r="X9" s="103">
        <f t="shared" ref="X9" si="15">X7-X8</f>
        <v>8</v>
      </c>
      <c r="Y9" s="103">
        <f t="shared" ref="Y9" si="16">Y7-Y8</f>
        <v>8</v>
      </c>
      <c r="Z9" s="103">
        <f t="shared" ref="Z9" si="17">Z7-Z8</f>
        <v>10</v>
      </c>
      <c r="AA9" s="103">
        <f t="shared" ref="AA9" si="18">AA7-AA8</f>
        <v>8</v>
      </c>
      <c r="AB9" s="103">
        <f t="shared" ref="AB9" si="19">AB7-AB8</f>
        <v>8</v>
      </c>
      <c r="AC9" s="103">
        <f t="shared" ref="AC9" si="20">AC7-AC8</f>
        <v>9</v>
      </c>
      <c r="AD9" s="103">
        <f t="shared" ref="AD9" si="21">AD7-AD8</f>
        <v>9</v>
      </c>
      <c r="AE9" s="103">
        <f t="shared" ref="AE9" si="22">AE7-AE8</f>
        <v>8</v>
      </c>
      <c r="AF9" s="103">
        <f t="shared" ref="AF9" si="23">AF7-AF8</f>
        <v>10</v>
      </c>
      <c r="AG9" s="103">
        <f t="shared" ref="AG9" si="24">AG7-AG8</f>
        <v>8</v>
      </c>
      <c r="AH9" s="103">
        <f t="shared" ref="AH9" si="25">AH7-AH8</f>
        <v>8</v>
      </c>
      <c r="AI9" s="103">
        <f t="shared" ref="AI9" si="26">AI7-AI8</f>
        <v>10</v>
      </c>
      <c r="AJ9" s="103">
        <f t="shared" ref="AJ9" si="27">AJ7-AJ8</f>
        <v>8</v>
      </c>
      <c r="AK9" s="103">
        <f t="shared" ref="AK9" si="28">AK7-AK8</f>
        <v>9</v>
      </c>
      <c r="AL9" s="103">
        <f t="shared" ref="AL9:AM9" si="29">AL7-AL8</f>
        <v>9</v>
      </c>
      <c r="AM9" s="103">
        <f t="shared" si="29"/>
        <v>8</v>
      </c>
      <c r="AN9" s="103">
        <f t="shared" ref="AN9" si="30">AN7-AN8</f>
        <v>8</v>
      </c>
      <c r="AO9" s="103"/>
    </row>
    <row r="10" spans="1:41" x14ac:dyDescent="0.25">
      <c r="AO10" s="103"/>
    </row>
    <row r="11" spans="1:41" x14ac:dyDescent="0.25">
      <c r="A11" s="7" t="s">
        <v>101</v>
      </c>
      <c r="AO11" s="103"/>
    </row>
    <row r="12" spans="1:41" x14ac:dyDescent="0.25">
      <c r="A12" s="7" t="s">
        <v>2</v>
      </c>
      <c r="AO12" s="103"/>
    </row>
    <row r="13" spans="1:41" x14ac:dyDescent="0.25">
      <c r="A13" t="s">
        <v>4</v>
      </c>
      <c r="E13" s="103">
        <f>IF(E$8&gt;0, MIN(MAX(Assumptions!$B$19*Assumptions!$B$18,'Monthly Revenue'!#REF!*(1+Assumptions!$B$20)),Assumptions!$B$21),0)</f>
        <v>0</v>
      </c>
      <c r="F13" s="103">
        <f>IF(F$8&gt;0, MIN(MAX(Assumptions!$B$19*Assumptions!$B$18,'Monthly Revenue'!E13*(1+Assumptions!$B$20)),Assumptions!$B$21),0)</f>
        <v>0</v>
      </c>
      <c r="G13" s="103">
        <f>IF(G$8&gt;0, MIN(MAX(Assumptions!$B$19*Assumptions!$B$18,'Monthly Revenue'!F13*(1+Assumptions!$B$20)),Assumptions!$B$21),0)</f>
        <v>0</v>
      </c>
      <c r="H13" s="103">
        <f>IF(H$8&gt;0, MIN(MAX(Assumptions!$B$19*Assumptions!$B$18,'Monthly Revenue'!G13*(1+Assumptions!$B$20)),Assumptions!$B$21),0)</f>
        <v>20</v>
      </c>
      <c r="I13" s="103">
        <f>IF(I$8&gt;0, MIN(MAX(Assumptions!$B$19*Assumptions!$B$18,'Monthly Revenue'!H13*(1+Assumptions!$B$20)),Assumptions!$B$21),0)</f>
        <v>20.399999999999999</v>
      </c>
      <c r="J13" s="103">
        <f>IF(J$8&gt;0, MIN(MAX(Assumptions!$B$19*Assumptions!$B$18,'Monthly Revenue'!I13*(1+Assumptions!$B$20)),Assumptions!$B$21),0)</f>
        <v>20.808</v>
      </c>
      <c r="K13" s="103">
        <f>IF(K$8&gt;0, MIN(MAX(Assumptions!$B$19*Assumptions!$B$18,'Monthly Revenue'!J13*(1+Assumptions!$B$20)),Assumptions!$B$21),0)</f>
        <v>21.224160000000001</v>
      </c>
      <c r="L13" s="103">
        <f>IF(L$8&gt;0, MIN(MAX(Assumptions!$B$19*Assumptions!$B$18,'Monthly Revenue'!K13*(1+Assumptions!$B$20)),Assumptions!$B$21),0)</f>
        <v>21.648643200000002</v>
      </c>
      <c r="M13" s="103">
        <f>IF(M$8&gt;0, MIN(MAX(Assumptions!$B$19*Assumptions!$B$18,'Monthly Revenue'!L13*(1+Assumptions!$B$20)),Assumptions!$B$21),0)</f>
        <v>22.081616064000002</v>
      </c>
      <c r="N13" s="103">
        <f>IF(N$8&gt;0, MIN(MAX(Assumptions!$B$19*Assumptions!$B$18,'Monthly Revenue'!M13*(1+Assumptions!$B$20)),Assumptions!$B$21),0)</f>
        <v>22.523248385280002</v>
      </c>
      <c r="O13" s="103">
        <f>IF(O$8&gt;0, MIN(MAX(Assumptions!$B$19*Assumptions!$B$18,'Monthly Revenue'!N13*(1+Assumptions!$B$20)),Assumptions!$B$21),0)</f>
        <v>22.973713352985602</v>
      </c>
      <c r="P13" s="103">
        <f>IF(P$8&gt;0, MIN(MAX(Assumptions!$B$19*Assumptions!$B$18,'Monthly Revenue'!O13*(1+Assumptions!$B$20)),Assumptions!$B$21),0)</f>
        <v>23.433187620045313</v>
      </c>
      <c r="Q13" s="103">
        <f>IF(Q$8&gt;0, MIN(MAX(Assumptions!$B$19*Assumptions!$B$18,'Monthly Revenue'!P13*(1+Assumptions!$B$20)),Assumptions!$B$21),0)</f>
        <v>23.90185137244622</v>
      </c>
      <c r="R13" s="103">
        <f>IF(R$8&gt;0, MIN(MAX(Assumptions!$B$19*Assumptions!$B$18,'Monthly Revenue'!Q13*(1+Assumptions!$B$20)),Assumptions!$B$21),0)</f>
        <v>24.379888399895144</v>
      </c>
      <c r="S13" s="103">
        <f>IF(S$8&gt;0, MIN(MAX(Assumptions!$B$19*Assumptions!$B$18,'Monthly Revenue'!R13*(1+Assumptions!$B$20)),Assumptions!$B$21),0)</f>
        <v>24.867486167893048</v>
      </c>
      <c r="T13" s="103">
        <f>IF(T$8&gt;0, MIN(MAX(Assumptions!$B$19*Assumptions!$B$18,'Monthly Revenue'!S13*(1+Assumptions!$B$20)),Assumptions!$B$21),0)</f>
        <v>25.364835891250909</v>
      </c>
      <c r="U13" s="103">
        <f>IF(U$8&gt;0, MIN(MAX(Assumptions!$B$19*Assumptions!$B$18,'Monthly Revenue'!T13*(1+Assumptions!$B$20)),Assumptions!$B$21),0)</f>
        <v>25.872132609075926</v>
      </c>
      <c r="V13" s="103">
        <f>IF(V$8&gt;0, MIN(MAX(Assumptions!$B$19*Assumptions!$B$18,'Monthly Revenue'!U13*(1+Assumptions!$B$20)),Assumptions!$B$21),0)</f>
        <v>26.389575261257445</v>
      </c>
      <c r="W13" s="103">
        <f>IF(W$8&gt;0, MIN(MAX(Assumptions!$B$19*Assumptions!$B$18,'Monthly Revenue'!V13*(1+Assumptions!$B$20)),Assumptions!$B$21),0)</f>
        <v>26.917366766482594</v>
      </c>
      <c r="X13" s="103">
        <f>IF(X$8&gt;0, MIN(MAX(Assumptions!$B$19*Assumptions!$B$18,'Monthly Revenue'!W13*(1+Assumptions!$B$20)),Assumptions!$B$21),0)</f>
        <v>27.455714101812248</v>
      </c>
      <c r="Y13" s="103">
        <f>IF(Y$8&gt;0, MIN(MAX(Assumptions!$B$19*Assumptions!$B$18,'Monthly Revenue'!X13*(1+Assumptions!$B$20)),Assumptions!$B$21),0)</f>
        <v>28.004828383848494</v>
      </c>
      <c r="Z13" s="103">
        <f>IF(Z$8&gt;0, MIN(MAX(Assumptions!$B$19*Assumptions!$B$18,'Monthly Revenue'!Y13*(1+Assumptions!$B$20)),Assumptions!$B$21),0)</f>
        <v>28.564924951525466</v>
      </c>
      <c r="AA13" s="103">
        <f>IF(AA$8&gt;0, MIN(MAX(Assumptions!$B$19*Assumptions!$B$18,'Monthly Revenue'!Z13*(1+Assumptions!$B$20)),Assumptions!$B$21),0)</f>
        <v>29.136223450555974</v>
      </c>
      <c r="AB13" s="103">
        <f>IF(AB$8&gt;0, MIN(MAX(Assumptions!$B$19*Assumptions!$B$18,'Monthly Revenue'!AA13*(1+Assumptions!$B$20)),Assumptions!$B$21),0)</f>
        <v>29.718947919567093</v>
      </c>
      <c r="AC13" s="103">
        <f>IF(AC$8&gt;0, MIN(MAX(Assumptions!$B$19*Assumptions!$B$18,'Monthly Revenue'!AB13*(1+Assumptions!$B$20)),Assumptions!$B$21),0)</f>
        <v>30.313326877958435</v>
      </c>
      <c r="AD13" s="103">
        <f>IF(AD$8&gt;0, MIN(MAX(Assumptions!$B$19*Assumptions!$B$18,'Monthly Revenue'!AC13*(1+Assumptions!$B$20)),Assumptions!$B$21),0)</f>
        <v>30.919593415517603</v>
      </c>
      <c r="AE13" s="103">
        <f>IF(AE$8&gt;0, MIN(MAX(Assumptions!$B$19*Assumptions!$B$18,'Monthly Revenue'!AD13*(1+Assumptions!$B$20)),Assumptions!$B$21),0)</f>
        <v>31.537985283827958</v>
      </c>
      <c r="AF13" s="103">
        <f>IF(AF$8&gt;0, MIN(MAX(Assumptions!$B$19*Assumptions!$B$18,'Monthly Revenue'!AE13*(1+Assumptions!$B$20)),Assumptions!$B$21),0)</f>
        <v>32.168744989504518</v>
      </c>
      <c r="AG13" s="103">
        <f>IF(AG$8&gt;0, MIN(MAX(Assumptions!$B$19*Assumptions!$B$18,'Monthly Revenue'!AF13*(1+Assumptions!$B$20)),Assumptions!$B$21),0)</f>
        <v>32.812119889294607</v>
      </c>
      <c r="AH13" s="103">
        <f>IF(AH$8&gt;0, MIN(MAX(Assumptions!$B$19*Assumptions!$B$18,'Monthly Revenue'!AG13*(1+Assumptions!$B$20)),Assumptions!$B$21),0)</f>
        <v>33.468362287080502</v>
      </c>
      <c r="AI13" s="103">
        <f>IF(AI$8&gt;0, MIN(MAX(Assumptions!$B$19*Assumptions!$B$18,'Monthly Revenue'!AH13*(1+Assumptions!$B$20)),Assumptions!$B$21),0)</f>
        <v>34.137729532822114</v>
      </c>
      <c r="AJ13" s="103">
        <f>IF(AJ$8&gt;0, MIN(MAX(Assumptions!$B$19*Assumptions!$B$18,'Monthly Revenue'!AI13*(1+Assumptions!$B$20)),Assumptions!$B$21),0)</f>
        <v>34.820484123478558</v>
      </c>
      <c r="AK13" s="103">
        <f>IF(AK$8&gt;0, MIN(MAX(Assumptions!$B$19*Assumptions!$B$18,'Monthly Revenue'!AJ13*(1+Assumptions!$B$20)),Assumptions!$B$21),0)</f>
        <v>35.516893805948129</v>
      </c>
      <c r="AL13" s="103">
        <f>IF(AL$8&gt;0, MIN(MAX(Assumptions!$B$19*Assumptions!$B$18,'Monthly Revenue'!AK13*(1+Assumptions!$B$20)),Assumptions!$B$21),0)</f>
        <v>36.227231682067092</v>
      </c>
      <c r="AM13" s="103">
        <f>IF(AM$8&gt;0, MIN(MAX(Assumptions!$B$19*Assumptions!$B$18,'Monthly Revenue'!AL13*(1+Assumptions!$B$20)),Assumptions!$B$21),0)</f>
        <v>36.951776315708436</v>
      </c>
      <c r="AN13" s="103">
        <f>IF(AN$8&gt;0, MIN(MAX(Assumptions!$B$19*Assumptions!$B$18,'Monthly Revenue'!AM13*(1+Assumptions!$B$20)),Assumptions!$B$21),0)</f>
        <v>37.690811842022605</v>
      </c>
      <c r="AO13" s="103"/>
    </row>
    <row r="14" spans="1:41" x14ac:dyDescent="0.25">
      <c r="A14" t="s">
        <v>16</v>
      </c>
      <c r="E14" s="103">
        <f>IF(E$8&gt;0, MIN(MAX(Assumptions!$F$19*Assumptions!$F$18,'Monthly Revenue'!D13*(1+Assumptions!$F$20)),Assumptions!$F$21),0)</f>
        <v>0</v>
      </c>
      <c r="F14" s="103">
        <f>IF(F$8&gt;0, MIN(MAX(Assumptions!$F$19*Assumptions!$F$18,'Monthly Revenue'!E14*(1+Assumptions!$F$20)),Assumptions!$F$21),0)</f>
        <v>0</v>
      </c>
      <c r="G14" s="103">
        <f>IF(G$8&gt;0, MIN(MAX(Assumptions!$F$19*Assumptions!$F$18,'Monthly Revenue'!F14*(1+Assumptions!$F$20)),Assumptions!$F$21),0)</f>
        <v>0</v>
      </c>
      <c r="H14" s="103">
        <f>IF(H$8&gt;0, MIN(MAX(Assumptions!$F$19*Assumptions!$F$18,'Monthly Revenue'!G14*(1+Assumptions!$F$20)),Assumptions!$F$21),0)</f>
        <v>26</v>
      </c>
      <c r="I14" s="103">
        <f>IF(I$8&gt;0, MIN(MAX(Assumptions!$F$19*Assumptions!$F$18,'Monthly Revenue'!H14*(1+Assumptions!$F$20)),Assumptions!$F$21),0)</f>
        <v>26.52</v>
      </c>
      <c r="J14" s="103">
        <f>IF(J$8&gt;0, MIN(MAX(Assumptions!$F$19*Assumptions!$F$18,'Monthly Revenue'!I14*(1+Assumptions!$F$20)),Assumptions!$F$21),0)</f>
        <v>27.0504</v>
      </c>
      <c r="K14" s="103">
        <f>IF(K$8&gt;0, MIN(MAX(Assumptions!$F$19*Assumptions!$F$18,'Monthly Revenue'!J14*(1+Assumptions!$F$20)),Assumptions!$F$21),0)</f>
        <v>27.591408000000001</v>
      </c>
      <c r="L14" s="103">
        <f>IF(L$8&gt;0, MIN(MAX(Assumptions!$F$19*Assumptions!$F$18,'Monthly Revenue'!K14*(1+Assumptions!$F$20)),Assumptions!$F$21),0)</f>
        <v>28.143236160000001</v>
      </c>
      <c r="M14" s="103">
        <f>IF(M$8&gt;0, MIN(MAX(Assumptions!$F$19*Assumptions!$F$18,'Monthly Revenue'!L14*(1+Assumptions!$F$20)),Assumptions!$F$21),0)</f>
        <v>28.706100883200001</v>
      </c>
      <c r="N14" s="103">
        <f>IF(N$8&gt;0, MIN(MAX(Assumptions!$F$19*Assumptions!$F$18,'Monthly Revenue'!M14*(1+Assumptions!$F$20)),Assumptions!$F$21),0)</f>
        <v>29.280222900864</v>
      </c>
      <c r="O14" s="103">
        <f>IF(O$8&gt;0, MIN(MAX(Assumptions!$F$19*Assumptions!$F$18,'Monthly Revenue'!N14*(1+Assumptions!$F$20)),Assumptions!$F$21),0)</f>
        <v>29.86582735888128</v>
      </c>
      <c r="P14" s="103">
        <f>IF(P$8&gt;0, MIN(MAX(Assumptions!$F$19*Assumptions!$F$18,'Monthly Revenue'!O14*(1+Assumptions!$F$20)),Assumptions!$F$21),0)</f>
        <v>30.463143906058907</v>
      </c>
      <c r="Q14" s="103">
        <f>IF(Q$8&gt;0, MIN(MAX(Assumptions!$F$19*Assumptions!$F$18,'Monthly Revenue'!P14*(1+Assumptions!$F$20)),Assumptions!$F$21),0)</f>
        <v>31.072406784180085</v>
      </c>
      <c r="R14" s="103">
        <f>IF(R$8&gt;0, MIN(MAX(Assumptions!$F$19*Assumptions!$F$18,'Monthly Revenue'!Q14*(1+Assumptions!$F$20)),Assumptions!$F$21),0)</f>
        <v>31.693854919863689</v>
      </c>
      <c r="S14" s="103">
        <f>IF(S$8&gt;0, MIN(MAX(Assumptions!$F$19*Assumptions!$F$18,'Monthly Revenue'!R14*(1+Assumptions!$F$20)),Assumptions!$F$21),0)</f>
        <v>32.32773201826096</v>
      </c>
      <c r="T14" s="103">
        <f>IF(T$8&gt;0, MIN(MAX(Assumptions!$F$19*Assumptions!$F$18,'Monthly Revenue'!S14*(1+Assumptions!$F$20)),Assumptions!$F$21),0)</f>
        <v>32.974286658626177</v>
      </c>
      <c r="U14" s="103">
        <f>IF(U$8&gt;0, MIN(MAX(Assumptions!$F$19*Assumptions!$F$18,'Monthly Revenue'!T14*(1+Assumptions!$F$20)),Assumptions!$F$21),0)</f>
        <v>33.633772391798701</v>
      </c>
      <c r="V14" s="103">
        <f>IF(V$8&gt;0, MIN(MAX(Assumptions!$F$19*Assumptions!$F$18,'Monthly Revenue'!U14*(1+Assumptions!$F$20)),Assumptions!$F$21),0)</f>
        <v>34.306447839634679</v>
      </c>
      <c r="W14" s="103">
        <f>IF(W$8&gt;0, MIN(MAX(Assumptions!$F$19*Assumptions!$F$18,'Monthly Revenue'!V14*(1+Assumptions!$F$20)),Assumptions!$F$21),0)</f>
        <v>34.992576796427372</v>
      </c>
      <c r="X14" s="103">
        <f>IF(X$8&gt;0, MIN(MAX(Assumptions!$F$19*Assumptions!$F$18,'Monthly Revenue'!W14*(1+Assumptions!$F$20)),Assumptions!$F$21),0)</f>
        <v>35.692428332355917</v>
      </c>
      <c r="Y14" s="103">
        <f>IF(Y$8&gt;0, MIN(MAX(Assumptions!$F$19*Assumptions!$F$18,'Monthly Revenue'!X14*(1+Assumptions!$F$20)),Assumptions!$F$21),0)</f>
        <v>36.406276899003032</v>
      </c>
      <c r="Z14" s="103">
        <f>IF(Z$8&gt;0, MIN(MAX(Assumptions!$F$19*Assumptions!$F$18,'Monthly Revenue'!Y14*(1+Assumptions!$F$20)),Assumptions!$F$21),0)</f>
        <v>37.134402436983095</v>
      </c>
      <c r="AA14" s="103">
        <f>IF(AA$8&gt;0, MIN(MAX(Assumptions!$F$19*Assumptions!$F$18,'Monthly Revenue'!Z14*(1+Assumptions!$F$20)),Assumptions!$F$21),0)</f>
        <v>37.877090485722761</v>
      </c>
      <c r="AB14" s="103">
        <f>IF(AB$8&gt;0, MIN(MAX(Assumptions!$F$19*Assumptions!$F$18,'Monthly Revenue'!AA14*(1+Assumptions!$F$20)),Assumptions!$F$21),0)</f>
        <v>38.634632295437214</v>
      </c>
      <c r="AC14" s="103">
        <f>IF(AC$8&gt;0, MIN(MAX(Assumptions!$F$19*Assumptions!$F$18,'Monthly Revenue'!AB14*(1+Assumptions!$F$20)),Assumptions!$F$21),0)</f>
        <v>39.407324941345962</v>
      </c>
      <c r="AD14" s="103">
        <f>IF(AD$8&gt;0, MIN(MAX(Assumptions!$F$19*Assumptions!$F$18,'Monthly Revenue'!AC14*(1+Assumptions!$F$20)),Assumptions!$F$21),0)</f>
        <v>40.195471440172881</v>
      </c>
      <c r="AE14" s="103">
        <f>IF(AE$8&gt;0, MIN(MAX(Assumptions!$F$19*Assumptions!$F$18,'Monthly Revenue'!AD14*(1+Assumptions!$F$20)),Assumptions!$F$21),0)</f>
        <v>40.999380868976338</v>
      </c>
      <c r="AF14" s="103">
        <f>IF(AF$8&gt;0, MIN(MAX(Assumptions!$F$19*Assumptions!$F$18,'Monthly Revenue'!AE14*(1+Assumptions!$F$20)),Assumptions!$F$21),0)</f>
        <v>41.819368486355863</v>
      </c>
      <c r="AG14" s="103">
        <f>IF(AG$8&gt;0, MIN(MAX(Assumptions!$F$19*Assumptions!$F$18,'Monthly Revenue'!AF14*(1+Assumptions!$F$20)),Assumptions!$F$21),0)</f>
        <v>42.655755856082983</v>
      </c>
      <c r="AH14" s="103">
        <f>IF(AH$8&gt;0, MIN(MAX(Assumptions!$F$19*Assumptions!$F$18,'Monthly Revenue'!AG14*(1+Assumptions!$F$20)),Assumptions!$F$21),0)</f>
        <v>43.508870973204644</v>
      </c>
      <c r="AI14" s="103">
        <f>IF(AI$8&gt;0, MIN(MAX(Assumptions!$F$19*Assumptions!$F$18,'Monthly Revenue'!AH14*(1+Assumptions!$F$20)),Assumptions!$F$21),0)</f>
        <v>44.379048392668736</v>
      </c>
      <c r="AJ14" s="103">
        <f>IF(AJ$8&gt;0, MIN(MAX(Assumptions!$F$19*Assumptions!$F$18,'Monthly Revenue'!AI14*(1+Assumptions!$F$20)),Assumptions!$F$21),0)</f>
        <v>45.26662936052211</v>
      </c>
      <c r="AK14" s="103">
        <f>IF(AK$8&gt;0, MIN(MAX(Assumptions!$F$19*Assumptions!$F$18,'Monthly Revenue'!AJ14*(1+Assumptions!$F$20)),Assumptions!$F$21),0)</f>
        <v>46.171961947732555</v>
      </c>
      <c r="AL14" s="103">
        <f>IF(AL$8&gt;0, MIN(MAX(Assumptions!$F$19*Assumptions!$F$18,'Monthly Revenue'!AK14*(1+Assumptions!$F$20)),Assumptions!$F$21),0)</f>
        <v>47.095401186687205</v>
      </c>
      <c r="AM14" s="103">
        <f>IF(AM$8&gt;0, MIN(MAX(Assumptions!$F$19*Assumptions!$F$18,'Monthly Revenue'!AL14*(1+Assumptions!$F$20)),Assumptions!$F$21),0)</f>
        <v>48.03730921042095</v>
      </c>
      <c r="AN14" s="103">
        <f>IF(AN$8&gt;0, MIN(MAX(Assumptions!$F$19*Assumptions!$F$18,'Monthly Revenue'!AM14*(1+Assumptions!$F$20)),Assumptions!$F$21),0)</f>
        <v>48.998055394629368</v>
      </c>
      <c r="AO14" s="103"/>
    </row>
    <row r="15" spans="1:41" x14ac:dyDescent="0.25">
      <c r="A15" s="7" t="s">
        <v>102</v>
      </c>
      <c r="AO15" s="103"/>
    </row>
    <row r="16" spans="1:41" x14ac:dyDescent="0.25">
      <c r="A16" t="s">
        <v>4</v>
      </c>
      <c r="E16" s="103">
        <f>IF(E$8&gt;0, MIN(MAX(Assumptions!$C$19*Assumptions!$C$18,'Monthly Revenue'!#REF!*(1+Assumptions!$C$20)),Assumptions!$C$21),0)</f>
        <v>0</v>
      </c>
      <c r="F16" s="103">
        <f>IF(F$8&gt;0, MIN(MAX(Assumptions!$C$19*Assumptions!$C$18,'Monthly Revenue'!E16*(1+Assumptions!$C$20)),Assumptions!$C$21),0)</f>
        <v>0</v>
      </c>
      <c r="G16" s="103">
        <f>IF(G$8&gt;0, MIN(MAX(Assumptions!$C$19*Assumptions!$C$18,'Monthly Revenue'!F16*(1+Assumptions!$C$20)),Assumptions!$C$21),0)</f>
        <v>0</v>
      </c>
      <c r="H16" s="103">
        <f>IF(H$8&gt;0, MIN(MAX(Assumptions!$C$19*Assumptions!$C$18,'Monthly Revenue'!G16*(1+Assumptions!$C$20)),Assumptions!$C$21),0)</f>
        <v>26</v>
      </c>
      <c r="I16" s="103">
        <f>IF(I$8&gt;0, MIN(MAX(Assumptions!$C$19*Assumptions!$C$18,'Monthly Revenue'!H16*(1+Assumptions!$C$20)),Assumptions!$C$21),0)</f>
        <v>27.04</v>
      </c>
      <c r="J16" s="103">
        <f>IF(J$8&gt;0, MIN(MAX(Assumptions!$C$19*Assumptions!$C$18,'Monthly Revenue'!I16*(1+Assumptions!$C$20)),Assumptions!$C$21),0)</f>
        <v>28.121600000000001</v>
      </c>
      <c r="K16" s="103">
        <f>IF(K$8&gt;0, MIN(MAX(Assumptions!$C$19*Assumptions!$C$18,'Monthly Revenue'!J16*(1+Assumptions!$C$20)),Assumptions!$C$21),0)</f>
        <v>29.246464000000003</v>
      </c>
      <c r="L16" s="103">
        <f>IF(L$8&gt;0, MIN(MAX(Assumptions!$C$19*Assumptions!$C$18,'Monthly Revenue'!K16*(1+Assumptions!$C$20)),Assumptions!$C$21),0)</f>
        <v>30.416322560000005</v>
      </c>
      <c r="M16" s="103">
        <f>IF(M$8&gt;0, MIN(MAX(Assumptions!$C$19*Assumptions!$C$18,'Monthly Revenue'!L16*(1+Assumptions!$C$20)),Assumptions!$C$21),0)</f>
        <v>31.632975462400005</v>
      </c>
      <c r="N16" s="103">
        <f>IF(N$8&gt;0, MIN(MAX(Assumptions!$C$19*Assumptions!$C$18,'Monthly Revenue'!M16*(1+Assumptions!$C$20)),Assumptions!$C$21),0)</f>
        <v>32.898294480896006</v>
      </c>
      <c r="O16" s="103">
        <f>IF(O$8&gt;0, MIN(MAX(Assumptions!$C$19*Assumptions!$C$18,'Monthly Revenue'!N16*(1+Assumptions!$C$20)),Assumptions!$C$21),0)</f>
        <v>34.214226260131845</v>
      </c>
      <c r="P16" s="103">
        <f>IF(P$8&gt;0, MIN(MAX(Assumptions!$C$19*Assumptions!$C$18,'Monthly Revenue'!O16*(1+Assumptions!$C$20)),Assumptions!$C$21),0)</f>
        <v>35.582795310537122</v>
      </c>
      <c r="Q16" s="103">
        <f>IF(Q$8&gt;0, MIN(MAX(Assumptions!$C$19*Assumptions!$C$18,'Monthly Revenue'!P16*(1+Assumptions!$C$20)),Assumptions!$C$21),0)</f>
        <v>37.00610712295861</v>
      </c>
      <c r="R16" s="103">
        <f>IF(R$8&gt;0, MIN(MAX(Assumptions!$C$19*Assumptions!$C$18,'Monthly Revenue'!Q16*(1+Assumptions!$C$20)),Assumptions!$C$21),0)</f>
        <v>38.48635140787696</v>
      </c>
      <c r="S16" s="103">
        <f>IF(S$8&gt;0, MIN(MAX(Assumptions!$C$19*Assumptions!$C$18,'Monthly Revenue'!R16*(1+Assumptions!$C$20)),Assumptions!$C$21),0)</f>
        <v>40.02580546419204</v>
      </c>
      <c r="T16" s="103">
        <f>IF(T$8&gt;0, MIN(MAX(Assumptions!$C$19*Assumptions!$C$18,'Monthly Revenue'!S16*(1+Assumptions!$C$20)),Assumptions!$C$21),0)</f>
        <v>41.626837682759721</v>
      </c>
      <c r="U16" s="103">
        <f>IF(U$8&gt;0, MIN(MAX(Assumptions!$C$19*Assumptions!$C$18,'Monthly Revenue'!T16*(1+Assumptions!$C$20)),Assumptions!$C$21),0)</f>
        <v>43.29191119007011</v>
      </c>
      <c r="V16" s="103">
        <f>IF(V$8&gt;0, MIN(MAX(Assumptions!$C$19*Assumptions!$C$18,'Monthly Revenue'!U16*(1+Assumptions!$C$20)),Assumptions!$C$21),0)</f>
        <v>45.023587637672918</v>
      </c>
      <c r="W16" s="103">
        <f>IF(W$8&gt;0, MIN(MAX(Assumptions!$C$19*Assumptions!$C$18,'Monthly Revenue'!V16*(1+Assumptions!$C$20)),Assumptions!$C$21),0)</f>
        <v>46.82453114317984</v>
      </c>
      <c r="X16" s="103">
        <f>IF(X$8&gt;0, MIN(MAX(Assumptions!$C$19*Assumptions!$C$18,'Monthly Revenue'!W16*(1+Assumptions!$C$20)),Assumptions!$C$21),0)</f>
        <v>48.697512388907036</v>
      </c>
      <c r="Y16" s="103">
        <f>IF(Y$8&gt;0, MIN(MAX(Assumptions!$C$19*Assumptions!$C$18,'Monthly Revenue'!X16*(1+Assumptions!$C$20)),Assumptions!$C$21),0)</f>
        <v>50.645412884463319</v>
      </c>
      <c r="Z16" s="103">
        <f>IF(Z$8&gt;0, MIN(MAX(Assumptions!$C$19*Assumptions!$C$18,'Monthly Revenue'!Y16*(1+Assumptions!$C$20)),Assumptions!$C$21),0)</f>
        <v>52.671229399841856</v>
      </c>
      <c r="AA16" s="103">
        <f>IF(AA$8&gt;0, MIN(MAX(Assumptions!$C$19*Assumptions!$C$18,'Monthly Revenue'!Z16*(1+Assumptions!$C$20)),Assumptions!$C$21),0)</f>
        <v>54.778078575835529</v>
      </c>
      <c r="AB16" s="103">
        <f>IF(AB$8&gt;0, MIN(MAX(Assumptions!$C$19*Assumptions!$C$18,'Monthly Revenue'!AA16*(1+Assumptions!$C$20)),Assumptions!$C$21),0)</f>
        <v>56.969201718868952</v>
      </c>
      <c r="AC16" s="103">
        <f>IF(AC$8&gt;0, MIN(MAX(Assumptions!$C$19*Assumptions!$C$18,'Monthly Revenue'!AB16*(1+Assumptions!$C$20)),Assumptions!$C$21),0)</f>
        <v>59.24796978762371</v>
      </c>
      <c r="AD16" s="103">
        <f>IF(AD$8&gt;0, MIN(MAX(Assumptions!$C$19*Assumptions!$C$18,'Monthly Revenue'!AC16*(1+Assumptions!$C$20)),Assumptions!$C$21),0)</f>
        <v>61.61788857912866</v>
      </c>
      <c r="AE16" s="103">
        <f>IF(AE$8&gt;0, MIN(MAX(Assumptions!$C$19*Assumptions!$C$18,'Monthly Revenue'!AD16*(1+Assumptions!$C$20)),Assumptions!$C$21),0)</f>
        <v>64.082604122293816</v>
      </c>
      <c r="AF16" s="103">
        <f>IF(AF$8&gt;0, MIN(MAX(Assumptions!$C$19*Assumptions!$C$18,'Monthly Revenue'!AE16*(1+Assumptions!$C$20)),Assumptions!$C$21),0)</f>
        <v>66.645908287185577</v>
      </c>
      <c r="AG16" s="103">
        <f>IF(AG$8&gt;0, MIN(MAX(Assumptions!$C$19*Assumptions!$C$18,'Monthly Revenue'!AF16*(1+Assumptions!$C$20)),Assumptions!$C$21),0)</f>
        <v>69.311744618673004</v>
      </c>
      <c r="AH16" s="103">
        <f>IF(AH$8&gt;0, MIN(MAX(Assumptions!$C$19*Assumptions!$C$18,'Monthly Revenue'!AG16*(1+Assumptions!$C$20)),Assumptions!$C$21),0)</f>
        <v>72.084214403419921</v>
      </c>
      <c r="AI16" s="103">
        <f>IF(AI$8&gt;0, MIN(MAX(Assumptions!$C$19*Assumptions!$C$18,'Monthly Revenue'!AH16*(1+Assumptions!$C$20)),Assumptions!$C$21),0)</f>
        <v>74.967582979556724</v>
      </c>
      <c r="AJ16" s="103">
        <f>IF(AJ$8&gt;0, MIN(MAX(Assumptions!$C$19*Assumptions!$C$18,'Monthly Revenue'!AI16*(1+Assumptions!$C$20)),Assumptions!$C$21),0)</f>
        <v>77.966286298738993</v>
      </c>
      <c r="AK16" s="103">
        <f>IF(AK$8&gt;0, MIN(MAX(Assumptions!$C$19*Assumptions!$C$18,'Monthly Revenue'!AJ16*(1+Assumptions!$C$20)),Assumptions!$C$21),0)</f>
        <v>80</v>
      </c>
      <c r="AL16" s="103">
        <f>IF(AL$8&gt;0, MIN(MAX(Assumptions!$C$19*Assumptions!$C$18,'Monthly Revenue'!AK16*(1+Assumptions!$C$20)),Assumptions!$C$21),0)</f>
        <v>80</v>
      </c>
      <c r="AM16" s="103">
        <f>IF(AM$8&gt;0, MIN(MAX(Assumptions!$C$19*Assumptions!$C$18,'Monthly Revenue'!AL16*(1+Assumptions!$C$20)),Assumptions!$C$21),0)</f>
        <v>80</v>
      </c>
      <c r="AN16" s="103">
        <f>IF(AN$8&gt;0, MIN(MAX(Assumptions!$C$19*Assumptions!$C$18,'Monthly Revenue'!AM16*(1+Assumptions!$C$20)),Assumptions!$C$21),0)</f>
        <v>80</v>
      </c>
      <c r="AO16" s="103"/>
    </row>
    <row r="17" spans="1:41" x14ac:dyDescent="0.25">
      <c r="A17" t="s">
        <v>16</v>
      </c>
      <c r="E17" s="103">
        <f>IF(E$8&gt;0, MIN(MAX(Assumptions!$G$19*Assumptions!$G$18,'Monthly Revenue'!D16*(1+Assumptions!$G$20)),Assumptions!$G$21),0)</f>
        <v>0</v>
      </c>
      <c r="F17" s="103">
        <f>IF(F$8&gt;0, MIN(MAX(Assumptions!$G$19*Assumptions!$G$18,'Monthly Revenue'!E17*(1+Assumptions!$G$20)),Assumptions!$G$21),0)</f>
        <v>0</v>
      </c>
      <c r="G17" s="103">
        <f>IF(G$8&gt;0, MIN(MAX(Assumptions!$G$19*Assumptions!$G$18,'Monthly Revenue'!F17*(1+Assumptions!$G$20)),Assumptions!$G$21),0)</f>
        <v>0</v>
      </c>
      <c r="H17" s="103">
        <f>IF(H$8&gt;0, MIN(MAX(Assumptions!$G$19*Assumptions!$G$18,'Monthly Revenue'!G17*(1+Assumptions!$G$20)),Assumptions!$G$21),0)</f>
        <v>30</v>
      </c>
      <c r="I17" s="103">
        <f>IF(I$8&gt;0, MIN(MAX(Assumptions!$G$19*Assumptions!$G$18,'Monthly Revenue'!H17*(1+Assumptions!$G$20)),Assumptions!$G$21),0)</f>
        <v>31.200000000000003</v>
      </c>
      <c r="J17" s="103">
        <f>IF(J$8&gt;0, MIN(MAX(Assumptions!$G$19*Assumptions!$G$18,'Monthly Revenue'!I17*(1+Assumptions!$G$20)),Assumptions!$G$21),0)</f>
        <v>32.448000000000008</v>
      </c>
      <c r="K17" s="103">
        <f>IF(K$8&gt;0, MIN(MAX(Assumptions!$G$19*Assumptions!$G$18,'Monthly Revenue'!J17*(1+Assumptions!$G$20)),Assumptions!$G$21),0)</f>
        <v>33.745920000000012</v>
      </c>
      <c r="L17" s="103">
        <f>IF(L$8&gt;0, MIN(MAX(Assumptions!$G$19*Assumptions!$G$18,'Monthly Revenue'!K17*(1+Assumptions!$G$20)),Assumptions!$G$21),0)</f>
        <v>35.095756800000011</v>
      </c>
      <c r="M17" s="103">
        <f>IF(M$8&gt;0, MIN(MAX(Assumptions!$G$19*Assumptions!$G$18,'Monthly Revenue'!L17*(1+Assumptions!$G$20)),Assumptions!$G$21),0)</f>
        <v>36.499587072000011</v>
      </c>
      <c r="N17" s="103">
        <f>IF(N$8&gt;0, MIN(MAX(Assumptions!$G$19*Assumptions!$G$18,'Monthly Revenue'!M17*(1+Assumptions!$G$20)),Assumptions!$G$21),0)</f>
        <v>37.95957055488001</v>
      </c>
      <c r="O17" s="103">
        <f>IF(O$8&gt;0, MIN(MAX(Assumptions!$G$19*Assumptions!$G$18,'Monthly Revenue'!N17*(1+Assumptions!$G$20)),Assumptions!$G$21),0)</f>
        <v>39.47795337707521</v>
      </c>
      <c r="P17" s="103">
        <f>IF(P$8&gt;0, MIN(MAX(Assumptions!$G$19*Assumptions!$G$18,'Monthly Revenue'!O17*(1+Assumptions!$G$20)),Assumptions!$G$21),0)</f>
        <v>41.057071512158217</v>
      </c>
      <c r="Q17" s="103">
        <f>IF(Q$8&gt;0, MIN(MAX(Assumptions!$G$19*Assumptions!$G$18,'Monthly Revenue'!P17*(1+Assumptions!$G$20)),Assumptions!$G$21),0)</f>
        <v>42.699354372644549</v>
      </c>
      <c r="R17" s="103">
        <f>IF(R$8&gt;0, MIN(MAX(Assumptions!$G$19*Assumptions!$G$18,'Monthly Revenue'!Q17*(1+Assumptions!$G$20)),Assumptions!$G$21),0)</f>
        <v>44.407328547550335</v>
      </c>
      <c r="S17" s="103">
        <f>IF(S$8&gt;0, MIN(MAX(Assumptions!$G$19*Assumptions!$G$18,'Monthly Revenue'!R17*(1+Assumptions!$G$20)),Assumptions!$G$21),0)</f>
        <v>46.183621689452352</v>
      </c>
      <c r="T17" s="103">
        <f>IF(T$8&gt;0, MIN(MAX(Assumptions!$G$19*Assumptions!$G$18,'Monthly Revenue'!S17*(1+Assumptions!$G$20)),Assumptions!$G$21),0)</f>
        <v>48.030966557030446</v>
      </c>
      <c r="U17" s="103">
        <f>IF(U$8&gt;0, MIN(MAX(Assumptions!$G$19*Assumptions!$G$18,'Monthly Revenue'!T17*(1+Assumptions!$G$20)),Assumptions!$G$21),0)</f>
        <v>49.952205219311665</v>
      </c>
      <c r="V17" s="103">
        <f>IF(V$8&gt;0, MIN(MAX(Assumptions!$G$19*Assumptions!$G$18,'Monthly Revenue'!U17*(1+Assumptions!$G$20)),Assumptions!$G$21),0)</f>
        <v>51.95029342808413</v>
      </c>
      <c r="W17" s="103">
        <f>IF(W$8&gt;0, MIN(MAX(Assumptions!$G$19*Assumptions!$G$18,'Monthly Revenue'!V17*(1+Assumptions!$G$20)),Assumptions!$G$21),0)</f>
        <v>54.028305165207499</v>
      </c>
      <c r="X17" s="103">
        <f>IF(X$8&gt;0, MIN(MAX(Assumptions!$G$19*Assumptions!$G$18,'Monthly Revenue'!W17*(1+Assumptions!$G$20)),Assumptions!$G$21),0)</f>
        <v>56.189437371815799</v>
      </c>
      <c r="Y17" s="103">
        <f>IF(Y$8&gt;0, MIN(MAX(Assumptions!$G$19*Assumptions!$G$18,'Monthly Revenue'!X17*(1+Assumptions!$G$20)),Assumptions!$G$21),0)</f>
        <v>58.437014866688436</v>
      </c>
      <c r="Z17" s="103">
        <f>IF(Z$8&gt;0, MIN(MAX(Assumptions!$G$19*Assumptions!$G$18,'Monthly Revenue'!Y17*(1+Assumptions!$G$20)),Assumptions!$G$21),0)</f>
        <v>60.774495461355976</v>
      </c>
      <c r="AA17" s="103">
        <f>IF(AA$8&gt;0, MIN(MAX(Assumptions!$G$19*Assumptions!$G$18,'Monthly Revenue'!Z17*(1+Assumptions!$G$20)),Assumptions!$G$21),0)</f>
        <v>63.205475279810216</v>
      </c>
      <c r="AB17" s="103">
        <f>IF(AB$8&gt;0, MIN(MAX(Assumptions!$G$19*Assumptions!$G$18,'Monthly Revenue'!AA17*(1+Assumptions!$G$20)),Assumptions!$G$21),0)</f>
        <v>65.733694291002621</v>
      </c>
      <c r="AC17" s="103">
        <f>IF(AC$8&gt;0, MIN(MAX(Assumptions!$G$19*Assumptions!$G$18,'Monthly Revenue'!AB17*(1+Assumptions!$G$20)),Assumptions!$G$21),0)</f>
        <v>68.363042062642734</v>
      </c>
      <c r="AD17" s="103">
        <f>IF(AD$8&gt;0, MIN(MAX(Assumptions!$G$19*Assumptions!$G$18,'Monthly Revenue'!AC17*(1+Assumptions!$G$20)),Assumptions!$G$21),0)</f>
        <v>71.097563745148449</v>
      </c>
      <c r="AE17" s="103">
        <f>IF(AE$8&gt;0, MIN(MAX(Assumptions!$G$19*Assumptions!$G$18,'Monthly Revenue'!AD17*(1+Assumptions!$G$20)),Assumptions!$G$21),0)</f>
        <v>73.941466294954395</v>
      </c>
      <c r="AF17" s="103">
        <f>IF(AF$8&gt;0, MIN(MAX(Assumptions!$G$19*Assumptions!$G$18,'Monthly Revenue'!AE17*(1+Assumptions!$G$20)),Assumptions!$G$21),0)</f>
        <v>76.899124946752579</v>
      </c>
      <c r="AG17" s="103">
        <f>IF(AG$8&gt;0, MIN(MAX(Assumptions!$G$19*Assumptions!$G$18,'Monthly Revenue'!AF17*(1+Assumptions!$G$20)),Assumptions!$G$21),0)</f>
        <v>79.975089944622681</v>
      </c>
      <c r="AH17" s="103">
        <f>IF(AH$8&gt;0, MIN(MAX(Assumptions!$G$19*Assumptions!$G$18,'Monthly Revenue'!AG17*(1+Assumptions!$G$20)),Assumptions!$G$21),0)</f>
        <v>83.17409354240759</v>
      </c>
      <c r="AI17" s="103">
        <f>IF(AI$8&gt;0, MIN(MAX(Assumptions!$G$19*Assumptions!$G$18,'Monthly Revenue'!AH17*(1+Assumptions!$G$20)),Assumptions!$G$21),0)</f>
        <v>86.501057284103894</v>
      </c>
      <c r="AJ17" s="103">
        <f>IF(AJ$8&gt;0, MIN(MAX(Assumptions!$G$19*Assumptions!$G$18,'Monthly Revenue'!AI17*(1+Assumptions!$G$20)),Assumptions!$G$21),0)</f>
        <v>89.961099575468054</v>
      </c>
      <c r="AK17" s="103">
        <f>IF(AK$8&gt;0, MIN(MAX(Assumptions!$G$19*Assumptions!$G$18,'Monthly Revenue'!AJ17*(1+Assumptions!$G$20)),Assumptions!$G$21),0)</f>
        <v>90</v>
      </c>
      <c r="AL17" s="103">
        <f>IF(AL$8&gt;0, MIN(MAX(Assumptions!$G$19*Assumptions!$G$18,'Monthly Revenue'!AK17*(1+Assumptions!$G$20)),Assumptions!$G$21),0)</f>
        <v>90</v>
      </c>
      <c r="AM17" s="103">
        <f>IF(AM$8&gt;0, MIN(MAX(Assumptions!$G$19*Assumptions!$G$18,'Monthly Revenue'!AL17*(1+Assumptions!$G$20)),Assumptions!$G$21),0)</f>
        <v>90</v>
      </c>
      <c r="AN17" s="103">
        <f>IF(AN$8&gt;0, MIN(MAX(Assumptions!$G$19*Assumptions!$G$18,'Monthly Revenue'!AM17*(1+Assumptions!$G$20)),Assumptions!$G$21),0)</f>
        <v>90</v>
      </c>
      <c r="AO17" s="103"/>
    </row>
    <row r="18" spans="1:41" x14ac:dyDescent="0.25">
      <c r="AO18" s="103"/>
    </row>
    <row r="19" spans="1:41" x14ac:dyDescent="0.25">
      <c r="A19" s="7" t="s">
        <v>103</v>
      </c>
      <c r="AO19" s="103"/>
    </row>
    <row r="20" spans="1:41" x14ac:dyDescent="0.25">
      <c r="A20" s="7" t="s">
        <v>2</v>
      </c>
      <c r="AO20" s="103"/>
    </row>
    <row r="21" spans="1:41" x14ac:dyDescent="0.25">
      <c r="A21" s="7" t="s">
        <v>4</v>
      </c>
      <c r="AO21" s="103"/>
    </row>
    <row r="22" spans="1:41" x14ac:dyDescent="0.25">
      <c r="A22" s="104" t="s">
        <v>6</v>
      </c>
      <c r="E22" s="103">
        <f>IF(MOD(E$5,12)=4,MAX(D22*(1+Assumptions!$B$14),Assumptions!$B11),'Monthly Revenue'!D22)</f>
        <v>0</v>
      </c>
      <c r="F22" s="103">
        <f>IF(MOD(F$5,12)=4,MAX(E22*(1+Assumptions!$B$14),Assumptions!$B11),'Monthly Revenue'!E22)</f>
        <v>0</v>
      </c>
      <c r="G22" s="103">
        <f>IF(MOD(G$5,12)=4,MAX(F22*(1+Assumptions!$B$14),Assumptions!$B11),'Monthly Revenue'!F22)</f>
        <v>0</v>
      </c>
      <c r="H22" s="103">
        <f>IF(MOD(H$5,12)=4,MAX(G22*(1+Assumptions!$B$14),Assumptions!$B11),'Monthly Revenue'!G22)</f>
        <v>700</v>
      </c>
      <c r="I22" s="103">
        <f>IF(MOD(I$5,12)=4,MAX(H22*(1+Assumptions!$B$14),Assumptions!$B11),'Monthly Revenue'!H22)</f>
        <v>700</v>
      </c>
      <c r="J22" s="103">
        <f>IF(MOD(J$5,12)=4,MAX(I22*(1+Assumptions!$B$14),Assumptions!$B11),'Monthly Revenue'!I22)</f>
        <v>700</v>
      </c>
      <c r="K22" s="103">
        <f>IF(MOD(K$5,12)=4,MAX(J22*(1+Assumptions!$B$14),Assumptions!$B11),'Monthly Revenue'!J22)</f>
        <v>700</v>
      </c>
      <c r="L22" s="103">
        <f>IF(MOD(L$5,12)=4,MAX(K22*(1+Assumptions!$B$14),Assumptions!$B11),'Monthly Revenue'!K22)</f>
        <v>700</v>
      </c>
      <c r="M22" s="103">
        <f>IF(MOD(M$5,12)=4,MAX(L22*(1+Assumptions!$B$14),Assumptions!$B11),'Monthly Revenue'!L22)</f>
        <v>700</v>
      </c>
      <c r="N22" s="103">
        <f>IF(MOD(N$5,12)=4,MAX(M22*(1+Assumptions!$B$14),Assumptions!$B11),'Monthly Revenue'!M22)</f>
        <v>700</v>
      </c>
      <c r="O22" s="103">
        <f>IF(MOD(O$5,12)=4,MAX(N22*(1+Assumptions!$B$14),Assumptions!$B11),'Monthly Revenue'!N22)</f>
        <v>700</v>
      </c>
      <c r="P22" s="103">
        <f>IF(MOD(P$5,12)=4,MAX(O22*(1+Assumptions!$B$14),Assumptions!$B11),'Monthly Revenue'!O22)</f>
        <v>700</v>
      </c>
      <c r="Q22" s="103">
        <f>IF(MOD(Q$5,12)=4,MAX(P22*(1+Assumptions!$B$14),Assumptions!$B11),'Monthly Revenue'!P22)</f>
        <v>700</v>
      </c>
      <c r="R22" s="103">
        <f>IF(MOD(R$5,12)=4,MAX(Q22*(1+Assumptions!$B$14),Assumptions!$B11),'Monthly Revenue'!Q22)</f>
        <v>700</v>
      </c>
      <c r="S22" s="103">
        <f>IF(MOD(S$5,12)=4,MAX(R22*(1+Assumptions!$B$14),Assumptions!$B11),'Monthly Revenue'!R22)</f>
        <v>700</v>
      </c>
      <c r="T22" s="103">
        <f>IF(MOD(T$5,12)=4,MAX(S22*(1+Assumptions!$B$14),Assumptions!$B11),'Monthly Revenue'!S22)</f>
        <v>735</v>
      </c>
      <c r="U22" s="103">
        <f>IF(MOD(U$5,12)=4,MAX(T22*(1+Assumptions!$B$14),Assumptions!$B11),'Monthly Revenue'!T22)</f>
        <v>735</v>
      </c>
      <c r="V22" s="103">
        <f>IF(MOD(V$5,12)=4,MAX(U22*(1+Assumptions!$B$14),Assumptions!$B11),'Monthly Revenue'!U22)</f>
        <v>735</v>
      </c>
      <c r="W22" s="103">
        <f>IF(MOD(W$5,12)=4,MAX(V22*(1+Assumptions!$B$14),Assumptions!$B11),'Monthly Revenue'!V22)</f>
        <v>735</v>
      </c>
      <c r="X22" s="103">
        <f>IF(MOD(X$5,12)=4,MAX(W22*(1+Assumptions!$B$14),Assumptions!$B11),'Monthly Revenue'!W22)</f>
        <v>735</v>
      </c>
      <c r="Y22" s="103">
        <f>IF(MOD(Y$5,12)=4,MAX(X22*(1+Assumptions!$B$14),Assumptions!$B11),'Monthly Revenue'!X22)</f>
        <v>735</v>
      </c>
      <c r="Z22" s="103">
        <f>IF(MOD(Z$5,12)=4,MAX(Y22*(1+Assumptions!$B$14),Assumptions!$B11),'Monthly Revenue'!Y22)</f>
        <v>735</v>
      </c>
      <c r="AA22" s="103">
        <f>IF(MOD(AA$5,12)=4,MAX(Z22*(1+Assumptions!$B$14),Assumptions!$B11),'Monthly Revenue'!Z22)</f>
        <v>735</v>
      </c>
      <c r="AB22" s="103">
        <f>IF(MOD(AB$5,12)=4,MAX(AA22*(1+Assumptions!$B$14),Assumptions!$B11),'Monthly Revenue'!AA22)</f>
        <v>735</v>
      </c>
      <c r="AC22" s="103">
        <f>IF(MOD(AC$5,12)=4,MAX(AB22*(1+Assumptions!$B$14),Assumptions!$B11),'Monthly Revenue'!AB22)</f>
        <v>735</v>
      </c>
      <c r="AD22" s="103">
        <f>IF(MOD(AD$5,12)=4,MAX(AC22*(1+Assumptions!$B$14),Assumptions!$B11),'Monthly Revenue'!AC22)</f>
        <v>735</v>
      </c>
      <c r="AE22" s="103">
        <f>IF(MOD(AE$5,12)=4,MAX(AD22*(1+Assumptions!$B$14),Assumptions!$B11),'Monthly Revenue'!AD22)</f>
        <v>735</v>
      </c>
      <c r="AF22" s="103">
        <f>IF(MOD(AF$5,12)=4,MAX(AE22*(1+Assumptions!$B$14),Assumptions!$B11),'Monthly Revenue'!AE22)</f>
        <v>771.75</v>
      </c>
      <c r="AG22" s="103">
        <f>IF(MOD(AG$5,12)=4,MAX(AF22*(1+Assumptions!$B$14),Assumptions!$B11),'Monthly Revenue'!AF22)</f>
        <v>771.75</v>
      </c>
      <c r="AH22" s="103">
        <f>IF(MOD(AH$5,12)=4,MAX(AG22*(1+Assumptions!$B$14),Assumptions!$B11),'Monthly Revenue'!AG22)</f>
        <v>771.75</v>
      </c>
      <c r="AI22" s="103">
        <f>IF(MOD(AI$5,12)=4,MAX(AH22*(1+Assumptions!$B$14),Assumptions!$B11),'Monthly Revenue'!AH22)</f>
        <v>771.75</v>
      </c>
      <c r="AJ22" s="103">
        <f>IF(MOD(AJ$5,12)=4,MAX(AI22*(1+Assumptions!$B$14),Assumptions!$B11),'Monthly Revenue'!AI22)</f>
        <v>771.75</v>
      </c>
      <c r="AK22" s="103">
        <f>IF(MOD(AK$5,12)=4,MAX(AJ22*(1+Assumptions!$B$14),Assumptions!$B11),'Monthly Revenue'!AJ22)</f>
        <v>771.75</v>
      </c>
      <c r="AL22" s="103">
        <f>IF(MOD(AL$5,12)=4,MAX(AK22*(1+Assumptions!$B$14),Assumptions!$B11),'Monthly Revenue'!AK22)</f>
        <v>771.75</v>
      </c>
      <c r="AM22" s="103">
        <f>IF(MOD(AM$5,12)=4,MAX(AL22*(1+Assumptions!$B$14),Assumptions!$B11),'Monthly Revenue'!AL22)</f>
        <v>771.75</v>
      </c>
      <c r="AN22" s="103">
        <f>IF(MOD(AN$5,12)=4,MAX(AM22*(1+Assumptions!$B$14),Assumptions!$B11),'Monthly Revenue'!AM22)</f>
        <v>771.75</v>
      </c>
      <c r="AO22" s="103"/>
    </row>
    <row r="23" spans="1:41" x14ac:dyDescent="0.25">
      <c r="A23" s="104" t="s">
        <v>7</v>
      </c>
      <c r="E23" s="103">
        <f>IF(MOD(E$5,12)=4,MAX(D23*(1+Assumptions!$B$14),Assumptions!$B12),'Monthly Revenue'!D23)</f>
        <v>0</v>
      </c>
      <c r="F23" s="103">
        <f>IF(MOD(F$5,12)=4,MAX(E23*(1+Assumptions!$B$14),Assumptions!$B12),'Monthly Revenue'!E23)</f>
        <v>0</v>
      </c>
      <c r="G23" s="103">
        <f>IF(MOD(G$5,12)=4,MAX(F23*(1+Assumptions!$B$14),Assumptions!$B12),'Monthly Revenue'!F23)</f>
        <v>0</v>
      </c>
      <c r="H23" s="103">
        <f>IF(MOD(H$5,12)=4,MAX(G23*(1+Assumptions!$B$14),Assumptions!$B12),'Monthly Revenue'!G23)</f>
        <v>300</v>
      </c>
      <c r="I23" s="103">
        <f>IF(MOD(I$5,12)=4,MAX(H23*(1+Assumptions!$B$14),Assumptions!$B12),'Monthly Revenue'!H23)</f>
        <v>300</v>
      </c>
      <c r="J23" s="103">
        <f>IF(MOD(J$5,12)=4,MAX(I23*(1+Assumptions!$B$14),Assumptions!$B12),'Monthly Revenue'!I23)</f>
        <v>300</v>
      </c>
      <c r="K23" s="103">
        <f>IF(MOD(K$5,12)=4,MAX(J23*(1+Assumptions!$B$14),Assumptions!$B12),'Monthly Revenue'!J23)</f>
        <v>300</v>
      </c>
      <c r="L23" s="103">
        <f>IF(MOD(L$5,12)=4,MAX(K23*(1+Assumptions!$B$14),Assumptions!$B12),'Monthly Revenue'!K23)</f>
        <v>300</v>
      </c>
      <c r="M23" s="103">
        <f>IF(MOD(M$5,12)=4,MAX(L23*(1+Assumptions!$B$14),Assumptions!$B12),'Monthly Revenue'!L23)</f>
        <v>300</v>
      </c>
      <c r="N23" s="103">
        <f>IF(MOD(N$5,12)=4,MAX(M23*(1+Assumptions!$B$14),Assumptions!$B12),'Monthly Revenue'!M23)</f>
        <v>300</v>
      </c>
      <c r="O23" s="103">
        <f>IF(MOD(O$5,12)=4,MAX(N23*(1+Assumptions!$B$14),Assumptions!$B12),'Monthly Revenue'!N23)</f>
        <v>300</v>
      </c>
      <c r="P23" s="103">
        <f>IF(MOD(P$5,12)=4,MAX(O23*(1+Assumptions!$B$14),Assumptions!$B12),'Monthly Revenue'!O23)</f>
        <v>300</v>
      </c>
      <c r="Q23" s="103">
        <f>IF(MOD(Q$5,12)=4,MAX(P23*(1+Assumptions!$B$14),Assumptions!$B12),'Monthly Revenue'!P23)</f>
        <v>300</v>
      </c>
      <c r="R23" s="103">
        <f>IF(MOD(R$5,12)=4,MAX(Q23*(1+Assumptions!$B$14),Assumptions!$B12),'Monthly Revenue'!Q23)</f>
        <v>300</v>
      </c>
      <c r="S23" s="103">
        <f>IF(MOD(S$5,12)=4,MAX(R23*(1+Assumptions!$B$14),Assumptions!$B12),'Monthly Revenue'!R23)</f>
        <v>300</v>
      </c>
      <c r="T23" s="103">
        <f>IF(MOD(T$5,12)=4,MAX(S23*(1+Assumptions!$B$14),Assumptions!$B12),'Monthly Revenue'!S23)</f>
        <v>315</v>
      </c>
      <c r="U23" s="103">
        <f>IF(MOD(U$5,12)=4,MAX(T23*(1+Assumptions!$B$14),Assumptions!$B12),'Monthly Revenue'!T23)</f>
        <v>315</v>
      </c>
      <c r="V23" s="103">
        <f>IF(MOD(V$5,12)=4,MAX(U23*(1+Assumptions!$B$14),Assumptions!$B12),'Monthly Revenue'!U23)</f>
        <v>315</v>
      </c>
      <c r="W23" s="103">
        <f>IF(MOD(W$5,12)=4,MAX(V23*(1+Assumptions!$B$14),Assumptions!$B12),'Monthly Revenue'!V23)</f>
        <v>315</v>
      </c>
      <c r="X23" s="103">
        <f>IF(MOD(X$5,12)=4,MAX(W23*(1+Assumptions!$B$14),Assumptions!$B12),'Monthly Revenue'!W23)</f>
        <v>315</v>
      </c>
      <c r="Y23" s="103">
        <f>IF(MOD(Y$5,12)=4,MAX(X23*(1+Assumptions!$B$14),Assumptions!$B12),'Monthly Revenue'!X23)</f>
        <v>315</v>
      </c>
      <c r="Z23" s="103">
        <f>IF(MOD(Z$5,12)=4,MAX(Y23*(1+Assumptions!$B$14),Assumptions!$B12),'Monthly Revenue'!Y23)</f>
        <v>315</v>
      </c>
      <c r="AA23" s="103">
        <f>IF(MOD(AA$5,12)=4,MAX(Z23*(1+Assumptions!$B$14),Assumptions!$B12),'Monthly Revenue'!Z23)</f>
        <v>315</v>
      </c>
      <c r="AB23" s="103">
        <f>IF(MOD(AB$5,12)=4,MAX(AA23*(1+Assumptions!$B$14),Assumptions!$B12),'Monthly Revenue'!AA23)</f>
        <v>315</v>
      </c>
      <c r="AC23" s="103">
        <f>IF(MOD(AC$5,12)=4,MAX(AB23*(1+Assumptions!$B$14),Assumptions!$B12),'Monthly Revenue'!AB23)</f>
        <v>315</v>
      </c>
      <c r="AD23" s="103">
        <f>IF(MOD(AD$5,12)=4,MAX(AC23*(1+Assumptions!$B$14),Assumptions!$B12),'Monthly Revenue'!AC23)</f>
        <v>315</v>
      </c>
      <c r="AE23" s="103">
        <f>IF(MOD(AE$5,12)=4,MAX(AD23*(1+Assumptions!$B$14),Assumptions!$B12),'Monthly Revenue'!AD23)</f>
        <v>315</v>
      </c>
      <c r="AF23" s="103">
        <f>IF(MOD(AF$5,12)=4,MAX(AE23*(1+Assumptions!$B$14),Assumptions!$B12),'Monthly Revenue'!AE23)</f>
        <v>330.75</v>
      </c>
      <c r="AG23" s="103">
        <f>IF(MOD(AG$5,12)=4,MAX(AF23*(1+Assumptions!$B$14),Assumptions!$B12),'Monthly Revenue'!AF23)</f>
        <v>330.75</v>
      </c>
      <c r="AH23" s="103">
        <f>IF(MOD(AH$5,12)=4,MAX(AG23*(1+Assumptions!$B$14),Assumptions!$B12),'Monthly Revenue'!AG23)</f>
        <v>330.75</v>
      </c>
      <c r="AI23" s="103">
        <f>IF(MOD(AI$5,12)=4,MAX(AH23*(1+Assumptions!$B$14),Assumptions!$B12),'Monthly Revenue'!AH23)</f>
        <v>330.75</v>
      </c>
      <c r="AJ23" s="103">
        <f>IF(MOD(AJ$5,12)=4,MAX(AI23*(1+Assumptions!$B$14),Assumptions!$B12),'Monthly Revenue'!AI23)</f>
        <v>330.75</v>
      </c>
      <c r="AK23" s="103">
        <f>IF(MOD(AK$5,12)=4,MAX(AJ23*(1+Assumptions!$B$14),Assumptions!$B12),'Monthly Revenue'!AJ23)</f>
        <v>330.75</v>
      </c>
      <c r="AL23" s="103">
        <f>IF(MOD(AL$5,12)=4,MAX(AK23*(1+Assumptions!$B$14),Assumptions!$B12),'Monthly Revenue'!AK23)</f>
        <v>330.75</v>
      </c>
      <c r="AM23" s="103">
        <f>IF(MOD(AM$5,12)=4,MAX(AL23*(1+Assumptions!$B$14),Assumptions!$B12),'Monthly Revenue'!AL23)</f>
        <v>330.75</v>
      </c>
      <c r="AN23" s="103">
        <f>IF(MOD(AN$5,12)=4,MAX(AM23*(1+Assumptions!$B$14),Assumptions!$B12),'Monthly Revenue'!AM23)</f>
        <v>330.75</v>
      </c>
      <c r="AO23" s="103"/>
    </row>
    <row r="24" spans="1:41" x14ac:dyDescent="0.25">
      <c r="A24" s="104" t="s">
        <v>8</v>
      </c>
      <c r="E24" s="103">
        <f>IF(MOD(E$5,12)=4,MAX(D24*(1+Assumptions!$B$14),Assumptions!$B13),'Monthly Revenue'!D24)</f>
        <v>0</v>
      </c>
      <c r="F24" s="103">
        <f>IF(MOD(F$5,12)=4,MAX(E24*(1+Assumptions!$B$14),Assumptions!$B13),'Monthly Revenue'!E24)</f>
        <v>0</v>
      </c>
      <c r="G24" s="103">
        <f>IF(MOD(G$5,12)=4,MAX(F24*(1+Assumptions!$B$14),Assumptions!$B13),'Monthly Revenue'!F24)</f>
        <v>0</v>
      </c>
      <c r="H24" s="103">
        <f>IF(MOD(H$5,12)=4,MAX(G24*(1+Assumptions!$B$14),Assumptions!$B13),'Monthly Revenue'!G24)</f>
        <v>1100</v>
      </c>
      <c r="I24" s="103">
        <f>IF(MOD(I$5,12)=4,MAX(H24*(1+Assumptions!$B$14),Assumptions!$B13),'Monthly Revenue'!H24)</f>
        <v>1100</v>
      </c>
      <c r="J24" s="103">
        <f>IF(MOD(J$5,12)=4,MAX(I24*(1+Assumptions!$B$14),Assumptions!$B13),'Monthly Revenue'!I24)</f>
        <v>1100</v>
      </c>
      <c r="K24" s="103">
        <f>IF(MOD(K$5,12)=4,MAX(J24*(1+Assumptions!$B$14),Assumptions!$B13),'Monthly Revenue'!J24)</f>
        <v>1100</v>
      </c>
      <c r="L24" s="103">
        <f>IF(MOD(L$5,12)=4,MAX(K24*(1+Assumptions!$B$14),Assumptions!$B13),'Monthly Revenue'!K24)</f>
        <v>1100</v>
      </c>
      <c r="M24" s="103">
        <f>IF(MOD(M$5,12)=4,MAX(L24*(1+Assumptions!$B$14),Assumptions!$B13),'Monthly Revenue'!L24)</f>
        <v>1100</v>
      </c>
      <c r="N24" s="103">
        <f>IF(MOD(N$5,12)=4,MAX(M24*(1+Assumptions!$B$14),Assumptions!$B13),'Monthly Revenue'!M24)</f>
        <v>1100</v>
      </c>
      <c r="O24" s="103">
        <f>IF(MOD(O$5,12)=4,MAX(N24*(1+Assumptions!$B$14),Assumptions!$B13),'Monthly Revenue'!N24)</f>
        <v>1100</v>
      </c>
      <c r="P24" s="103">
        <f>IF(MOD(P$5,12)=4,MAX(O24*(1+Assumptions!$B$14),Assumptions!$B13),'Monthly Revenue'!O24)</f>
        <v>1100</v>
      </c>
      <c r="Q24" s="103">
        <f>IF(MOD(Q$5,12)=4,MAX(P24*(1+Assumptions!$B$14),Assumptions!$B13),'Monthly Revenue'!P24)</f>
        <v>1100</v>
      </c>
      <c r="R24" s="103">
        <f>IF(MOD(R$5,12)=4,MAX(Q24*(1+Assumptions!$B$14),Assumptions!$B13),'Monthly Revenue'!Q24)</f>
        <v>1100</v>
      </c>
      <c r="S24" s="103">
        <f>IF(MOD(S$5,12)=4,MAX(R24*(1+Assumptions!$B$14),Assumptions!$B13),'Monthly Revenue'!R24)</f>
        <v>1100</v>
      </c>
      <c r="T24" s="103">
        <f>IF(MOD(T$5,12)=4,MAX(S24*(1+Assumptions!$B$14),Assumptions!$B13),'Monthly Revenue'!S24)</f>
        <v>1155</v>
      </c>
      <c r="U24" s="103">
        <f>IF(MOD(U$5,12)=4,MAX(T24*(1+Assumptions!$B$14),Assumptions!$B13),'Monthly Revenue'!T24)</f>
        <v>1155</v>
      </c>
      <c r="V24" s="103">
        <f>IF(MOD(V$5,12)=4,MAX(U24*(1+Assumptions!$B$14),Assumptions!$B13),'Monthly Revenue'!U24)</f>
        <v>1155</v>
      </c>
      <c r="W24" s="103">
        <f>IF(MOD(W$5,12)=4,MAX(V24*(1+Assumptions!$B$14),Assumptions!$B13),'Monthly Revenue'!V24)</f>
        <v>1155</v>
      </c>
      <c r="X24" s="103">
        <f>IF(MOD(X$5,12)=4,MAX(W24*(1+Assumptions!$B$14),Assumptions!$B13),'Monthly Revenue'!W24)</f>
        <v>1155</v>
      </c>
      <c r="Y24" s="103">
        <f>IF(MOD(Y$5,12)=4,MAX(X24*(1+Assumptions!$B$14),Assumptions!$B13),'Monthly Revenue'!X24)</f>
        <v>1155</v>
      </c>
      <c r="Z24" s="103">
        <f>IF(MOD(Z$5,12)=4,MAX(Y24*(1+Assumptions!$B$14),Assumptions!$B13),'Monthly Revenue'!Y24)</f>
        <v>1155</v>
      </c>
      <c r="AA24" s="103">
        <f>IF(MOD(AA$5,12)=4,MAX(Z24*(1+Assumptions!$B$14),Assumptions!$B13),'Monthly Revenue'!Z24)</f>
        <v>1155</v>
      </c>
      <c r="AB24" s="103">
        <f>IF(MOD(AB$5,12)=4,MAX(AA24*(1+Assumptions!$B$14),Assumptions!$B13),'Monthly Revenue'!AA24)</f>
        <v>1155</v>
      </c>
      <c r="AC24" s="103">
        <f>IF(MOD(AC$5,12)=4,MAX(AB24*(1+Assumptions!$B$14),Assumptions!$B13),'Monthly Revenue'!AB24)</f>
        <v>1155</v>
      </c>
      <c r="AD24" s="103">
        <f>IF(MOD(AD$5,12)=4,MAX(AC24*(1+Assumptions!$B$14),Assumptions!$B13),'Monthly Revenue'!AC24)</f>
        <v>1155</v>
      </c>
      <c r="AE24" s="103">
        <f>IF(MOD(AE$5,12)=4,MAX(AD24*(1+Assumptions!$B$14),Assumptions!$B13),'Monthly Revenue'!AD24)</f>
        <v>1155</v>
      </c>
      <c r="AF24" s="103">
        <f>IF(MOD(AF$5,12)=4,MAX(AE24*(1+Assumptions!$B$14),Assumptions!$B13),'Monthly Revenue'!AE24)</f>
        <v>1212.75</v>
      </c>
      <c r="AG24" s="103">
        <f>IF(MOD(AG$5,12)=4,MAX(AF24*(1+Assumptions!$B$14),Assumptions!$B13),'Monthly Revenue'!AF24)</f>
        <v>1212.75</v>
      </c>
      <c r="AH24" s="103">
        <f>IF(MOD(AH$5,12)=4,MAX(AG24*(1+Assumptions!$B$14),Assumptions!$B13),'Monthly Revenue'!AG24)</f>
        <v>1212.75</v>
      </c>
      <c r="AI24" s="103">
        <f>IF(MOD(AI$5,12)=4,MAX(AH24*(1+Assumptions!$B$14),Assumptions!$B13),'Monthly Revenue'!AH24)</f>
        <v>1212.75</v>
      </c>
      <c r="AJ24" s="103">
        <f>IF(MOD(AJ$5,12)=4,MAX(AI24*(1+Assumptions!$B$14),Assumptions!$B13),'Monthly Revenue'!AI24)</f>
        <v>1212.75</v>
      </c>
      <c r="AK24" s="103">
        <f>IF(MOD(AK$5,12)=4,MAX(AJ24*(1+Assumptions!$B$14),Assumptions!$B13),'Monthly Revenue'!AJ24)</f>
        <v>1212.75</v>
      </c>
      <c r="AL24" s="103">
        <f>IF(MOD(AL$5,12)=4,MAX(AK24*(1+Assumptions!$B$14),Assumptions!$B13),'Monthly Revenue'!AK24)</f>
        <v>1212.75</v>
      </c>
      <c r="AM24" s="103">
        <f>IF(MOD(AM$5,12)=4,MAX(AL24*(1+Assumptions!$B$14),Assumptions!$B13),'Monthly Revenue'!AL24)</f>
        <v>1212.75</v>
      </c>
      <c r="AN24" s="103">
        <f>IF(MOD(AN$5,12)=4,MAX(AM24*(1+Assumptions!$B$14),Assumptions!$B13),'Monthly Revenue'!AM24)</f>
        <v>1212.75</v>
      </c>
      <c r="AO24" s="103"/>
    </row>
    <row r="25" spans="1:41" ht="15.75" thickBot="1" x14ac:dyDescent="0.3">
      <c r="A25" s="105" t="s">
        <v>54</v>
      </c>
      <c r="B25" s="106"/>
      <c r="C25" s="106"/>
      <c r="D25" s="107"/>
      <c r="E25" s="116">
        <f>SUM(E22:E24)</f>
        <v>0</v>
      </c>
      <c r="F25" s="116">
        <f t="shared" ref="F25:AN25" si="31">SUM(F22:F24)</f>
        <v>0</v>
      </c>
      <c r="G25" s="116">
        <f t="shared" si="31"/>
        <v>0</v>
      </c>
      <c r="H25" s="116">
        <f t="shared" si="31"/>
        <v>2100</v>
      </c>
      <c r="I25" s="116">
        <f t="shared" si="31"/>
        <v>2100</v>
      </c>
      <c r="J25" s="116">
        <f t="shared" si="31"/>
        <v>2100</v>
      </c>
      <c r="K25" s="116">
        <f t="shared" si="31"/>
        <v>2100</v>
      </c>
      <c r="L25" s="116">
        <f t="shared" si="31"/>
        <v>2100</v>
      </c>
      <c r="M25" s="116">
        <f t="shared" si="31"/>
        <v>2100</v>
      </c>
      <c r="N25" s="116">
        <f t="shared" si="31"/>
        <v>2100</v>
      </c>
      <c r="O25" s="116">
        <f t="shared" si="31"/>
        <v>2100</v>
      </c>
      <c r="P25" s="116">
        <f t="shared" si="31"/>
        <v>2100</v>
      </c>
      <c r="Q25" s="116">
        <f t="shared" si="31"/>
        <v>2100</v>
      </c>
      <c r="R25" s="116">
        <f t="shared" si="31"/>
        <v>2100</v>
      </c>
      <c r="S25" s="116">
        <f t="shared" si="31"/>
        <v>2100</v>
      </c>
      <c r="T25" s="116">
        <f t="shared" si="31"/>
        <v>2205</v>
      </c>
      <c r="U25" s="116">
        <f t="shared" si="31"/>
        <v>2205</v>
      </c>
      <c r="V25" s="116">
        <f t="shared" si="31"/>
        <v>2205</v>
      </c>
      <c r="W25" s="116">
        <f t="shared" si="31"/>
        <v>2205</v>
      </c>
      <c r="X25" s="116">
        <f t="shared" si="31"/>
        <v>2205</v>
      </c>
      <c r="Y25" s="116">
        <f t="shared" si="31"/>
        <v>2205</v>
      </c>
      <c r="Z25" s="116">
        <f t="shared" si="31"/>
        <v>2205</v>
      </c>
      <c r="AA25" s="116">
        <f t="shared" si="31"/>
        <v>2205</v>
      </c>
      <c r="AB25" s="116">
        <f t="shared" si="31"/>
        <v>2205</v>
      </c>
      <c r="AC25" s="116">
        <f t="shared" si="31"/>
        <v>2205</v>
      </c>
      <c r="AD25" s="116">
        <f t="shared" si="31"/>
        <v>2205</v>
      </c>
      <c r="AE25" s="116">
        <f t="shared" si="31"/>
        <v>2205</v>
      </c>
      <c r="AF25" s="116">
        <f t="shared" si="31"/>
        <v>2315.25</v>
      </c>
      <c r="AG25" s="116">
        <f t="shared" si="31"/>
        <v>2315.25</v>
      </c>
      <c r="AH25" s="116">
        <f t="shared" si="31"/>
        <v>2315.25</v>
      </c>
      <c r="AI25" s="116">
        <f t="shared" si="31"/>
        <v>2315.25</v>
      </c>
      <c r="AJ25" s="116">
        <f t="shared" si="31"/>
        <v>2315.25</v>
      </c>
      <c r="AK25" s="116">
        <f t="shared" si="31"/>
        <v>2315.25</v>
      </c>
      <c r="AL25" s="116">
        <f t="shared" si="31"/>
        <v>2315.25</v>
      </c>
      <c r="AM25" s="116">
        <f t="shared" si="31"/>
        <v>2315.25</v>
      </c>
      <c r="AN25" s="116">
        <f t="shared" si="31"/>
        <v>2315.25</v>
      </c>
      <c r="AO25" s="103"/>
    </row>
    <row r="26" spans="1:41" ht="15.75" thickTop="1" x14ac:dyDescent="0.25">
      <c r="A26" s="7" t="s">
        <v>16</v>
      </c>
      <c r="AO26" s="103"/>
    </row>
    <row r="27" spans="1:41" x14ac:dyDescent="0.25">
      <c r="A27" s="104" t="s">
        <v>6</v>
      </c>
      <c r="E27" s="103">
        <f>IF(MOD(E$5,12)=4,MAX(D27*(1+Assumptions!$F$14),Assumptions!$F11),'Monthly Revenue'!D27)</f>
        <v>0</v>
      </c>
      <c r="F27" s="103">
        <f>IF(MOD(F$5,12)=4,MAX(E27*(1+Assumptions!$F$14),Assumptions!$F11),'Monthly Revenue'!E27)</f>
        <v>0</v>
      </c>
      <c r="G27" s="103">
        <f>IF(MOD(G$5,12)=4,MAX(F27*(1+Assumptions!$F$14),Assumptions!$F11),'Monthly Revenue'!F27)</f>
        <v>0</v>
      </c>
      <c r="H27" s="103">
        <f>IF(MOD(H$5,12)=4,MAX(G27*(1+Assumptions!$F$14),Assumptions!$F11),'Monthly Revenue'!G27)</f>
        <v>600</v>
      </c>
      <c r="I27" s="103">
        <f>IF(MOD(I$5,12)=4,MAX(H27*(1+Assumptions!$F$14),Assumptions!$F11),'Monthly Revenue'!H27)</f>
        <v>600</v>
      </c>
      <c r="J27" s="103">
        <f>IF(MOD(J$5,12)=4,MAX(I27*(1+Assumptions!$F$14),Assumptions!$F11),'Monthly Revenue'!I27)</f>
        <v>600</v>
      </c>
      <c r="K27" s="103">
        <f>IF(MOD(K$5,12)=4,MAX(J27*(1+Assumptions!$F$14),Assumptions!$F11),'Monthly Revenue'!J27)</f>
        <v>600</v>
      </c>
      <c r="L27" s="103">
        <f>IF(MOD(L$5,12)=4,MAX(K27*(1+Assumptions!$F$14),Assumptions!$F11),'Monthly Revenue'!K27)</f>
        <v>600</v>
      </c>
      <c r="M27" s="103">
        <f>IF(MOD(M$5,12)=4,MAX(L27*(1+Assumptions!$F$14),Assumptions!$F11),'Monthly Revenue'!L27)</f>
        <v>600</v>
      </c>
      <c r="N27" s="103">
        <f>IF(MOD(N$5,12)=4,MAX(M27*(1+Assumptions!$F$14),Assumptions!$F11),'Monthly Revenue'!M27)</f>
        <v>600</v>
      </c>
      <c r="O27" s="103">
        <f>IF(MOD(O$5,12)=4,MAX(N27*(1+Assumptions!$F$14),Assumptions!$F11),'Monthly Revenue'!N27)</f>
        <v>600</v>
      </c>
      <c r="P27" s="103">
        <f>IF(MOD(P$5,12)=4,MAX(O27*(1+Assumptions!$F$14),Assumptions!$F11),'Monthly Revenue'!O27)</f>
        <v>600</v>
      </c>
      <c r="Q27" s="103">
        <f>IF(MOD(Q$5,12)=4,MAX(P27*(1+Assumptions!$F$14),Assumptions!$F11),'Monthly Revenue'!P27)</f>
        <v>600</v>
      </c>
      <c r="R27" s="103">
        <f>IF(MOD(R$5,12)=4,MAX(Q27*(1+Assumptions!$F$14),Assumptions!$F11),'Monthly Revenue'!Q27)</f>
        <v>600</v>
      </c>
      <c r="S27" s="103">
        <f>IF(MOD(S$5,12)=4,MAX(R27*(1+Assumptions!$F$14),Assumptions!$F11),'Monthly Revenue'!R27)</f>
        <v>600</v>
      </c>
      <c r="T27" s="103">
        <f>IF(MOD(T$5,12)=4,MAX(S27*(1+Assumptions!$F$14),Assumptions!$F11),'Monthly Revenue'!S27)</f>
        <v>630</v>
      </c>
      <c r="U27" s="103">
        <f>IF(MOD(U$5,12)=4,MAX(T27*(1+Assumptions!$F$14),Assumptions!$F11),'Monthly Revenue'!T27)</f>
        <v>630</v>
      </c>
      <c r="V27" s="103">
        <f>IF(MOD(V$5,12)=4,MAX(U27*(1+Assumptions!$F$14),Assumptions!$F11),'Monthly Revenue'!U27)</f>
        <v>630</v>
      </c>
      <c r="W27" s="103">
        <f>IF(MOD(W$5,12)=4,MAX(V27*(1+Assumptions!$F$14),Assumptions!$F11),'Monthly Revenue'!V27)</f>
        <v>630</v>
      </c>
      <c r="X27" s="103">
        <f>IF(MOD(X$5,12)=4,MAX(W27*(1+Assumptions!$F$14),Assumptions!$F11),'Monthly Revenue'!W27)</f>
        <v>630</v>
      </c>
      <c r="Y27" s="103">
        <f>IF(MOD(Y$5,12)=4,MAX(X27*(1+Assumptions!$F$14),Assumptions!$F11),'Monthly Revenue'!X27)</f>
        <v>630</v>
      </c>
      <c r="Z27" s="103">
        <f>IF(MOD(Z$5,12)=4,MAX(Y27*(1+Assumptions!$F$14),Assumptions!$F11),'Monthly Revenue'!Y27)</f>
        <v>630</v>
      </c>
      <c r="AA27" s="103">
        <f>IF(MOD(AA$5,12)=4,MAX(Z27*(1+Assumptions!$F$14),Assumptions!$F11),'Monthly Revenue'!Z27)</f>
        <v>630</v>
      </c>
      <c r="AB27" s="103">
        <f>IF(MOD(AB$5,12)=4,MAX(AA27*(1+Assumptions!$F$14),Assumptions!$F11),'Monthly Revenue'!AA27)</f>
        <v>630</v>
      </c>
      <c r="AC27" s="103">
        <f>IF(MOD(AC$5,12)=4,MAX(AB27*(1+Assumptions!$F$14),Assumptions!$F11),'Monthly Revenue'!AB27)</f>
        <v>630</v>
      </c>
      <c r="AD27" s="103">
        <f>IF(MOD(AD$5,12)=4,MAX(AC27*(1+Assumptions!$F$14),Assumptions!$F11),'Monthly Revenue'!AC27)</f>
        <v>630</v>
      </c>
      <c r="AE27" s="103">
        <f>IF(MOD(AE$5,12)=4,MAX(AD27*(1+Assumptions!$F$14),Assumptions!$F11),'Monthly Revenue'!AD27)</f>
        <v>630</v>
      </c>
      <c r="AF27" s="103">
        <f>IF(MOD(AF$5,12)=4,MAX(AE27*(1+Assumptions!$F$14),Assumptions!$F11),'Monthly Revenue'!AE27)</f>
        <v>661.5</v>
      </c>
      <c r="AG27" s="103">
        <f>IF(MOD(AG$5,12)=4,MAX(AF27*(1+Assumptions!$F$14),Assumptions!$F11),'Monthly Revenue'!AF27)</f>
        <v>661.5</v>
      </c>
      <c r="AH27" s="103">
        <f>IF(MOD(AH$5,12)=4,MAX(AG27*(1+Assumptions!$F$14),Assumptions!$F11),'Monthly Revenue'!AG27)</f>
        <v>661.5</v>
      </c>
      <c r="AI27" s="103">
        <f>IF(MOD(AI$5,12)=4,MAX(AH27*(1+Assumptions!$F$14),Assumptions!$F11),'Monthly Revenue'!AH27)</f>
        <v>661.5</v>
      </c>
      <c r="AJ27" s="103">
        <f>IF(MOD(AJ$5,12)=4,MAX(AI27*(1+Assumptions!$F$14),Assumptions!$F11),'Monthly Revenue'!AI27)</f>
        <v>661.5</v>
      </c>
      <c r="AK27" s="103">
        <f>IF(MOD(AK$5,12)=4,MAX(AJ27*(1+Assumptions!$F$14),Assumptions!$F11),'Monthly Revenue'!AJ27)</f>
        <v>661.5</v>
      </c>
      <c r="AL27" s="103">
        <f>IF(MOD(AL$5,12)=4,MAX(AK27*(1+Assumptions!$F$14),Assumptions!$F11),'Monthly Revenue'!AK27)</f>
        <v>661.5</v>
      </c>
      <c r="AM27" s="103">
        <f>IF(MOD(AM$5,12)=4,MAX(AL27*(1+Assumptions!$F$14),Assumptions!$F11),'Monthly Revenue'!AL27)</f>
        <v>661.5</v>
      </c>
      <c r="AN27" s="103">
        <f>IF(MOD(AN$5,12)=4,MAX(AM27*(1+Assumptions!$F$14),Assumptions!$F11),'Monthly Revenue'!AM27)</f>
        <v>661.5</v>
      </c>
      <c r="AO27" s="103"/>
    </row>
    <row r="28" spans="1:41" x14ac:dyDescent="0.25">
      <c r="A28" s="104" t="s">
        <v>7</v>
      </c>
      <c r="E28" s="103">
        <f>IF(MOD(E$5,12)=4,MAX(D28*(1+Assumptions!$F$14),Assumptions!$F12),'Monthly Revenue'!D28)</f>
        <v>0</v>
      </c>
      <c r="F28" s="103">
        <f>IF(MOD(F$5,12)=4,MAX(E28*(1+Assumptions!$F$14),Assumptions!$F12),'Monthly Revenue'!E28)</f>
        <v>0</v>
      </c>
      <c r="G28" s="103">
        <f>IF(MOD(G$5,12)=4,MAX(F28*(1+Assumptions!$F$14),Assumptions!$F12),'Monthly Revenue'!F28)</f>
        <v>0</v>
      </c>
      <c r="H28" s="103">
        <f>IF(MOD(H$5,12)=4,MAX(G28*(1+Assumptions!$F$14),Assumptions!$F12),'Monthly Revenue'!G28)</f>
        <v>400</v>
      </c>
      <c r="I28" s="103">
        <f>IF(MOD(I$5,12)=4,MAX(H28*(1+Assumptions!$F$14),Assumptions!$F12),'Monthly Revenue'!H28)</f>
        <v>400</v>
      </c>
      <c r="J28" s="103">
        <f>IF(MOD(J$5,12)=4,MAX(I28*(1+Assumptions!$F$14),Assumptions!$F12),'Monthly Revenue'!I28)</f>
        <v>400</v>
      </c>
      <c r="K28" s="103">
        <f>IF(MOD(K$5,12)=4,MAX(J28*(1+Assumptions!$F$14),Assumptions!$F12),'Monthly Revenue'!J28)</f>
        <v>400</v>
      </c>
      <c r="L28" s="103">
        <f>IF(MOD(L$5,12)=4,MAX(K28*(1+Assumptions!$F$14),Assumptions!$F12),'Monthly Revenue'!K28)</f>
        <v>400</v>
      </c>
      <c r="M28" s="103">
        <f>IF(MOD(M$5,12)=4,MAX(L28*(1+Assumptions!$F$14),Assumptions!$F12),'Monthly Revenue'!L28)</f>
        <v>400</v>
      </c>
      <c r="N28" s="103">
        <f>IF(MOD(N$5,12)=4,MAX(M28*(1+Assumptions!$F$14),Assumptions!$F12),'Monthly Revenue'!M28)</f>
        <v>400</v>
      </c>
      <c r="O28" s="103">
        <f>IF(MOD(O$5,12)=4,MAX(N28*(1+Assumptions!$F$14),Assumptions!$F12),'Monthly Revenue'!N28)</f>
        <v>400</v>
      </c>
      <c r="P28" s="103">
        <f>IF(MOD(P$5,12)=4,MAX(O28*(1+Assumptions!$F$14),Assumptions!$F12),'Monthly Revenue'!O28)</f>
        <v>400</v>
      </c>
      <c r="Q28" s="103">
        <f>IF(MOD(Q$5,12)=4,MAX(P28*(1+Assumptions!$F$14),Assumptions!$F12),'Monthly Revenue'!P28)</f>
        <v>400</v>
      </c>
      <c r="R28" s="103">
        <f>IF(MOD(R$5,12)=4,MAX(Q28*(1+Assumptions!$F$14),Assumptions!$F12),'Monthly Revenue'!Q28)</f>
        <v>400</v>
      </c>
      <c r="S28" s="103">
        <f>IF(MOD(S$5,12)=4,MAX(R28*(1+Assumptions!$F$14),Assumptions!$F12),'Monthly Revenue'!R28)</f>
        <v>400</v>
      </c>
      <c r="T28" s="103">
        <f>IF(MOD(T$5,12)=4,MAX(S28*(1+Assumptions!$F$14),Assumptions!$F12),'Monthly Revenue'!S28)</f>
        <v>420</v>
      </c>
      <c r="U28" s="103">
        <f>IF(MOD(U$5,12)=4,MAX(T28*(1+Assumptions!$F$14),Assumptions!$F12),'Monthly Revenue'!T28)</f>
        <v>420</v>
      </c>
      <c r="V28" s="103">
        <f>IF(MOD(V$5,12)=4,MAX(U28*(1+Assumptions!$F$14),Assumptions!$F12),'Monthly Revenue'!U28)</f>
        <v>420</v>
      </c>
      <c r="W28" s="103">
        <f>IF(MOD(W$5,12)=4,MAX(V28*(1+Assumptions!$F$14),Assumptions!$F12),'Monthly Revenue'!V28)</f>
        <v>420</v>
      </c>
      <c r="X28" s="103">
        <f>IF(MOD(X$5,12)=4,MAX(W28*(1+Assumptions!$F$14),Assumptions!$F12),'Monthly Revenue'!W28)</f>
        <v>420</v>
      </c>
      <c r="Y28" s="103">
        <f>IF(MOD(Y$5,12)=4,MAX(X28*(1+Assumptions!$F$14),Assumptions!$F12),'Monthly Revenue'!X28)</f>
        <v>420</v>
      </c>
      <c r="Z28" s="103">
        <f>IF(MOD(Z$5,12)=4,MAX(Y28*(1+Assumptions!$F$14),Assumptions!$F12),'Monthly Revenue'!Y28)</f>
        <v>420</v>
      </c>
      <c r="AA28" s="103">
        <f>IF(MOD(AA$5,12)=4,MAX(Z28*(1+Assumptions!$F$14),Assumptions!$F12),'Monthly Revenue'!Z28)</f>
        <v>420</v>
      </c>
      <c r="AB28" s="103">
        <f>IF(MOD(AB$5,12)=4,MAX(AA28*(1+Assumptions!$F$14),Assumptions!$F12),'Monthly Revenue'!AA28)</f>
        <v>420</v>
      </c>
      <c r="AC28" s="103">
        <f>IF(MOD(AC$5,12)=4,MAX(AB28*(1+Assumptions!$F$14),Assumptions!$F12),'Monthly Revenue'!AB28)</f>
        <v>420</v>
      </c>
      <c r="AD28" s="103">
        <f>IF(MOD(AD$5,12)=4,MAX(AC28*(1+Assumptions!$F$14),Assumptions!$F12),'Monthly Revenue'!AC28)</f>
        <v>420</v>
      </c>
      <c r="AE28" s="103">
        <f>IF(MOD(AE$5,12)=4,MAX(AD28*(1+Assumptions!$F$14),Assumptions!$F12),'Monthly Revenue'!AD28)</f>
        <v>420</v>
      </c>
      <c r="AF28" s="103">
        <f>IF(MOD(AF$5,12)=4,MAX(AE28*(1+Assumptions!$F$14),Assumptions!$F12),'Monthly Revenue'!AE28)</f>
        <v>441</v>
      </c>
      <c r="AG28" s="103">
        <f>IF(MOD(AG$5,12)=4,MAX(AF28*(1+Assumptions!$F$14),Assumptions!$F12),'Monthly Revenue'!AF28)</f>
        <v>441</v>
      </c>
      <c r="AH28" s="103">
        <f>IF(MOD(AH$5,12)=4,MAX(AG28*(1+Assumptions!$F$14),Assumptions!$F12),'Monthly Revenue'!AG28)</f>
        <v>441</v>
      </c>
      <c r="AI28" s="103">
        <f>IF(MOD(AI$5,12)=4,MAX(AH28*(1+Assumptions!$F$14),Assumptions!$F12),'Monthly Revenue'!AH28)</f>
        <v>441</v>
      </c>
      <c r="AJ28" s="103">
        <f>IF(MOD(AJ$5,12)=4,MAX(AI28*(1+Assumptions!$F$14),Assumptions!$F12),'Monthly Revenue'!AI28)</f>
        <v>441</v>
      </c>
      <c r="AK28" s="103">
        <f>IF(MOD(AK$5,12)=4,MAX(AJ28*(1+Assumptions!$F$14),Assumptions!$F12),'Monthly Revenue'!AJ28)</f>
        <v>441</v>
      </c>
      <c r="AL28" s="103">
        <f>IF(MOD(AL$5,12)=4,MAX(AK28*(1+Assumptions!$F$14),Assumptions!$F12),'Monthly Revenue'!AK28)</f>
        <v>441</v>
      </c>
      <c r="AM28" s="103">
        <f>IF(MOD(AM$5,12)=4,MAX(AL28*(1+Assumptions!$F$14),Assumptions!$F12),'Monthly Revenue'!AL28)</f>
        <v>441</v>
      </c>
      <c r="AN28" s="103">
        <f>IF(MOD(AN$5,12)=4,MAX(AM28*(1+Assumptions!$F$14),Assumptions!$F12),'Monthly Revenue'!AM28)</f>
        <v>441</v>
      </c>
      <c r="AO28" s="103"/>
    </row>
    <row r="29" spans="1:41" x14ac:dyDescent="0.25">
      <c r="A29" s="104" t="s">
        <v>8</v>
      </c>
      <c r="E29" s="103">
        <f>IF(MOD(E$5,12)=4,MAX(D29*(1+Assumptions!$F$14),Assumptions!$F13),'Monthly Revenue'!D29)</f>
        <v>0</v>
      </c>
      <c r="F29" s="103">
        <f>IF(MOD(F$5,12)=4,MAX(E29*(1+Assumptions!$F$14),Assumptions!$F13),'Monthly Revenue'!E29)</f>
        <v>0</v>
      </c>
      <c r="G29" s="103">
        <f>IF(MOD(G$5,12)=4,MAX(F29*(1+Assumptions!$F$14),Assumptions!$F13),'Monthly Revenue'!F29)</f>
        <v>0</v>
      </c>
      <c r="H29" s="103">
        <f>IF(MOD(H$5,12)=4,MAX(G29*(1+Assumptions!$F$14),Assumptions!$F13),'Monthly Revenue'!G29)</f>
        <v>1200</v>
      </c>
      <c r="I29" s="103">
        <f>IF(MOD(I$5,12)=4,MAX(H29*(1+Assumptions!$F$14),Assumptions!$F13),'Monthly Revenue'!H29)</f>
        <v>1200</v>
      </c>
      <c r="J29" s="103">
        <f>IF(MOD(J$5,12)=4,MAX(I29*(1+Assumptions!$F$14),Assumptions!$F13),'Monthly Revenue'!I29)</f>
        <v>1200</v>
      </c>
      <c r="K29" s="103">
        <f>IF(MOD(K$5,12)=4,MAX(J29*(1+Assumptions!$F$14),Assumptions!$F13),'Monthly Revenue'!J29)</f>
        <v>1200</v>
      </c>
      <c r="L29" s="103">
        <f>IF(MOD(L$5,12)=4,MAX(K29*(1+Assumptions!$F$14),Assumptions!$F13),'Monthly Revenue'!K29)</f>
        <v>1200</v>
      </c>
      <c r="M29" s="103">
        <f>IF(MOD(M$5,12)=4,MAX(L29*(1+Assumptions!$F$14),Assumptions!$F13),'Monthly Revenue'!L29)</f>
        <v>1200</v>
      </c>
      <c r="N29" s="103">
        <f>IF(MOD(N$5,12)=4,MAX(M29*(1+Assumptions!$F$14),Assumptions!$F13),'Monthly Revenue'!M29)</f>
        <v>1200</v>
      </c>
      <c r="O29" s="103">
        <f>IF(MOD(O$5,12)=4,MAX(N29*(1+Assumptions!$F$14),Assumptions!$F13),'Monthly Revenue'!N29)</f>
        <v>1200</v>
      </c>
      <c r="P29" s="103">
        <f>IF(MOD(P$5,12)=4,MAX(O29*(1+Assumptions!$F$14),Assumptions!$F13),'Monthly Revenue'!O29)</f>
        <v>1200</v>
      </c>
      <c r="Q29" s="103">
        <f>IF(MOD(Q$5,12)=4,MAX(P29*(1+Assumptions!$F$14),Assumptions!$F13),'Monthly Revenue'!P29)</f>
        <v>1200</v>
      </c>
      <c r="R29" s="103">
        <f>IF(MOD(R$5,12)=4,MAX(Q29*(1+Assumptions!$F$14),Assumptions!$F13),'Monthly Revenue'!Q29)</f>
        <v>1200</v>
      </c>
      <c r="S29" s="103">
        <f>IF(MOD(S$5,12)=4,MAX(R29*(1+Assumptions!$F$14),Assumptions!$F13),'Monthly Revenue'!R29)</f>
        <v>1200</v>
      </c>
      <c r="T29" s="103">
        <f>IF(MOD(T$5,12)=4,MAX(S29*(1+Assumptions!$F$14),Assumptions!$F13),'Monthly Revenue'!S29)</f>
        <v>1260</v>
      </c>
      <c r="U29" s="103">
        <f>IF(MOD(U$5,12)=4,MAX(T29*(1+Assumptions!$F$14),Assumptions!$F13),'Monthly Revenue'!T29)</f>
        <v>1260</v>
      </c>
      <c r="V29" s="103">
        <f>IF(MOD(V$5,12)=4,MAX(U29*(1+Assumptions!$F$14),Assumptions!$F13),'Monthly Revenue'!U29)</f>
        <v>1260</v>
      </c>
      <c r="W29" s="103">
        <f>IF(MOD(W$5,12)=4,MAX(V29*(1+Assumptions!$F$14),Assumptions!$F13),'Monthly Revenue'!V29)</f>
        <v>1260</v>
      </c>
      <c r="X29" s="103">
        <f>IF(MOD(X$5,12)=4,MAX(W29*(1+Assumptions!$F$14),Assumptions!$F13),'Monthly Revenue'!W29)</f>
        <v>1260</v>
      </c>
      <c r="Y29" s="103">
        <f>IF(MOD(Y$5,12)=4,MAX(X29*(1+Assumptions!$F$14),Assumptions!$F13),'Monthly Revenue'!X29)</f>
        <v>1260</v>
      </c>
      <c r="Z29" s="103">
        <f>IF(MOD(Z$5,12)=4,MAX(Y29*(1+Assumptions!$F$14),Assumptions!$F13),'Monthly Revenue'!Y29)</f>
        <v>1260</v>
      </c>
      <c r="AA29" s="103">
        <f>IF(MOD(AA$5,12)=4,MAX(Z29*(1+Assumptions!$F$14),Assumptions!$F13),'Monthly Revenue'!Z29)</f>
        <v>1260</v>
      </c>
      <c r="AB29" s="103">
        <f>IF(MOD(AB$5,12)=4,MAX(AA29*(1+Assumptions!$F$14),Assumptions!$F13),'Monthly Revenue'!AA29)</f>
        <v>1260</v>
      </c>
      <c r="AC29" s="103">
        <f>IF(MOD(AC$5,12)=4,MAX(AB29*(1+Assumptions!$F$14),Assumptions!$F13),'Monthly Revenue'!AB29)</f>
        <v>1260</v>
      </c>
      <c r="AD29" s="103">
        <f>IF(MOD(AD$5,12)=4,MAX(AC29*(1+Assumptions!$F$14),Assumptions!$F13),'Monthly Revenue'!AC29)</f>
        <v>1260</v>
      </c>
      <c r="AE29" s="103">
        <f>IF(MOD(AE$5,12)=4,MAX(AD29*(1+Assumptions!$F$14),Assumptions!$F13),'Monthly Revenue'!AD29)</f>
        <v>1260</v>
      </c>
      <c r="AF29" s="103">
        <f>IF(MOD(AF$5,12)=4,MAX(AE29*(1+Assumptions!$F$14),Assumptions!$F13),'Monthly Revenue'!AE29)</f>
        <v>1323</v>
      </c>
      <c r="AG29" s="103">
        <f>IF(MOD(AG$5,12)=4,MAX(AF29*(1+Assumptions!$F$14),Assumptions!$F13),'Monthly Revenue'!AF29)</f>
        <v>1323</v>
      </c>
      <c r="AH29" s="103">
        <f>IF(MOD(AH$5,12)=4,MAX(AG29*(1+Assumptions!$F$14),Assumptions!$F13),'Monthly Revenue'!AG29)</f>
        <v>1323</v>
      </c>
      <c r="AI29" s="103">
        <f>IF(MOD(AI$5,12)=4,MAX(AH29*(1+Assumptions!$F$14),Assumptions!$F13),'Monthly Revenue'!AH29)</f>
        <v>1323</v>
      </c>
      <c r="AJ29" s="103">
        <f>IF(MOD(AJ$5,12)=4,MAX(AI29*(1+Assumptions!$F$14),Assumptions!$F13),'Monthly Revenue'!AI29)</f>
        <v>1323</v>
      </c>
      <c r="AK29" s="103">
        <f>IF(MOD(AK$5,12)=4,MAX(AJ29*(1+Assumptions!$F$14),Assumptions!$F13),'Monthly Revenue'!AJ29)</f>
        <v>1323</v>
      </c>
      <c r="AL29" s="103">
        <f>IF(MOD(AL$5,12)=4,MAX(AK29*(1+Assumptions!$F$14),Assumptions!$F13),'Monthly Revenue'!AK29)</f>
        <v>1323</v>
      </c>
      <c r="AM29" s="103">
        <f>IF(MOD(AM$5,12)=4,MAX(AL29*(1+Assumptions!$F$14),Assumptions!$F13),'Monthly Revenue'!AL29)</f>
        <v>1323</v>
      </c>
      <c r="AN29" s="103">
        <f>IF(MOD(AN$5,12)=4,MAX(AM29*(1+Assumptions!$F$14),Assumptions!$F13),'Monthly Revenue'!AM29)</f>
        <v>1323</v>
      </c>
      <c r="AO29" s="103"/>
    </row>
    <row r="30" spans="1:41" ht="15.75" thickBot="1" x14ac:dyDescent="0.3">
      <c r="A30" s="105" t="s">
        <v>54</v>
      </c>
      <c r="E30" s="116">
        <f t="shared" ref="E30:AN30" si="32">SUM(E27:E29)</f>
        <v>0</v>
      </c>
      <c r="F30" s="116">
        <f t="shared" si="32"/>
        <v>0</v>
      </c>
      <c r="G30" s="116">
        <f t="shared" si="32"/>
        <v>0</v>
      </c>
      <c r="H30" s="116">
        <f t="shared" si="32"/>
        <v>2200</v>
      </c>
      <c r="I30" s="116">
        <f t="shared" si="32"/>
        <v>2200</v>
      </c>
      <c r="J30" s="116">
        <f t="shared" si="32"/>
        <v>2200</v>
      </c>
      <c r="K30" s="116">
        <f t="shared" si="32"/>
        <v>2200</v>
      </c>
      <c r="L30" s="116">
        <f t="shared" si="32"/>
        <v>2200</v>
      </c>
      <c r="M30" s="116">
        <f t="shared" si="32"/>
        <v>2200</v>
      </c>
      <c r="N30" s="116">
        <f t="shared" si="32"/>
        <v>2200</v>
      </c>
      <c r="O30" s="116">
        <f t="shared" si="32"/>
        <v>2200</v>
      </c>
      <c r="P30" s="116">
        <f t="shared" si="32"/>
        <v>2200</v>
      </c>
      <c r="Q30" s="116">
        <f t="shared" si="32"/>
        <v>2200</v>
      </c>
      <c r="R30" s="116">
        <f t="shared" si="32"/>
        <v>2200</v>
      </c>
      <c r="S30" s="116">
        <f t="shared" si="32"/>
        <v>2200</v>
      </c>
      <c r="T30" s="116">
        <f t="shared" si="32"/>
        <v>2310</v>
      </c>
      <c r="U30" s="116">
        <f t="shared" si="32"/>
        <v>2310</v>
      </c>
      <c r="V30" s="116">
        <f t="shared" si="32"/>
        <v>2310</v>
      </c>
      <c r="W30" s="116">
        <f t="shared" si="32"/>
        <v>2310</v>
      </c>
      <c r="X30" s="116">
        <f t="shared" si="32"/>
        <v>2310</v>
      </c>
      <c r="Y30" s="116">
        <f t="shared" si="32"/>
        <v>2310</v>
      </c>
      <c r="Z30" s="116">
        <f t="shared" si="32"/>
        <v>2310</v>
      </c>
      <c r="AA30" s="116">
        <f t="shared" si="32"/>
        <v>2310</v>
      </c>
      <c r="AB30" s="116">
        <f t="shared" si="32"/>
        <v>2310</v>
      </c>
      <c r="AC30" s="116">
        <f t="shared" si="32"/>
        <v>2310</v>
      </c>
      <c r="AD30" s="116">
        <f t="shared" si="32"/>
        <v>2310</v>
      </c>
      <c r="AE30" s="116">
        <f t="shared" si="32"/>
        <v>2310</v>
      </c>
      <c r="AF30" s="116">
        <f t="shared" si="32"/>
        <v>2425.5</v>
      </c>
      <c r="AG30" s="116">
        <f t="shared" si="32"/>
        <v>2425.5</v>
      </c>
      <c r="AH30" s="116">
        <f t="shared" si="32"/>
        <v>2425.5</v>
      </c>
      <c r="AI30" s="116">
        <f t="shared" si="32"/>
        <v>2425.5</v>
      </c>
      <c r="AJ30" s="116">
        <f t="shared" si="32"/>
        <v>2425.5</v>
      </c>
      <c r="AK30" s="116">
        <f t="shared" si="32"/>
        <v>2425.5</v>
      </c>
      <c r="AL30" s="116">
        <f t="shared" si="32"/>
        <v>2425.5</v>
      </c>
      <c r="AM30" s="116">
        <f t="shared" si="32"/>
        <v>2425.5</v>
      </c>
      <c r="AN30" s="116">
        <f t="shared" si="32"/>
        <v>2425.5</v>
      </c>
      <c r="AO30" s="103"/>
    </row>
    <row r="31" spans="1:41" ht="15.75" thickTop="1" x14ac:dyDescent="0.25">
      <c r="A31" s="7" t="s">
        <v>102</v>
      </c>
      <c r="AO31" s="103"/>
    </row>
    <row r="32" spans="1:41" x14ac:dyDescent="0.25">
      <c r="A32" s="7" t="s">
        <v>4</v>
      </c>
      <c r="AO32" s="103"/>
    </row>
    <row r="33" spans="1:41" x14ac:dyDescent="0.25">
      <c r="A33" s="104" t="s">
        <v>6</v>
      </c>
      <c r="E33" s="103">
        <f>IF(MOD(E$5,12)=4,MAX(D33*(1+Assumptions!$C$14),Assumptions!$C11),'Monthly Revenue'!D33)</f>
        <v>0</v>
      </c>
      <c r="F33" s="103">
        <f>IF(MOD(F$5,12)=4,MAX(E33*(1+Assumptions!$C$14),Assumptions!$C11),'Monthly Revenue'!E33)</f>
        <v>0</v>
      </c>
      <c r="G33" s="103">
        <f>IF(MOD(G$5,12)=4,MAX(F33*(1+Assumptions!$C$14),Assumptions!$C11),'Monthly Revenue'!F33)</f>
        <v>0</v>
      </c>
      <c r="H33" s="103">
        <f>IF(MOD(H$5,12)=4,MAX(G33*(1+Assumptions!$C$14),Assumptions!$C11),'Monthly Revenue'!G33)</f>
        <v>1000</v>
      </c>
      <c r="I33" s="103">
        <f>IF(MOD(I$5,12)=4,MAX(H33*(1+Assumptions!$C$14),Assumptions!$C11),'Monthly Revenue'!H33)</f>
        <v>1000</v>
      </c>
      <c r="J33" s="103">
        <f>IF(MOD(J$5,12)=4,MAX(I33*(1+Assumptions!$C$14),Assumptions!$C11),'Monthly Revenue'!I33)</f>
        <v>1000</v>
      </c>
      <c r="K33" s="103">
        <f>IF(MOD(K$5,12)=4,MAX(J33*(1+Assumptions!$C$14),Assumptions!$C11),'Monthly Revenue'!J33)</f>
        <v>1000</v>
      </c>
      <c r="L33" s="103">
        <f>IF(MOD(L$5,12)=4,MAX(K33*(1+Assumptions!$C$14),Assumptions!$C11),'Monthly Revenue'!K33)</f>
        <v>1000</v>
      </c>
      <c r="M33" s="103">
        <f>IF(MOD(M$5,12)=4,MAX(L33*(1+Assumptions!$C$14),Assumptions!$C11),'Monthly Revenue'!L33)</f>
        <v>1000</v>
      </c>
      <c r="N33" s="103">
        <f>IF(MOD(N$5,12)=4,MAX(M33*(1+Assumptions!$C$14),Assumptions!$C11),'Monthly Revenue'!M33)</f>
        <v>1000</v>
      </c>
      <c r="O33" s="103">
        <f>IF(MOD(O$5,12)=4,MAX(N33*(1+Assumptions!$C$14),Assumptions!$C11),'Monthly Revenue'!N33)</f>
        <v>1000</v>
      </c>
      <c r="P33" s="103">
        <f>IF(MOD(P$5,12)=4,MAX(O33*(1+Assumptions!$C$14),Assumptions!$C11),'Monthly Revenue'!O33)</f>
        <v>1000</v>
      </c>
      <c r="Q33" s="103">
        <f>IF(MOD(Q$5,12)=4,MAX(P33*(1+Assumptions!$C$14),Assumptions!$C11),'Monthly Revenue'!P33)</f>
        <v>1000</v>
      </c>
      <c r="R33" s="103">
        <f>IF(MOD(R$5,12)=4,MAX(Q33*(1+Assumptions!$C$14),Assumptions!$C11),'Monthly Revenue'!Q33)</f>
        <v>1000</v>
      </c>
      <c r="S33" s="103">
        <f>IF(MOD(S$5,12)=4,MAX(R33*(1+Assumptions!$C$14),Assumptions!$C11),'Monthly Revenue'!R33)</f>
        <v>1000</v>
      </c>
      <c r="T33" s="103">
        <f>IF(MOD(T$5,12)=4,MAX(S33*(1+Assumptions!$C$14),Assumptions!$C11),'Monthly Revenue'!S33)</f>
        <v>1050</v>
      </c>
      <c r="U33" s="103">
        <f>IF(MOD(U$5,12)=4,MAX(T33*(1+Assumptions!$C$14),Assumptions!$C11),'Monthly Revenue'!T33)</f>
        <v>1050</v>
      </c>
      <c r="V33" s="103">
        <f>IF(MOD(V$5,12)=4,MAX(U33*(1+Assumptions!$C$14),Assumptions!$C11),'Monthly Revenue'!U33)</f>
        <v>1050</v>
      </c>
      <c r="W33" s="103">
        <f>IF(MOD(W$5,12)=4,MAX(V33*(1+Assumptions!$C$14),Assumptions!$C11),'Monthly Revenue'!V33)</f>
        <v>1050</v>
      </c>
      <c r="X33" s="103">
        <f>IF(MOD(X$5,12)=4,MAX(W33*(1+Assumptions!$C$14),Assumptions!$C11),'Monthly Revenue'!W33)</f>
        <v>1050</v>
      </c>
      <c r="Y33" s="103">
        <f>IF(MOD(Y$5,12)=4,MAX(X33*(1+Assumptions!$C$14),Assumptions!$C11),'Monthly Revenue'!X33)</f>
        <v>1050</v>
      </c>
      <c r="Z33" s="103">
        <f>IF(MOD(Z$5,12)=4,MAX(Y33*(1+Assumptions!$C$14),Assumptions!$C11),'Monthly Revenue'!Y33)</f>
        <v>1050</v>
      </c>
      <c r="AA33" s="103">
        <f>IF(MOD(AA$5,12)=4,MAX(Z33*(1+Assumptions!$C$14),Assumptions!$C11),'Monthly Revenue'!Z33)</f>
        <v>1050</v>
      </c>
      <c r="AB33" s="103">
        <f>IF(MOD(AB$5,12)=4,MAX(AA33*(1+Assumptions!$C$14),Assumptions!$C11),'Monthly Revenue'!AA33)</f>
        <v>1050</v>
      </c>
      <c r="AC33" s="103">
        <f>IF(MOD(AC$5,12)=4,MAX(AB33*(1+Assumptions!$C$14),Assumptions!$C11),'Monthly Revenue'!AB33)</f>
        <v>1050</v>
      </c>
      <c r="AD33" s="103">
        <f>IF(MOD(AD$5,12)=4,MAX(AC33*(1+Assumptions!$C$14),Assumptions!$C11),'Monthly Revenue'!AC33)</f>
        <v>1050</v>
      </c>
      <c r="AE33" s="103">
        <f>IF(MOD(AE$5,12)=4,MAX(AD33*(1+Assumptions!$C$14),Assumptions!$C11),'Monthly Revenue'!AD33)</f>
        <v>1050</v>
      </c>
      <c r="AF33" s="103">
        <f>IF(MOD(AF$5,12)=4,MAX(AE33*(1+Assumptions!$C$14),Assumptions!$C11),'Monthly Revenue'!AE33)</f>
        <v>1102.5</v>
      </c>
      <c r="AG33" s="103">
        <f>IF(MOD(AG$5,12)=4,MAX(AF33*(1+Assumptions!$C$14),Assumptions!$C11),'Monthly Revenue'!AF33)</f>
        <v>1102.5</v>
      </c>
      <c r="AH33" s="103">
        <f>IF(MOD(AH$5,12)=4,MAX(AG33*(1+Assumptions!$C$14),Assumptions!$C11),'Monthly Revenue'!AG33)</f>
        <v>1102.5</v>
      </c>
      <c r="AI33" s="103">
        <f>IF(MOD(AI$5,12)=4,MAX(AH33*(1+Assumptions!$C$14),Assumptions!$C11),'Monthly Revenue'!AH33)</f>
        <v>1102.5</v>
      </c>
      <c r="AJ33" s="103">
        <f>IF(MOD(AJ$5,12)=4,MAX(AI33*(1+Assumptions!$C$14),Assumptions!$C11),'Monthly Revenue'!AI33)</f>
        <v>1102.5</v>
      </c>
      <c r="AK33" s="103">
        <f>IF(MOD(AK$5,12)=4,MAX(AJ33*(1+Assumptions!$C$14),Assumptions!$C11),'Monthly Revenue'!AJ33)</f>
        <v>1102.5</v>
      </c>
      <c r="AL33" s="103">
        <f>IF(MOD(AL$5,12)=4,MAX(AK33*(1+Assumptions!$C$14),Assumptions!$C11),'Monthly Revenue'!AK33)</f>
        <v>1102.5</v>
      </c>
      <c r="AM33" s="103">
        <f>IF(MOD(AM$5,12)=4,MAX(AL33*(1+Assumptions!$C$14),Assumptions!$C11),'Monthly Revenue'!AL33)</f>
        <v>1102.5</v>
      </c>
      <c r="AN33" s="103">
        <f>IF(MOD(AN$5,12)=4,MAX(AM33*(1+Assumptions!$C$14),Assumptions!$C11),'Monthly Revenue'!AM33)</f>
        <v>1102.5</v>
      </c>
      <c r="AO33" s="103"/>
    </row>
    <row r="34" spans="1:41" x14ac:dyDescent="0.25">
      <c r="A34" s="104" t="s">
        <v>7</v>
      </c>
      <c r="E34" s="103">
        <f>IF(MOD(E$5,12)=4,MAX(D34*(1+Assumptions!$C$14),Assumptions!$C12),'Monthly Revenue'!D34)</f>
        <v>0</v>
      </c>
      <c r="F34" s="103">
        <f>IF(MOD(F$5,12)=4,MAX(E34*(1+Assumptions!$C$14),Assumptions!$C12),'Monthly Revenue'!E34)</f>
        <v>0</v>
      </c>
      <c r="G34" s="103">
        <f>IF(MOD(G$5,12)=4,MAX(F34*(1+Assumptions!$C$14),Assumptions!$C12),'Monthly Revenue'!F34)</f>
        <v>0</v>
      </c>
      <c r="H34" s="103">
        <f>IF(MOD(H$5,12)=4,MAX(G34*(1+Assumptions!$C$14),Assumptions!$C12),'Monthly Revenue'!G34)</f>
        <v>300</v>
      </c>
      <c r="I34" s="103">
        <f>IF(MOD(I$5,12)=4,MAX(H34*(1+Assumptions!$C$14),Assumptions!$C12),'Monthly Revenue'!H34)</f>
        <v>300</v>
      </c>
      <c r="J34" s="103">
        <f>IF(MOD(J$5,12)=4,MAX(I34*(1+Assumptions!$C$14),Assumptions!$C12),'Monthly Revenue'!I34)</f>
        <v>300</v>
      </c>
      <c r="K34" s="103">
        <f>IF(MOD(K$5,12)=4,MAX(J34*(1+Assumptions!$C$14),Assumptions!$C12),'Monthly Revenue'!J34)</f>
        <v>300</v>
      </c>
      <c r="L34" s="103">
        <f>IF(MOD(L$5,12)=4,MAX(K34*(1+Assumptions!$C$14),Assumptions!$C12),'Monthly Revenue'!K34)</f>
        <v>300</v>
      </c>
      <c r="M34" s="103">
        <f>IF(MOD(M$5,12)=4,MAX(L34*(1+Assumptions!$C$14),Assumptions!$C12),'Monthly Revenue'!L34)</f>
        <v>300</v>
      </c>
      <c r="N34" s="103">
        <f>IF(MOD(N$5,12)=4,MAX(M34*(1+Assumptions!$C$14),Assumptions!$C12),'Monthly Revenue'!M34)</f>
        <v>300</v>
      </c>
      <c r="O34" s="103">
        <f>IF(MOD(O$5,12)=4,MAX(N34*(1+Assumptions!$C$14),Assumptions!$C12),'Monthly Revenue'!N34)</f>
        <v>300</v>
      </c>
      <c r="P34" s="103">
        <f>IF(MOD(P$5,12)=4,MAX(O34*(1+Assumptions!$C$14),Assumptions!$C12),'Monthly Revenue'!O34)</f>
        <v>300</v>
      </c>
      <c r="Q34" s="103">
        <f>IF(MOD(Q$5,12)=4,MAX(P34*(1+Assumptions!$C$14),Assumptions!$C12),'Monthly Revenue'!P34)</f>
        <v>300</v>
      </c>
      <c r="R34" s="103">
        <f>IF(MOD(R$5,12)=4,MAX(Q34*(1+Assumptions!$C$14),Assumptions!$C12),'Monthly Revenue'!Q34)</f>
        <v>300</v>
      </c>
      <c r="S34" s="103">
        <f>IF(MOD(S$5,12)=4,MAX(R34*(1+Assumptions!$C$14),Assumptions!$C12),'Monthly Revenue'!R34)</f>
        <v>300</v>
      </c>
      <c r="T34" s="103">
        <f>IF(MOD(T$5,12)=4,MAX(S34*(1+Assumptions!$C$14),Assumptions!$C12),'Monthly Revenue'!S34)</f>
        <v>315</v>
      </c>
      <c r="U34" s="103">
        <f>IF(MOD(U$5,12)=4,MAX(T34*(1+Assumptions!$C$14),Assumptions!$C12),'Monthly Revenue'!T34)</f>
        <v>315</v>
      </c>
      <c r="V34" s="103">
        <f>IF(MOD(V$5,12)=4,MAX(U34*(1+Assumptions!$C$14),Assumptions!$C12),'Monthly Revenue'!U34)</f>
        <v>315</v>
      </c>
      <c r="W34" s="103">
        <f>IF(MOD(W$5,12)=4,MAX(V34*(1+Assumptions!$C$14),Assumptions!$C12),'Monthly Revenue'!V34)</f>
        <v>315</v>
      </c>
      <c r="X34" s="103">
        <f>IF(MOD(X$5,12)=4,MAX(W34*(1+Assumptions!$C$14),Assumptions!$C12),'Monthly Revenue'!W34)</f>
        <v>315</v>
      </c>
      <c r="Y34" s="103">
        <f>IF(MOD(Y$5,12)=4,MAX(X34*(1+Assumptions!$C$14),Assumptions!$C12),'Monthly Revenue'!X34)</f>
        <v>315</v>
      </c>
      <c r="Z34" s="103">
        <f>IF(MOD(Z$5,12)=4,MAX(Y34*(1+Assumptions!$C$14),Assumptions!$C12),'Monthly Revenue'!Y34)</f>
        <v>315</v>
      </c>
      <c r="AA34" s="103">
        <f>IF(MOD(AA$5,12)=4,MAX(Z34*(1+Assumptions!$C$14),Assumptions!$C12),'Monthly Revenue'!Z34)</f>
        <v>315</v>
      </c>
      <c r="AB34" s="103">
        <f>IF(MOD(AB$5,12)=4,MAX(AA34*(1+Assumptions!$C$14),Assumptions!$C12),'Monthly Revenue'!AA34)</f>
        <v>315</v>
      </c>
      <c r="AC34" s="103">
        <f>IF(MOD(AC$5,12)=4,MAX(AB34*(1+Assumptions!$C$14),Assumptions!$C12),'Monthly Revenue'!AB34)</f>
        <v>315</v>
      </c>
      <c r="AD34" s="103">
        <f>IF(MOD(AD$5,12)=4,MAX(AC34*(1+Assumptions!$C$14),Assumptions!$C12),'Monthly Revenue'!AC34)</f>
        <v>315</v>
      </c>
      <c r="AE34" s="103">
        <f>IF(MOD(AE$5,12)=4,MAX(AD34*(1+Assumptions!$C$14),Assumptions!$C12),'Monthly Revenue'!AD34)</f>
        <v>315</v>
      </c>
      <c r="AF34" s="103">
        <f>IF(MOD(AF$5,12)=4,MAX(AE34*(1+Assumptions!$C$14),Assumptions!$C12),'Monthly Revenue'!AE34)</f>
        <v>330.75</v>
      </c>
      <c r="AG34" s="103">
        <f>IF(MOD(AG$5,12)=4,MAX(AF34*(1+Assumptions!$C$14),Assumptions!$C12),'Monthly Revenue'!AF34)</f>
        <v>330.75</v>
      </c>
      <c r="AH34" s="103">
        <f>IF(MOD(AH$5,12)=4,MAX(AG34*(1+Assumptions!$C$14),Assumptions!$C12),'Monthly Revenue'!AG34)</f>
        <v>330.75</v>
      </c>
      <c r="AI34" s="103">
        <f>IF(MOD(AI$5,12)=4,MAX(AH34*(1+Assumptions!$C$14),Assumptions!$C12),'Monthly Revenue'!AH34)</f>
        <v>330.75</v>
      </c>
      <c r="AJ34" s="103">
        <f>IF(MOD(AJ$5,12)=4,MAX(AI34*(1+Assumptions!$C$14),Assumptions!$C12),'Monthly Revenue'!AI34)</f>
        <v>330.75</v>
      </c>
      <c r="AK34" s="103">
        <f>IF(MOD(AK$5,12)=4,MAX(AJ34*(1+Assumptions!$C$14),Assumptions!$C12),'Monthly Revenue'!AJ34)</f>
        <v>330.75</v>
      </c>
      <c r="AL34" s="103">
        <f>IF(MOD(AL$5,12)=4,MAX(AK34*(1+Assumptions!$C$14),Assumptions!$C12),'Monthly Revenue'!AK34)</f>
        <v>330.75</v>
      </c>
      <c r="AM34" s="103">
        <f>IF(MOD(AM$5,12)=4,MAX(AL34*(1+Assumptions!$C$14),Assumptions!$C12),'Monthly Revenue'!AL34)</f>
        <v>330.75</v>
      </c>
      <c r="AN34" s="103">
        <f>IF(MOD(AN$5,12)=4,MAX(AM34*(1+Assumptions!$C$14),Assumptions!$C12),'Monthly Revenue'!AM34)</f>
        <v>330.75</v>
      </c>
      <c r="AO34" s="103"/>
    </row>
    <row r="35" spans="1:41" x14ac:dyDescent="0.25">
      <c r="A35" s="104" t="s">
        <v>8</v>
      </c>
      <c r="E35" s="103">
        <f>IF(MOD(E$5,12)=4,MAX(D35*(1+Assumptions!$C$14),Assumptions!$C13),'Monthly Revenue'!D35)</f>
        <v>0</v>
      </c>
      <c r="F35" s="103">
        <f>IF(MOD(F$5,12)=4,MAX(E35*(1+Assumptions!$C$14),Assumptions!$C13),'Monthly Revenue'!E35)</f>
        <v>0</v>
      </c>
      <c r="G35" s="103">
        <f>IF(MOD(G$5,12)=4,MAX(F35*(1+Assumptions!$C$14),Assumptions!$C13),'Monthly Revenue'!F35)</f>
        <v>0</v>
      </c>
      <c r="H35" s="103">
        <f>IF(MOD(H$5,12)=4,MAX(G35*(1+Assumptions!$C$14),Assumptions!$C13),'Monthly Revenue'!G35)</f>
        <v>1100</v>
      </c>
      <c r="I35" s="103">
        <f>IF(MOD(I$5,12)=4,MAX(H35*(1+Assumptions!$C$14),Assumptions!$C13),'Monthly Revenue'!H35)</f>
        <v>1100</v>
      </c>
      <c r="J35" s="103">
        <f>IF(MOD(J$5,12)=4,MAX(I35*(1+Assumptions!$C$14),Assumptions!$C13),'Monthly Revenue'!I35)</f>
        <v>1100</v>
      </c>
      <c r="K35" s="103">
        <f>IF(MOD(K$5,12)=4,MAX(J35*(1+Assumptions!$C$14),Assumptions!$C13),'Monthly Revenue'!J35)</f>
        <v>1100</v>
      </c>
      <c r="L35" s="103">
        <f>IF(MOD(L$5,12)=4,MAX(K35*(1+Assumptions!$C$14),Assumptions!$C13),'Monthly Revenue'!K35)</f>
        <v>1100</v>
      </c>
      <c r="M35" s="103">
        <f>IF(MOD(M$5,12)=4,MAX(L35*(1+Assumptions!$C$14),Assumptions!$C13),'Monthly Revenue'!L35)</f>
        <v>1100</v>
      </c>
      <c r="N35" s="103">
        <f>IF(MOD(N$5,12)=4,MAX(M35*(1+Assumptions!$C$14),Assumptions!$C13),'Monthly Revenue'!M35)</f>
        <v>1100</v>
      </c>
      <c r="O35" s="103">
        <f>IF(MOD(O$5,12)=4,MAX(N35*(1+Assumptions!$C$14),Assumptions!$C13),'Monthly Revenue'!N35)</f>
        <v>1100</v>
      </c>
      <c r="P35" s="103">
        <f>IF(MOD(P$5,12)=4,MAX(O35*(1+Assumptions!$C$14),Assumptions!$C13),'Monthly Revenue'!O35)</f>
        <v>1100</v>
      </c>
      <c r="Q35" s="103">
        <f>IF(MOD(Q$5,12)=4,MAX(P35*(1+Assumptions!$C$14),Assumptions!$C13),'Monthly Revenue'!P35)</f>
        <v>1100</v>
      </c>
      <c r="R35" s="103">
        <f>IF(MOD(R$5,12)=4,MAX(Q35*(1+Assumptions!$C$14),Assumptions!$C13),'Monthly Revenue'!Q35)</f>
        <v>1100</v>
      </c>
      <c r="S35" s="103">
        <f>IF(MOD(S$5,12)=4,MAX(R35*(1+Assumptions!$C$14),Assumptions!$C13),'Monthly Revenue'!R35)</f>
        <v>1100</v>
      </c>
      <c r="T35" s="103">
        <f>IF(MOD(T$5,12)=4,MAX(S35*(1+Assumptions!$C$14),Assumptions!$C13),'Monthly Revenue'!S35)</f>
        <v>1155</v>
      </c>
      <c r="U35" s="103">
        <f>IF(MOD(U$5,12)=4,MAX(T35*(1+Assumptions!$C$14),Assumptions!$C13),'Monthly Revenue'!T35)</f>
        <v>1155</v>
      </c>
      <c r="V35" s="103">
        <f>IF(MOD(V$5,12)=4,MAX(U35*(1+Assumptions!$C$14),Assumptions!$C13),'Monthly Revenue'!U35)</f>
        <v>1155</v>
      </c>
      <c r="W35" s="103">
        <f>IF(MOD(W$5,12)=4,MAX(V35*(1+Assumptions!$C$14),Assumptions!$C13),'Monthly Revenue'!V35)</f>
        <v>1155</v>
      </c>
      <c r="X35" s="103">
        <f>IF(MOD(X$5,12)=4,MAX(W35*(1+Assumptions!$C$14),Assumptions!$C13),'Monthly Revenue'!W35)</f>
        <v>1155</v>
      </c>
      <c r="Y35" s="103">
        <f>IF(MOD(Y$5,12)=4,MAX(X35*(1+Assumptions!$C$14),Assumptions!$C13),'Monthly Revenue'!X35)</f>
        <v>1155</v>
      </c>
      <c r="Z35" s="103">
        <f>IF(MOD(Z$5,12)=4,MAX(Y35*(1+Assumptions!$C$14),Assumptions!$C13),'Monthly Revenue'!Y35)</f>
        <v>1155</v>
      </c>
      <c r="AA35" s="103">
        <f>IF(MOD(AA$5,12)=4,MAX(Z35*(1+Assumptions!$C$14),Assumptions!$C13),'Monthly Revenue'!Z35)</f>
        <v>1155</v>
      </c>
      <c r="AB35" s="103">
        <f>IF(MOD(AB$5,12)=4,MAX(AA35*(1+Assumptions!$C$14),Assumptions!$C13),'Monthly Revenue'!AA35)</f>
        <v>1155</v>
      </c>
      <c r="AC35" s="103">
        <f>IF(MOD(AC$5,12)=4,MAX(AB35*(1+Assumptions!$C$14),Assumptions!$C13),'Monthly Revenue'!AB35)</f>
        <v>1155</v>
      </c>
      <c r="AD35" s="103">
        <f>IF(MOD(AD$5,12)=4,MAX(AC35*(1+Assumptions!$C$14),Assumptions!$C13),'Monthly Revenue'!AC35)</f>
        <v>1155</v>
      </c>
      <c r="AE35" s="103">
        <f>IF(MOD(AE$5,12)=4,MAX(AD35*(1+Assumptions!$C$14),Assumptions!$C13),'Monthly Revenue'!AD35)</f>
        <v>1155</v>
      </c>
      <c r="AF35" s="103">
        <f>IF(MOD(AF$5,12)=4,MAX(AE35*(1+Assumptions!$C$14),Assumptions!$C13),'Monthly Revenue'!AE35)</f>
        <v>1212.75</v>
      </c>
      <c r="AG35" s="103">
        <f>IF(MOD(AG$5,12)=4,MAX(AF35*(1+Assumptions!$C$14),Assumptions!$C13),'Monthly Revenue'!AF35)</f>
        <v>1212.75</v>
      </c>
      <c r="AH35" s="103">
        <f>IF(MOD(AH$5,12)=4,MAX(AG35*(1+Assumptions!$C$14),Assumptions!$C13),'Monthly Revenue'!AG35)</f>
        <v>1212.75</v>
      </c>
      <c r="AI35" s="103">
        <f>IF(MOD(AI$5,12)=4,MAX(AH35*(1+Assumptions!$C$14),Assumptions!$C13),'Monthly Revenue'!AH35)</f>
        <v>1212.75</v>
      </c>
      <c r="AJ35" s="103">
        <f>IF(MOD(AJ$5,12)=4,MAX(AI35*(1+Assumptions!$C$14),Assumptions!$C13),'Monthly Revenue'!AI35)</f>
        <v>1212.75</v>
      </c>
      <c r="AK35" s="103">
        <f>IF(MOD(AK$5,12)=4,MAX(AJ35*(1+Assumptions!$C$14),Assumptions!$C13),'Monthly Revenue'!AJ35)</f>
        <v>1212.75</v>
      </c>
      <c r="AL35" s="103">
        <f>IF(MOD(AL$5,12)=4,MAX(AK35*(1+Assumptions!$C$14),Assumptions!$C13),'Monthly Revenue'!AK35)</f>
        <v>1212.75</v>
      </c>
      <c r="AM35" s="103">
        <f>IF(MOD(AM$5,12)=4,MAX(AL35*(1+Assumptions!$C$14),Assumptions!$C13),'Monthly Revenue'!AL35)</f>
        <v>1212.75</v>
      </c>
      <c r="AN35" s="103">
        <f>IF(MOD(AN$5,12)=4,MAX(AM35*(1+Assumptions!$C$14),Assumptions!$C13),'Monthly Revenue'!AM35)</f>
        <v>1212.75</v>
      </c>
      <c r="AO35" s="103"/>
    </row>
    <row r="36" spans="1:41" ht="15.75" thickBot="1" x14ac:dyDescent="0.3">
      <c r="A36" s="105" t="s">
        <v>54</v>
      </c>
      <c r="E36" s="116">
        <f>SUM(E33:E35)</f>
        <v>0</v>
      </c>
      <c r="F36" s="116">
        <f t="shared" ref="F36:AN36" si="33">SUM(F33:F35)</f>
        <v>0</v>
      </c>
      <c r="G36" s="116">
        <f t="shared" si="33"/>
        <v>0</v>
      </c>
      <c r="H36" s="116">
        <f t="shared" si="33"/>
        <v>2400</v>
      </c>
      <c r="I36" s="116">
        <f t="shared" si="33"/>
        <v>2400</v>
      </c>
      <c r="J36" s="116">
        <f t="shared" si="33"/>
        <v>2400</v>
      </c>
      <c r="K36" s="116">
        <f t="shared" si="33"/>
        <v>2400</v>
      </c>
      <c r="L36" s="116">
        <f t="shared" si="33"/>
        <v>2400</v>
      </c>
      <c r="M36" s="116">
        <f t="shared" si="33"/>
        <v>2400</v>
      </c>
      <c r="N36" s="116">
        <f t="shared" si="33"/>
        <v>2400</v>
      </c>
      <c r="O36" s="116">
        <f t="shared" si="33"/>
        <v>2400</v>
      </c>
      <c r="P36" s="116">
        <f t="shared" si="33"/>
        <v>2400</v>
      </c>
      <c r="Q36" s="116">
        <f t="shared" si="33"/>
        <v>2400</v>
      </c>
      <c r="R36" s="116">
        <f t="shared" si="33"/>
        <v>2400</v>
      </c>
      <c r="S36" s="116">
        <f t="shared" si="33"/>
        <v>2400</v>
      </c>
      <c r="T36" s="116">
        <f t="shared" si="33"/>
        <v>2520</v>
      </c>
      <c r="U36" s="116">
        <f t="shared" si="33"/>
        <v>2520</v>
      </c>
      <c r="V36" s="116">
        <f t="shared" si="33"/>
        <v>2520</v>
      </c>
      <c r="W36" s="116">
        <f t="shared" si="33"/>
        <v>2520</v>
      </c>
      <c r="X36" s="116">
        <f t="shared" si="33"/>
        <v>2520</v>
      </c>
      <c r="Y36" s="116">
        <f t="shared" si="33"/>
        <v>2520</v>
      </c>
      <c r="Z36" s="116">
        <f t="shared" si="33"/>
        <v>2520</v>
      </c>
      <c r="AA36" s="116">
        <f t="shared" si="33"/>
        <v>2520</v>
      </c>
      <c r="AB36" s="116">
        <f t="shared" si="33"/>
        <v>2520</v>
      </c>
      <c r="AC36" s="116">
        <f t="shared" si="33"/>
        <v>2520</v>
      </c>
      <c r="AD36" s="116">
        <f t="shared" si="33"/>
        <v>2520</v>
      </c>
      <c r="AE36" s="116">
        <f t="shared" si="33"/>
        <v>2520</v>
      </c>
      <c r="AF36" s="116">
        <f t="shared" si="33"/>
        <v>2646</v>
      </c>
      <c r="AG36" s="116">
        <f t="shared" si="33"/>
        <v>2646</v>
      </c>
      <c r="AH36" s="116">
        <f t="shared" si="33"/>
        <v>2646</v>
      </c>
      <c r="AI36" s="116">
        <f t="shared" si="33"/>
        <v>2646</v>
      </c>
      <c r="AJ36" s="116">
        <f t="shared" si="33"/>
        <v>2646</v>
      </c>
      <c r="AK36" s="116">
        <f t="shared" si="33"/>
        <v>2646</v>
      </c>
      <c r="AL36" s="116">
        <f t="shared" si="33"/>
        <v>2646</v>
      </c>
      <c r="AM36" s="116">
        <f t="shared" si="33"/>
        <v>2646</v>
      </c>
      <c r="AN36" s="116">
        <f t="shared" si="33"/>
        <v>2646</v>
      </c>
      <c r="AO36" s="103"/>
    </row>
    <row r="37" spans="1:41" ht="15.75" thickTop="1" x14ac:dyDescent="0.25">
      <c r="A37" s="7" t="s">
        <v>16</v>
      </c>
      <c r="AO37" s="103"/>
    </row>
    <row r="38" spans="1:41" x14ac:dyDescent="0.25">
      <c r="A38" s="104" t="s">
        <v>6</v>
      </c>
      <c r="E38" s="103">
        <f>IF(MOD(E$5,12)=4,MAX(D38*(1+Assumptions!$G$14),Assumptions!$G11),'Monthly Revenue'!D38)</f>
        <v>0</v>
      </c>
      <c r="F38" s="103">
        <f>IF(MOD(F$5,12)=4,MAX(E38*(1+Assumptions!$G$14),Assumptions!$G11),'Monthly Revenue'!E38)</f>
        <v>0</v>
      </c>
      <c r="G38" s="103">
        <f>IF(MOD(G$5,12)=4,MAX(F38*(1+Assumptions!$G$14),Assumptions!$G11),'Monthly Revenue'!F38)</f>
        <v>0</v>
      </c>
      <c r="H38" s="103">
        <f>IF(MOD(H$5,12)=4,MAX(G38*(1+Assumptions!$G$14),Assumptions!$G11),'Monthly Revenue'!G38)</f>
        <v>1000</v>
      </c>
      <c r="I38" s="103">
        <f>IF(MOD(I$5,12)=4,MAX(H38*(1+Assumptions!$G$14),Assumptions!$G11),'Monthly Revenue'!H38)</f>
        <v>1000</v>
      </c>
      <c r="J38" s="103">
        <f>IF(MOD(J$5,12)=4,MAX(I38*(1+Assumptions!$G$14),Assumptions!$G11),'Monthly Revenue'!I38)</f>
        <v>1000</v>
      </c>
      <c r="K38" s="103">
        <f>IF(MOD(K$5,12)=4,MAX(J38*(1+Assumptions!$G$14),Assumptions!$G11),'Monthly Revenue'!J38)</f>
        <v>1000</v>
      </c>
      <c r="L38" s="103">
        <f>IF(MOD(L$5,12)=4,MAX(K38*(1+Assumptions!$G$14),Assumptions!$G11),'Monthly Revenue'!K38)</f>
        <v>1000</v>
      </c>
      <c r="M38" s="103">
        <f>IF(MOD(M$5,12)=4,MAX(L38*(1+Assumptions!$G$14),Assumptions!$G11),'Monthly Revenue'!L38)</f>
        <v>1000</v>
      </c>
      <c r="N38" s="103">
        <f>IF(MOD(N$5,12)=4,MAX(M38*(1+Assumptions!$G$14),Assumptions!$G11),'Monthly Revenue'!M38)</f>
        <v>1000</v>
      </c>
      <c r="O38" s="103">
        <f>IF(MOD(O$5,12)=4,MAX(N38*(1+Assumptions!$G$14),Assumptions!$G11),'Monthly Revenue'!N38)</f>
        <v>1000</v>
      </c>
      <c r="P38" s="103">
        <f>IF(MOD(P$5,12)=4,MAX(O38*(1+Assumptions!$G$14),Assumptions!$G11),'Monthly Revenue'!O38)</f>
        <v>1000</v>
      </c>
      <c r="Q38" s="103">
        <f>IF(MOD(Q$5,12)=4,MAX(P38*(1+Assumptions!$G$14),Assumptions!$G11),'Monthly Revenue'!P38)</f>
        <v>1000</v>
      </c>
      <c r="R38" s="103">
        <f>IF(MOD(R$5,12)=4,MAX(Q38*(1+Assumptions!$G$14),Assumptions!$G11),'Monthly Revenue'!Q38)</f>
        <v>1000</v>
      </c>
      <c r="S38" s="103">
        <f>IF(MOD(S$5,12)=4,MAX(R38*(1+Assumptions!$G$14),Assumptions!$G11),'Monthly Revenue'!R38)</f>
        <v>1000</v>
      </c>
      <c r="T38" s="103">
        <f>IF(MOD(T$5,12)=4,MAX(S38*(1+Assumptions!$G$14),Assumptions!$G11),'Monthly Revenue'!S38)</f>
        <v>1050</v>
      </c>
      <c r="U38" s="103">
        <f>IF(MOD(U$5,12)=4,MAX(T38*(1+Assumptions!$G$14),Assumptions!$G11),'Monthly Revenue'!T38)</f>
        <v>1050</v>
      </c>
      <c r="V38" s="103">
        <f>IF(MOD(V$5,12)=4,MAX(U38*(1+Assumptions!$G$14),Assumptions!$G11),'Monthly Revenue'!U38)</f>
        <v>1050</v>
      </c>
      <c r="W38" s="103">
        <f>IF(MOD(W$5,12)=4,MAX(V38*(1+Assumptions!$G$14),Assumptions!$G11),'Monthly Revenue'!V38)</f>
        <v>1050</v>
      </c>
      <c r="X38" s="103">
        <f>IF(MOD(X$5,12)=4,MAX(W38*(1+Assumptions!$G$14),Assumptions!$G11),'Monthly Revenue'!W38)</f>
        <v>1050</v>
      </c>
      <c r="Y38" s="103">
        <f>IF(MOD(Y$5,12)=4,MAX(X38*(1+Assumptions!$G$14),Assumptions!$G11),'Monthly Revenue'!X38)</f>
        <v>1050</v>
      </c>
      <c r="Z38" s="103">
        <f>IF(MOD(Z$5,12)=4,MAX(Y38*(1+Assumptions!$G$14),Assumptions!$G11),'Monthly Revenue'!Y38)</f>
        <v>1050</v>
      </c>
      <c r="AA38" s="103">
        <f>IF(MOD(AA$5,12)=4,MAX(Z38*(1+Assumptions!$G$14),Assumptions!$G11),'Monthly Revenue'!Z38)</f>
        <v>1050</v>
      </c>
      <c r="AB38" s="103">
        <f>IF(MOD(AB$5,12)=4,MAX(AA38*(1+Assumptions!$G$14),Assumptions!$G11),'Monthly Revenue'!AA38)</f>
        <v>1050</v>
      </c>
      <c r="AC38" s="103">
        <f>IF(MOD(AC$5,12)=4,MAX(AB38*(1+Assumptions!$G$14),Assumptions!$G11),'Monthly Revenue'!AB38)</f>
        <v>1050</v>
      </c>
      <c r="AD38" s="103">
        <f>IF(MOD(AD$5,12)=4,MAX(AC38*(1+Assumptions!$G$14),Assumptions!$G11),'Monthly Revenue'!AC38)</f>
        <v>1050</v>
      </c>
      <c r="AE38" s="103">
        <f>IF(MOD(AE$5,12)=4,MAX(AD38*(1+Assumptions!$G$14),Assumptions!$G11),'Monthly Revenue'!AD38)</f>
        <v>1050</v>
      </c>
      <c r="AF38" s="103">
        <f>IF(MOD(AF$5,12)=4,MAX(AE38*(1+Assumptions!$G$14),Assumptions!$G11),'Monthly Revenue'!AE38)</f>
        <v>1102.5</v>
      </c>
      <c r="AG38" s="103">
        <f>IF(MOD(AG$5,12)=4,MAX(AF38*(1+Assumptions!$G$14),Assumptions!$G11),'Monthly Revenue'!AF38)</f>
        <v>1102.5</v>
      </c>
      <c r="AH38" s="103">
        <f>IF(MOD(AH$5,12)=4,MAX(AG38*(1+Assumptions!$G$14),Assumptions!$G11),'Monthly Revenue'!AG38)</f>
        <v>1102.5</v>
      </c>
      <c r="AI38" s="103">
        <f>IF(MOD(AI$5,12)=4,MAX(AH38*(1+Assumptions!$G$14),Assumptions!$G11),'Monthly Revenue'!AH38)</f>
        <v>1102.5</v>
      </c>
      <c r="AJ38" s="103">
        <f>IF(MOD(AJ$5,12)=4,MAX(AI38*(1+Assumptions!$G$14),Assumptions!$G11),'Monthly Revenue'!AI38)</f>
        <v>1102.5</v>
      </c>
      <c r="AK38" s="103">
        <f>IF(MOD(AK$5,12)=4,MAX(AJ38*(1+Assumptions!$G$14),Assumptions!$G11),'Monthly Revenue'!AJ38)</f>
        <v>1102.5</v>
      </c>
      <c r="AL38" s="103">
        <f>IF(MOD(AL$5,12)=4,MAX(AK38*(1+Assumptions!$G$14),Assumptions!$G11),'Monthly Revenue'!AK38)</f>
        <v>1102.5</v>
      </c>
      <c r="AM38" s="103">
        <f>IF(MOD(AM$5,12)=4,MAX(AL38*(1+Assumptions!$G$14),Assumptions!$G11),'Monthly Revenue'!AL38)</f>
        <v>1102.5</v>
      </c>
      <c r="AN38" s="103">
        <f>IF(MOD(AN$5,12)=4,MAX(AM38*(1+Assumptions!$G$14),Assumptions!$G11),'Monthly Revenue'!AM38)</f>
        <v>1102.5</v>
      </c>
      <c r="AO38" s="103"/>
    </row>
    <row r="39" spans="1:41" x14ac:dyDescent="0.25">
      <c r="A39" s="104" t="s">
        <v>7</v>
      </c>
      <c r="E39" s="103">
        <f>IF(MOD(E$5,12)=4,MAX(D39*(1+Assumptions!$G$14),Assumptions!$G12),'Monthly Revenue'!D39)</f>
        <v>0</v>
      </c>
      <c r="F39" s="103">
        <f>IF(MOD(F$5,12)=4,MAX(E39*(1+Assumptions!$G$14),Assumptions!$G12),'Monthly Revenue'!E39)</f>
        <v>0</v>
      </c>
      <c r="G39" s="103">
        <f>IF(MOD(G$5,12)=4,MAX(F39*(1+Assumptions!$G$14),Assumptions!$G12),'Monthly Revenue'!F39)</f>
        <v>0</v>
      </c>
      <c r="H39" s="103">
        <f>IF(MOD(H$5,12)=4,MAX(G39*(1+Assumptions!$G$14),Assumptions!$G12),'Monthly Revenue'!G39)</f>
        <v>300</v>
      </c>
      <c r="I39" s="103">
        <f>IF(MOD(I$5,12)=4,MAX(H39*(1+Assumptions!$G$14),Assumptions!$G12),'Monthly Revenue'!H39)</f>
        <v>300</v>
      </c>
      <c r="J39" s="103">
        <f>IF(MOD(J$5,12)=4,MAX(I39*(1+Assumptions!$G$14),Assumptions!$G12),'Monthly Revenue'!I39)</f>
        <v>300</v>
      </c>
      <c r="K39" s="103">
        <f>IF(MOD(K$5,12)=4,MAX(J39*(1+Assumptions!$G$14),Assumptions!$G12),'Monthly Revenue'!J39)</f>
        <v>300</v>
      </c>
      <c r="L39" s="103">
        <f>IF(MOD(L$5,12)=4,MAX(K39*(1+Assumptions!$G$14),Assumptions!$G12),'Monthly Revenue'!K39)</f>
        <v>300</v>
      </c>
      <c r="M39" s="103">
        <f>IF(MOD(M$5,12)=4,MAX(L39*(1+Assumptions!$G$14),Assumptions!$G12),'Monthly Revenue'!L39)</f>
        <v>300</v>
      </c>
      <c r="N39" s="103">
        <f>IF(MOD(N$5,12)=4,MAX(M39*(1+Assumptions!$G$14),Assumptions!$G12),'Monthly Revenue'!M39)</f>
        <v>300</v>
      </c>
      <c r="O39" s="103">
        <f>IF(MOD(O$5,12)=4,MAX(N39*(1+Assumptions!$G$14),Assumptions!$G12),'Monthly Revenue'!N39)</f>
        <v>300</v>
      </c>
      <c r="P39" s="103">
        <f>IF(MOD(P$5,12)=4,MAX(O39*(1+Assumptions!$G$14),Assumptions!$G12),'Monthly Revenue'!O39)</f>
        <v>300</v>
      </c>
      <c r="Q39" s="103">
        <f>IF(MOD(Q$5,12)=4,MAX(P39*(1+Assumptions!$G$14),Assumptions!$G12),'Monthly Revenue'!P39)</f>
        <v>300</v>
      </c>
      <c r="R39" s="103">
        <f>IF(MOD(R$5,12)=4,MAX(Q39*(1+Assumptions!$G$14),Assumptions!$G12),'Monthly Revenue'!Q39)</f>
        <v>300</v>
      </c>
      <c r="S39" s="103">
        <f>IF(MOD(S$5,12)=4,MAX(R39*(1+Assumptions!$G$14),Assumptions!$G12),'Monthly Revenue'!R39)</f>
        <v>300</v>
      </c>
      <c r="T39" s="103">
        <f>IF(MOD(T$5,12)=4,MAX(S39*(1+Assumptions!$G$14),Assumptions!$G12),'Monthly Revenue'!S39)</f>
        <v>315</v>
      </c>
      <c r="U39" s="103">
        <f>IF(MOD(U$5,12)=4,MAX(T39*(1+Assumptions!$G$14),Assumptions!$G12),'Monthly Revenue'!T39)</f>
        <v>315</v>
      </c>
      <c r="V39" s="103">
        <f>IF(MOD(V$5,12)=4,MAX(U39*(1+Assumptions!$G$14),Assumptions!$G12),'Monthly Revenue'!U39)</f>
        <v>315</v>
      </c>
      <c r="W39" s="103">
        <f>IF(MOD(W$5,12)=4,MAX(V39*(1+Assumptions!$G$14),Assumptions!$G12),'Monthly Revenue'!V39)</f>
        <v>315</v>
      </c>
      <c r="X39" s="103">
        <f>IF(MOD(X$5,12)=4,MAX(W39*(1+Assumptions!$G$14),Assumptions!$G12),'Monthly Revenue'!W39)</f>
        <v>315</v>
      </c>
      <c r="Y39" s="103">
        <f>IF(MOD(Y$5,12)=4,MAX(X39*(1+Assumptions!$G$14),Assumptions!$G12),'Monthly Revenue'!X39)</f>
        <v>315</v>
      </c>
      <c r="Z39" s="103">
        <f>IF(MOD(Z$5,12)=4,MAX(Y39*(1+Assumptions!$G$14),Assumptions!$G12),'Monthly Revenue'!Y39)</f>
        <v>315</v>
      </c>
      <c r="AA39" s="103">
        <f>IF(MOD(AA$5,12)=4,MAX(Z39*(1+Assumptions!$G$14),Assumptions!$G12),'Monthly Revenue'!Z39)</f>
        <v>315</v>
      </c>
      <c r="AB39" s="103">
        <f>IF(MOD(AB$5,12)=4,MAX(AA39*(1+Assumptions!$G$14),Assumptions!$G12),'Monthly Revenue'!AA39)</f>
        <v>315</v>
      </c>
      <c r="AC39" s="103">
        <f>IF(MOD(AC$5,12)=4,MAX(AB39*(1+Assumptions!$G$14),Assumptions!$G12),'Monthly Revenue'!AB39)</f>
        <v>315</v>
      </c>
      <c r="AD39" s="103">
        <f>IF(MOD(AD$5,12)=4,MAX(AC39*(1+Assumptions!$G$14),Assumptions!$G12),'Monthly Revenue'!AC39)</f>
        <v>315</v>
      </c>
      <c r="AE39" s="103">
        <f>IF(MOD(AE$5,12)=4,MAX(AD39*(1+Assumptions!$G$14),Assumptions!$G12),'Monthly Revenue'!AD39)</f>
        <v>315</v>
      </c>
      <c r="AF39" s="103">
        <f>IF(MOD(AF$5,12)=4,MAX(AE39*(1+Assumptions!$G$14),Assumptions!$G12),'Monthly Revenue'!AE39)</f>
        <v>330.75</v>
      </c>
      <c r="AG39" s="103">
        <f>IF(MOD(AG$5,12)=4,MAX(AF39*(1+Assumptions!$G$14),Assumptions!$G12),'Monthly Revenue'!AF39)</f>
        <v>330.75</v>
      </c>
      <c r="AH39" s="103">
        <f>IF(MOD(AH$5,12)=4,MAX(AG39*(1+Assumptions!$G$14),Assumptions!$G12),'Monthly Revenue'!AG39)</f>
        <v>330.75</v>
      </c>
      <c r="AI39" s="103">
        <f>IF(MOD(AI$5,12)=4,MAX(AH39*(1+Assumptions!$G$14),Assumptions!$G12),'Monthly Revenue'!AH39)</f>
        <v>330.75</v>
      </c>
      <c r="AJ39" s="103">
        <f>IF(MOD(AJ$5,12)=4,MAX(AI39*(1+Assumptions!$G$14),Assumptions!$G12),'Monthly Revenue'!AI39)</f>
        <v>330.75</v>
      </c>
      <c r="AK39" s="103">
        <f>IF(MOD(AK$5,12)=4,MAX(AJ39*(1+Assumptions!$G$14),Assumptions!$G12),'Monthly Revenue'!AJ39)</f>
        <v>330.75</v>
      </c>
      <c r="AL39" s="103">
        <f>IF(MOD(AL$5,12)=4,MAX(AK39*(1+Assumptions!$G$14),Assumptions!$G12),'Monthly Revenue'!AK39)</f>
        <v>330.75</v>
      </c>
      <c r="AM39" s="103">
        <f>IF(MOD(AM$5,12)=4,MAX(AL39*(1+Assumptions!$G$14),Assumptions!$G12),'Monthly Revenue'!AL39)</f>
        <v>330.75</v>
      </c>
      <c r="AN39" s="103">
        <f>IF(MOD(AN$5,12)=4,MAX(AM39*(1+Assumptions!$G$14),Assumptions!$G12),'Monthly Revenue'!AM39)</f>
        <v>330.75</v>
      </c>
      <c r="AO39" s="103"/>
    </row>
    <row r="40" spans="1:41" x14ac:dyDescent="0.25">
      <c r="A40" s="104" t="s">
        <v>8</v>
      </c>
      <c r="E40" s="103">
        <f>IF(MOD(E$5,12)=4,MAX(D40*(1+Assumptions!$G$14),Assumptions!$G13),'Monthly Revenue'!D40)</f>
        <v>0</v>
      </c>
      <c r="F40" s="103">
        <f>IF(MOD(F$5,12)=4,MAX(E40*(1+Assumptions!$G$14),Assumptions!$G13),'Monthly Revenue'!E40)</f>
        <v>0</v>
      </c>
      <c r="G40" s="103">
        <f>IF(MOD(G$5,12)=4,MAX(F40*(1+Assumptions!$G$14),Assumptions!$G13),'Monthly Revenue'!F40)</f>
        <v>0</v>
      </c>
      <c r="H40" s="103">
        <f>IF(MOD(H$5,12)=4,MAX(G40*(1+Assumptions!$G$14),Assumptions!$G13),'Monthly Revenue'!G40)</f>
        <v>1100</v>
      </c>
      <c r="I40" s="103">
        <f>IF(MOD(I$5,12)=4,MAX(H40*(1+Assumptions!$G$14),Assumptions!$G13),'Monthly Revenue'!H40)</f>
        <v>1100</v>
      </c>
      <c r="J40" s="103">
        <f>IF(MOD(J$5,12)=4,MAX(I40*(1+Assumptions!$G$14),Assumptions!$G13),'Monthly Revenue'!I40)</f>
        <v>1100</v>
      </c>
      <c r="K40" s="103">
        <f>IF(MOD(K$5,12)=4,MAX(J40*(1+Assumptions!$G$14),Assumptions!$G13),'Monthly Revenue'!J40)</f>
        <v>1100</v>
      </c>
      <c r="L40" s="103">
        <f>IF(MOD(L$5,12)=4,MAX(K40*(1+Assumptions!$G$14),Assumptions!$G13),'Monthly Revenue'!K40)</f>
        <v>1100</v>
      </c>
      <c r="M40" s="103">
        <f>IF(MOD(M$5,12)=4,MAX(L40*(1+Assumptions!$G$14),Assumptions!$G13),'Monthly Revenue'!L40)</f>
        <v>1100</v>
      </c>
      <c r="N40" s="103">
        <f>IF(MOD(N$5,12)=4,MAX(M40*(1+Assumptions!$G$14),Assumptions!$G13),'Monthly Revenue'!M40)</f>
        <v>1100</v>
      </c>
      <c r="O40" s="103">
        <f>IF(MOD(O$5,12)=4,MAX(N40*(1+Assumptions!$G$14),Assumptions!$G13),'Monthly Revenue'!N40)</f>
        <v>1100</v>
      </c>
      <c r="P40" s="103">
        <f>IF(MOD(P$5,12)=4,MAX(O40*(1+Assumptions!$G$14),Assumptions!$G13),'Monthly Revenue'!O40)</f>
        <v>1100</v>
      </c>
      <c r="Q40" s="103">
        <f>IF(MOD(Q$5,12)=4,MAX(P40*(1+Assumptions!$G$14),Assumptions!$G13),'Monthly Revenue'!P40)</f>
        <v>1100</v>
      </c>
      <c r="R40" s="103">
        <f>IF(MOD(R$5,12)=4,MAX(Q40*(1+Assumptions!$G$14),Assumptions!$G13),'Monthly Revenue'!Q40)</f>
        <v>1100</v>
      </c>
      <c r="S40" s="103">
        <f>IF(MOD(S$5,12)=4,MAX(R40*(1+Assumptions!$G$14),Assumptions!$G13),'Monthly Revenue'!R40)</f>
        <v>1100</v>
      </c>
      <c r="T40" s="103">
        <f>IF(MOD(T$5,12)=4,MAX(S40*(1+Assumptions!$G$14),Assumptions!$G13),'Monthly Revenue'!S40)</f>
        <v>1155</v>
      </c>
      <c r="U40" s="103">
        <f>IF(MOD(U$5,12)=4,MAX(T40*(1+Assumptions!$G$14),Assumptions!$G13),'Monthly Revenue'!T40)</f>
        <v>1155</v>
      </c>
      <c r="V40" s="103">
        <f>IF(MOD(V$5,12)=4,MAX(U40*(1+Assumptions!$G$14),Assumptions!$G13),'Monthly Revenue'!U40)</f>
        <v>1155</v>
      </c>
      <c r="W40" s="103">
        <f>IF(MOD(W$5,12)=4,MAX(V40*(1+Assumptions!$G$14),Assumptions!$G13),'Monthly Revenue'!V40)</f>
        <v>1155</v>
      </c>
      <c r="X40" s="103">
        <f>IF(MOD(X$5,12)=4,MAX(W40*(1+Assumptions!$G$14),Assumptions!$G13),'Monthly Revenue'!W40)</f>
        <v>1155</v>
      </c>
      <c r="Y40" s="103">
        <f>IF(MOD(Y$5,12)=4,MAX(X40*(1+Assumptions!$G$14),Assumptions!$G13),'Monthly Revenue'!X40)</f>
        <v>1155</v>
      </c>
      <c r="Z40" s="103">
        <f>IF(MOD(Z$5,12)=4,MAX(Y40*(1+Assumptions!$G$14),Assumptions!$G13),'Monthly Revenue'!Y40)</f>
        <v>1155</v>
      </c>
      <c r="AA40" s="103">
        <f>IF(MOD(AA$5,12)=4,MAX(Z40*(1+Assumptions!$G$14),Assumptions!$G13),'Monthly Revenue'!Z40)</f>
        <v>1155</v>
      </c>
      <c r="AB40" s="103">
        <f>IF(MOD(AB$5,12)=4,MAX(AA40*(1+Assumptions!$G$14),Assumptions!$G13),'Monthly Revenue'!AA40)</f>
        <v>1155</v>
      </c>
      <c r="AC40" s="103">
        <f>IF(MOD(AC$5,12)=4,MAX(AB40*(1+Assumptions!$G$14),Assumptions!$G13),'Monthly Revenue'!AB40)</f>
        <v>1155</v>
      </c>
      <c r="AD40" s="103">
        <f>IF(MOD(AD$5,12)=4,MAX(AC40*(1+Assumptions!$G$14),Assumptions!$G13),'Monthly Revenue'!AC40)</f>
        <v>1155</v>
      </c>
      <c r="AE40" s="103">
        <f>IF(MOD(AE$5,12)=4,MAX(AD40*(1+Assumptions!$G$14),Assumptions!$G13),'Monthly Revenue'!AD40)</f>
        <v>1155</v>
      </c>
      <c r="AF40" s="103">
        <f>IF(MOD(AF$5,12)=4,MAX(AE40*(1+Assumptions!$G$14),Assumptions!$G13),'Monthly Revenue'!AE40)</f>
        <v>1212.75</v>
      </c>
      <c r="AG40" s="103">
        <f>IF(MOD(AG$5,12)=4,MAX(AF40*(1+Assumptions!$G$14),Assumptions!$G13),'Monthly Revenue'!AF40)</f>
        <v>1212.75</v>
      </c>
      <c r="AH40" s="103">
        <f>IF(MOD(AH$5,12)=4,MAX(AG40*(1+Assumptions!$G$14),Assumptions!$G13),'Monthly Revenue'!AG40)</f>
        <v>1212.75</v>
      </c>
      <c r="AI40" s="103">
        <f>IF(MOD(AI$5,12)=4,MAX(AH40*(1+Assumptions!$G$14),Assumptions!$G13),'Monthly Revenue'!AH40)</f>
        <v>1212.75</v>
      </c>
      <c r="AJ40" s="103">
        <f>IF(MOD(AJ$5,12)=4,MAX(AI40*(1+Assumptions!$G$14),Assumptions!$G13),'Monthly Revenue'!AI40)</f>
        <v>1212.75</v>
      </c>
      <c r="AK40" s="103">
        <f>IF(MOD(AK$5,12)=4,MAX(AJ40*(1+Assumptions!$G$14),Assumptions!$G13),'Monthly Revenue'!AJ40)</f>
        <v>1212.75</v>
      </c>
      <c r="AL40" s="103">
        <f>IF(MOD(AL$5,12)=4,MAX(AK40*(1+Assumptions!$G$14),Assumptions!$G13),'Monthly Revenue'!AK40)</f>
        <v>1212.75</v>
      </c>
      <c r="AM40" s="103">
        <f>IF(MOD(AM$5,12)=4,MAX(AL40*(1+Assumptions!$G$14),Assumptions!$G13),'Monthly Revenue'!AL40)</f>
        <v>1212.75</v>
      </c>
      <c r="AN40" s="103">
        <f>IF(MOD(AN$5,12)=4,MAX(AM40*(1+Assumptions!$G$14),Assumptions!$G13),'Monthly Revenue'!AM40)</f>
        <v>1212.75</v>
      </c>
      <c r="AO40" s="103"/>
    </row>
    <row r="41" spans="1:41" ht="15.75" thickBot="1" x14ac:dyDescent="0.3">
      <c r="A41" s="105" t="s">
        <v>54</v>
      </c>
      <c r="E41" s="116">
        <f t="shared" ref="E41" si="34">SUM(E38:E40)</f>
        <v>0</v>
      </c>
      <c r="F41" s="116">
        <f t="shared" ref="F41" si="35">SUM(F38:F40)</f>
        <v>0</v>
      </c>
      <c r="G41" s="116">
        <f t="shared" ref="G41" si="36">SUM(G38:G40)</f>
        <v>0</v>
      </c>
      <c r="H41" s="116">
        <f t="shared" ref="H41" si="37">SUM(H38:H40)</f>
        <v>2400</v>
      </c>
      <c r="I41" s="116">
        <f t="shared" ref="I41" si="38">SUM(I38:I40)</f>
        <v>2400</v>
      </c>
      <c r="J41" s="116">
        <f t="shared" ref="J41" si="39">SUM(J38:J40)</f>
        <v>2400</v>
      </c>
      <c r="K41" s="116">
        <f t="shared" ref="K41" si="40">SUM(K38:K40)</f>
        <v>2400</v>
      </c>
      <c r="L41" s="116">
        <f t="shared" ref="L41" si="41">SUM(L38:L40)</f>
        <v>2400</v>
      </c>
      <c r="M41" s="116">
        <f t="shared" ref="M41" si="42">SUM(M38:M40)</f>
        <v>2400</v>
      </c>
      <c r="N41" s="116">
        <f t="shared" ref="N41" si="43">SUM(N38:N40)</f>
        <v>2400</v>
      </c>
      <c r="O41" s="116">
        <f t="shared" ref="O41" si="44">SUM(O38:O40)</f>
        <v>2400</v>
      </c>
      <c r="P41" s="116">
        <f t="shared" ref="P41" si="45">SUM(P38:P40)</f>
        <v>2400</v>
      </c>
      <c r="Q41" s="116">
        <f t="shared" ref="Q41" si="46">SUM(Q38:Q40)</f>
        <v>2400</v>
      </c>
      <c r="R41" s="116">
        <f t="shared" ref="R41" si="47">SUM(R38:R40)</f>
        <v>2400</v>
      </c>
      <c r="S41" s="116">
        <f t="shared" ref="S41" si="48">SUM(S38:S40)</f>
        <v>2400</v>
      </c>
      <c r="T41" s="116">
        <f t="shared" ref="T41" si="49">SUM(T38:T40)</f>
        <v>2520</v>
      </c>
      <c r="U41" s="116">
        <f t="shared" ref="U41" si="50">SUM(U38:U40)</f>
        <v>2520</v>
      </c>
      <c r="V41" s="116">
        <f t="shared" ref="V41" si="51">SUM(V38:V40)</f>
        <v>2520</v>
      </c>
      <c r="W41" s="116">
        <f t="shared" ref="W41" si="52">SUM(W38:W40)</f>
        <v>2520</v>
      </c>
      <c r="X41" s="116">
        <f t="shared" ref="X41" si="53">SUM(X38:X40)</f>
        <v>2520</v>
      </c>
      <c r="Y41" s="116">
        <f t="shared" ref="Y41" si="54">SUM(Y38:Y40)</f>
        <v>2520</v>
      </c>
      <c r="Z41" s="116">
        <f t="shared" ref="Z41" si="55">SUM(Z38:Z40)</f>
        <v>2520</v>
      </c>
      <c r="AA41" s="116">
        <f t="shared" ref="AA41" si="56">SUM(AA38:AA40)</f>
        <v>2520</v>
      </c>
      <c r="AB41" s="116">
        <f t="shared" ref="AB41" si="57">SUM(AB38:AB40)</f>
        <v>2520</v>
      </c>
      <c r="AC41" s="116">
        <f t="shared" ref="AC41" si="58">SUM(AC38:AC40)</f>
        <v>2520</v>
      </c>
      <c r="AD41" s="116">
        <f t="shared" ref="AD41" si="59">SUM(AD38:AD40)</f>
        <v>2520</v>
      </c>
      <c r="AE41" s="116">
        <f t="shared" ref="AE41" si="60">SUM(AE38:AE40)</f>
        <v>2520</v>
      </c>
      <c r="AF41" s="116">
        <f t="shared" ref="AF41" si="61">SUM(AF38:AF40)</f>
        <v>2646</v>
      </c>
      <c r="AG41" s="116">
        <f t="shared" ref="AG41" si="62">SUM(AG38:AG40)</f>
        <v>2646</v>
      </c>
      <c r="AH41" s="116">
        <f t="shared" ref="AH41" si="63">SUM(AH38:AH40)</f>
        <v>2646</v>
      </c>
      <c r="AI41" s="116">
        <f t="shared" ref="AI41" si="64">SUM(AI38:AI40)</f>
        <v>2646</v>
      </c>
      <c r="AJ41" s="116">
        <f t="shared" ref="AJ41" si="65">SUM(AJ38:AJ40)</f>
        <v>2646</v>
      </c>
      <c r="AK41" s="116">
        <f t="shared" ref="AK41" si="66">SUM(AK38:AK40)</f>
        <v>2646</v>
      </c>
      <c r="AL41" s="116">
        <f t="shared" ref="AL41" si="67">SUM(AL38:AL40)</f>
        <v>2646</v>
      </c>
      <c r="AM41" s="116">
        <f t="shared" ref="AM41" si="68">SUM(AM38:AM40)</f>
        <v>2646</v>
      </c>
      <c r="AN41" s="116">
        <f t="shared" ref="AN41" si="69">SUM(AN38:AN40)</f>
        <v>2646</v>
      </c>
      <c r="AO41" s="103"/>
    </row>
    <row r="42" spans="1:41" ht="15.75" thickTop="1" x14ac:dyDescent="0.25">
      <c r="AO42" s="103"/>
    </row>
    <row r="43" spans="1:41" x14ac:dyDescent="0.25">
      <c r="AO43" s="103"/>
    </row>
    <row r="44" spans="1:41" x14ac:dyDescent="0.25">
      <c r="A44" s="7" t="s">
        <v>105</v>
      </c>
      <c r="AO44" s="103"/>
    </row>
    <row r="45" spans="1:41" x14ac:dyDescent="0.25">
      <c r="A45" s="7"/>
      <c r="AO45" s="103"/>
    </row>
    <row r="46" spans="1:41" x14ac:dyDescent="0.25">
      <c r="A46" s="7" t="s">
        <v>2</v>
      </c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03"/>
    </row>
    <row r="47" spans="1:41" x14ac:dyDescent="0.25">
      <c r="A47" s="7" t="s">
        <v>4</v>
      </c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03"/>
    </row>
    <row r="48" spans="1:41" x14ac:dyDescent="0.25">
      <c r="A48" s="104" t="s">
        <v>6</v>
      </c>
      <c r="E48" s="117">
        <f>E22*E$13*E$8</f>
        <v>0</v>
      </c>
      <c r="F48" s="117">
        <f t="shared" ref="F48:I48" si="70">F22*F$13*F$8</f>
        <v>0</v>
      </c>
      <c r="G48" s="117">
        <f t="shared" si="70"/>
        <v>0</v>
      </c>
      <c r="H48" s="117">
        <f>H22*H$13*H$8</f>
        <v>322000</v>
      </c>
      <c r="I48" s="117">
        <f t="shared" si="70"/>
        <v>299879.99999999994</v>
      </c>
      <c r="J48" s="117">
        <f>J22*J$13*J$8</f>
        <v>320443.2</v>
      </c>
      <c r="K48" s="117">
        <f t="shared" ref="K48:AN48" si="71">K22*K$13*K$8</f>
        <v>326852.06400000001</v>
      </c>
      <c r="L48" s="117">
        <f t="shared" si="71"/>
        <v>318235.05504000006</v>
      </c>
      <c r="M48" s="117">
        <f t="shared" si="71"/>
        <v>355514.01863040001</v>
      </c>
      <c r="N48" s="117">
        <f t="shared" si="71"/>
        <v>331091.75126361602</v>
      </c>
      <c r="O48" s="117">
        <f t="shared" si="71"/>
        <v>321631.98694179842</v>
      </c>
      <c r="P48" s="117">
        <f t="shared" si="71"/>
        <v>377274.32068272954</v>
      </c>
      <c r="Q48" s="117">
        <f t="shared" si="71"/>
        <v>368088.51113567181</v>
      </c>
      <c r="R48" s="117">
        <f t="shared" si="71"/>
        <v>358384.35947845865</v>
      </c>
      <c r="S48" s="117">
        <f t="shared" si="71"/>
        <v>382959.28698555299</v>
      </c>
      <c r="T48" s="117">
        <f t="shared" si="71"/>
        <v>410149.39636152715</v>
      </c>
      <c r="U48" s="117">
        <f t="shared" si="71"/>
        <v>418352.38428875769</v>
      </c>
      <c r="V48" s="117">
        <f t="shared" si="71"/>
        <v>426719.4319745329</v>
      </c>
      <c r="W48" s="117">
        <f t="shared" si="71"/>
        <v>415469.55604065885</v>
      </c>
      <c r="X48" s="117">
        <f t="shared" si="71"/>
        <v>443958.89702630404</v>
      </c>
      <c r="Y48" s="117">
        <f t="shared" si="71"/>
        <v>473421.62382895878</v>
      </c>
      <c r="Z48" s="117">
        <f t="shared" si="71"/>
        <v>440899.61662679556</v>
      </c>
      <c r="AA48" s="117">
        <f t="shared" si="71"/>
        <v>428302.48472317285</v>
      </c>
      <c r="AB48" s="117">
        <f t="shared" si="71"/>
        <v>502398.81458028167</v>
      </c>
      <c r="AC48" s="117">
        <f t="shared" si="71"/>
        <v>467886.20036128844</v>
      </c>
      <c r="AD48" s="117">
        <f t="shared" si="71"/>
        <v>499969.8255289197</v>
      </c>
      <c r="AE48" s="117">
        <f t="shared" si="71"/>
        <v>509969.2220394981</v>
      </c>
      <c r="AF48" s="117">
        <f t="shared" si="71"/>
        <v>521350.80785865238</v>
      </c>
      <c r="AG48" s="117">
        <f t="shared" si="71"/>
        <v>582423.33106495161</v>
      </c>
      <c r="AH48" s="117">
        <f t="shared" si="71"/>
        <v>568242.58909119631</v>
      </c>
      <c r="AI48" s="117">
        <f t="shared" si="71"/>
        <v>553261.64810606476</v>
      </c>
      <c r="AJ48" s="117">
        <f t="shared" si="71"/>
        <v>591199.58969048073</v>
      </c>
      <c r="AK48" s="117">
        <f t="shared" si="71"/>
        <v>603023.58148429031</v>
      </c>
      <c r="AL48" s="117">
        <f t="shared" si="71"/>
        <v>615084.05311397614</v>
      </c>
      <c r="AM48" s="117">
        <f t="shared" si="71"/>
        <v>570350.66743295977</v>
      </c>
      <c r="AN48" s="117">
        <f t="shared" si="71"/>
        <v>669021.33289886173</v>
      </c>
      <c r="AO48" s="103"/>
    </row>
    <row r="49" spans="1:41" x14ac:dyDescent="0.25">
      <c r="A49" s="104" t="s">
        <v>7</v>
      </c>
      <c r="E49" s="117">
        <f t="shared" ref="E49:AN49" si="72">E23*E$13*E$8</f>
        <v>0</v>
      </c>
      <c r="F49" s="117">
        <f t="shared" si="72"/>
        <v>0</v>
      </c>
      <c r="G49" s="117">
        <f t="shared" si="72"/>
        <v>0</v>
      </c>
      <c r="H49" s="117">
        <f t="shared" si="72"/>
        <v>138000</v>
      </c>
      <c r="I49" s="117">
        <f t="shared" si="72"/>
        <v>128520</v>
      </c>
      <c r="J49" s="117">
        <f t="shared" si="72"/>
        <v>137332.79999999999</v>
      </c>
      <c r="K49" s="117">
        <f t="shared" si="72"/>
        <v>140079.45600000001</v>
      </c>
      <c r="L49" s="117">
        <f t="shared" si="72"/>
        <v>136386.45216000002</v>
      </c>
      <c r="M49" s="117">
        <f t="shared" si="72"/>
        <v>152363.15084160003</v>
      </c>
      <c r="N49" s="117">
        <f t="shared" si="72"/>
        <v>141896.46482726402</v>
      </c>
      <c r="O49" s="117">
        <f t="shared" si="72"/>
        <v>137842.28011791361</v>
      </c>
      <c r="P49" s="117">
        <f t="shared" si="72"/>
        <v>161688.99457831265</v>
      </c>
      <c r="Q49" s="117">
        <f t="shared" si="72"/>
        <v>157752.21905814504</v>
      </c>
      <c r="R49" s="117">
        <f t="shared" si="72"/>
        <v>153593.29691933939</v>
      </c>
      <c r="S49" s="117">
        <f t="shared" si="72"/>
        <v>164125.40870809412</v>
      </c>
      <c r="T49" s="117">
        <f t="shared" si="72"/>
        <v>175778.31272636878</v>
      </c>
      <c r="U49" s="117">
        <f t="shared" si="72"/>
        <v>179293.87898089614</v>
      </c>
      <c r="V49" s="117">
        <f t="shared" si="72"/>
        <v>182879.75656051407</v>
      </c>
      <c r="W49" s="117">
        <f t="shared" si="72"/>
        <v>178058.38116028236</v>
      </c>
      <c r="X49" s="117">
        <f t="shared" si="72"/>
        <v>190268.0987255589</v>
      </c>
      <c r="Y49" s="117">
        <f t="shared" si="72"/>
        <v>202894.98164098235</v>
      </c>
      <c r="Z49" s="117">
        <f t="shared" si="72"/>
        <v>188956.97855434095</v>
      </c>
      <c r="AA49" s="117">
        <f t="shared" si="72"/>
        <v>183558.20773850265</v>
      </c>
      <c r="AB49" s="117">
        <f t="shared" si="72"/>
        <v>215313.7776772636</v>
      </c>
      <c r="AC49" s="117">
        <f t="shared" si="72"/>
        <v>200522.65729769506</v>
      </c>
      <c r="AD49" s="117">
        <f t="shared" si="72"/>
        <v>214272.78236953702</v>
      </c>
      <c r="AE49" s="117">
        <f t="shared" si="72"/>
        <v>218558.23801692776</v>
      </c>
      <c r="AF49" s="117">
        <f t="shared" si="72"/>
        <v>223436.06051085101</v>
      </c>
      <c r="AG49" s="117">
        <f t="shared" si="72"/>
        <v>249609.9990278364</v>
      </c>
      <c r="AH49" s="117">
        <f t="shared" si="72"/>
        <v>243532.53818194129</v>
      </c>
      <c r="AI49" s="117">
        <f t="shared" si="72"/>
        <v>237112.13490259918</v>
      </c>
      <c r="AJ49" s="117">
        <f t="shared" si="72"/>
        <v>253371.25272449173</v>
      </c>
      <c r="AK49" s="117">
        <f t="shared" si="72"/>
        <v>258438.67777898154</v>
      </c>
      <c r="AL49" s="117">
        <f t="shared" si="72"/>
        <v>263607.45133456122</v>
      </c>
      <c r="AM49" s="117">
        <f t="shared" si="72"/>
        <v>244436.00032841132</v>
      </c>
      <c r="AN49" s="117">
        <f t="shared" si="72"/>
        <v>286723.42838522646</v>
      </c>
      <c r="AO49" s="103"/>
    </row>
    <row r="50" spans="1:41" x14ac:dyDescent="0.25">
      <c r="A50" s="104" t="s">
        <v>8</v>
      </c>
      <c r="E50" s="117">
        <f t="shared" ref="E50:AN50" si="73">E24*E$13*E$8</f>
        <v>0</v>
      </c>
      <c r="F50" s="117">
        <f t="shared" si="73"/>
        <v>0</v>
      </c>
      <c r="G50" s="117">
        <f t="shared" si="73"/>
        <v>0</v>
      </c>
      <c r="H50" s="117">
        <f t="shared" si="73"/>
        <v>506000</v>
      </c>
      <c r="I50" s="117">
        <f t="shared" si="73"/>
        <v>471240</v>
      </c>
      <c r="J50" s="117">
        <f t="shared" si="73"/>
        <v>503553.6</v>
      </c>
      <c r="K50" s="117">
        <f t="shared" si="73"/>
        <v>513624.67200000002</v>
      </c>
      <c r="L50" s="117">
        <f t="shared" si="73"/>
        <v>500083.65792000009</v>
      </c>
      <c r="M50" s="117">
        <f t="shared" si="73"/>
        <v>558664.88641920011</v>
      </c>
      <c r="N50" s="117">
        <f t="shared" si="73"/>
        <v>520287.03769996803</v>
      </c>
      <c r="O50" s="117">
        <f t="shared" si="73"/>
        <v>505421.69376568322</v>
      </c>
      <c r="P50" s="117">
        <f t="shared" si="73"/>
        <v>592859.64678714646</v>
      </c>
      <c r="Q50" s="117">
        <f t="shared" si="73"/>
        <v>578424.80321319855</v>
      </c>
      <c r="R50" s="117">
        <f t="shared" si="73"/>
        <v>563175.42203757784</v>
      </c>
      <c r="S50" s="117">
        <f t="shared" si="73"/>
        <v>601793.16526301182</v>
      </c>
      <c r="T50" s="117">
        <f t="shared" si="73"/>
        <v>644520.47999668564</v>
      </c>
      <c r="U50" s="117">
        <f t="shared" si="73"/>
        <v>657410.88959661929</v>
      </c>
      <c r="V50" s="117">
        <f t="shared" si="73"/>
        <v>670559.1073885517</v>
      </c>
      <c r="W50" s="117">
        <f t="shared" si="73"/>
        <v>652880.73092103528</v>
      </c>
      <c r="X50" s="117">
        <f t="shared" si="73"/>
        <v>697649.69532704924</v>
      </c>
      <c r="Y50" s="117">
        <f t="shared" si="73"/>
        <v>743948.26601693523</v>
      </c>
      <c r="Z50" s="117">
        <f t="shared" si="73"/>
        <v>692842.25469925022</v>
      </c>
      <c r="AA50" s="117">
        <f t="shared" si="73"/>
        <v>673046.76170784293</v>
      </c>
      <c r="AB50" s="117">
        <f t="shared" si="73"/>
        <v>789483.85148329986</v>
      </c>
      <c r="AC50" s="117">
        <f t="shared" si="73"/>
        <v>735249.74342488183</v>
      </c>
      <c r="AD50" s="117">
        <f t="shared" si="73"/>
        <v>785666.86868830235</v>
      </c>
      <c r="AE50" s="117">
        <f t="shared" si="73"/>
        <v>801380.20606206835</v>
      </c>
      <c r="AF50" s="117">
        <f t="shared" si="73"/>
        <v>819265.55520645366</v>
      </c>
      <c r="AG50" s="117">
        <f t="shared" si="73"/>
        <v>915236.66310206684</v>
      </c>
      <c r="AH50" s="117">
        <f t="shared" si="73"/>
        <v>892952.64000045136</v>
      </c>
      <c r="AI50" s="117">
        <f t="shared" si="73"/>
        <v>869411.16130953049</v>
      </c>
      <c r="AJ50" s="117">
        <f t="shared" si="73"/>
        <v>929027.9266564697</v>
      </c>
      <c r="AK50" s="117">
        <f t="shared" si="73"/>
        <v>947608.48518959899</v>
      </c>
      <c r="AL50" s="117">
        <f t="shared" si="73"/>
        <v>966560.65489339107</v>
      </c>
      <c r="AM50" s="117">
        <f t="shared" si="73"/>
        <v>896265.3345375082</v>
      </c>
      <c r="AN50" s="117">
        <f t="shared" si="73"/>
        <v>1051319.2374124972</v>
      </c>
      <c r="AO50" s="103"/>
    </row>
    <row r="51" spans="1:41" x14ac:dyDescent="0.25">
      <c r="A51" s="105" t="s">
        <v>54</v>
      </c>
      <c r="E51" s="117">
        <f t="shared" ref="E51:AN51" si="74">E25*E$13*E$8</f>
        <v>0</v>
      </c>
      <c r="F51" s="117">
        <f t="shared" si="74"/>
        <v>0</v>
      </c>
      <c r="G51" s="117">
        <f t="shared" si="74"/>
        <v>0</v>
      </c>
      <c r="H51" s="117">
        <f t="shared" si="74"/>
        <v>966000</v>
      </c>
      <c r="I51" s="117">
        <f t="shared" si="74"/>
        <v>899640</v>
      </c>
      <c r="J51" s="117">
        <f t="shared" si="74"/>
        <v>961329.60000000009</v>
      </c>
      <c r="K51" s="117">
        <f t="shared" si="74"/>
        <v>980556.19200000004</v>
      </c>
      <c r="L51" s="117">
        <f t="shared" si="74"/>
        <v>954705.16512000014</v>
      </c>
      <c r="M51" s="117">
        <f t="shared" si="74"/>
        <v>1066542.0558912002</v>
      </c>
      <c r="N51" s="117">
        <f t="shared" si="74"/>
        <v>993275.25379084807</v>
      </c>
      <c r="O51" s="117">
        <f t="shared" si="74"/>
        <v>964895.9608253953</v>
      </c>
      <c r="P51" s="117">
        <f t="shared" si="74"/>
        <v>1131822.9620481886</v>
      </c>
      <c r="Q51" s="117">
        <f t="shared" si="74"/>
        <v>1104265.5334070153</v>
      </c>
      <c r="R51" s="117">
        <f t="shared" si="74"/>
        <v>1075153.0784353758</v>
      </c>
      <c r="S51" s="117">
        <f t="shared" si="74"/>
        <v>1148877.8609566588</v>
      </c>
      <c r="T51" s="117">
        <f t="shared" si="74"/>
        <v>1230448.1890845816</v>
      </c>
      <c r="U51" s="117">
        <f t="shared" si="74"/>
        <v>1255057.1528662732</v>
      </c>
      <c r="V51" s="117">
        <f t="shared" si="74"/>
        <v>1280158.2959235986</v>
      </c>
      <c r="W51" s="117">
        <f t="shared" si="74"/>
        <v>1246408.6681219765</v>
      </c>
      <c r="X51" s="117">
        <f t="shared" si="74"/>
        <v>1331876.6910789122</v>
      </c>
      <c r="Y51" s="117">
        <f t="shared" si="74"/>
        <v>1420264.8714868764</v>
      </c>
      <c r="Z51" s="117">
        <f t="shared" si="74"/>
        <v>1322698.8498803866</v>
      </c>
      <c r="AA51" s="117">
        <f t="shared" si="74"/>
        <v>1284907.4541695185</v>
      </c>
      <c r="AB51" s="117">
        <f t="shared" si="74"/>
        <v>1507196.4437408452</v>
      </c>
      <c r="AC51" s="117">
        <f t="shared" si="74"/>
        <v>1403658.6010838654</v>
      </c>
      <c r="AD51" s="117">
        <f t="shared" si="74"/>
        <v>1499909.4765867591</v>
      </c>
      <c r="AE51" s="117">
        <f t="shared" si="74"/>
        <v>1529907.6661184942</v>
      </c>
      <c r="AF51" s="117">
        <f t="shared" si="74"/>
        <v>1564052.4235759571</v>
      </c>
      <c r="AG51" s="117">
        <f t="shared" si="74"/>
        <v>1747269.9931948551</v>
      </c>
      <c r="AH51" s="117">
        <f t="shared" si="74"/>
        <v>1704727.767273589</v>
      </c>
      <c r="AI51" s="117">
        <f t="shared" si="74"/>
        <v>1659784.9443181944</v>
      </c>
      <c r="AJ51" s="117">
        <f t="shared" si="74"/>
        <v>1773598.7690714421</v>
      </c>
      <c r="AK51" s="117">
        <f t="shared" si="74"/>
        <v>1809070.7444528709</v>
      </c>
      <c r="AL51" s="117">
        <f t="shared" si="74"/>
        <v>1845252.1593419285</v>
      </c>
      <c r="AM51" s="117">
        <f t="shared" si="74"/>
        <v>1711052.002298879</v>
      </c>
      <c r="AN51" s="117">
        <f t="shared" si="74"/>
        <v>2007063.9986965852</v>
      </c>
      <c r="AO51" s="103"/>
    </row>
    <row r="52" spans="1:41" x14ac:dyDescent="0.25">
      <c r="A52" s="7" t="s">
        <v>16</v>
      </c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03"/>
    </row>
    <row r="53" spans="1:41" x14ac:dyDescent="0.25">
      <c r="A53" s="104" t="s">
        <v>6</v>
      </c>
      <c r="E53" s="117">
        <f>(E27*E$14*E$8)</f>
        <v>0</v>
      </c>
      <c r="F53" s="117">
        <f t="shared" ref="F53:AN53" si="75">(F27*F$14*F$8)</f>
        <v>0</v>
      </c>
      <c r="G53" s="117">
        <f t="shared" si="75"/>
        <v>0</v>
      </c>
      <c r="H53" s="117">
        <f>(H27*H$14*H$8)</f>
        <v>358800</v>
      </c>
      <c r="I53" s="117">
        <f t="shared" si="75"/>
        <v>334152</v>
      </c>
      <c r="J53" s="117">
        <f>(J27*J$14*J$8)</f>
        <v>357065.27999999997</v>
      </c>
      <c r="K53" s="117">
        <f t="shared" si="75"/>
        <v>364206.58559999999</v>
      </c>
      <c r="L53" s="117">
        <f t="shared" si="75"/>
        <v>354604.77561600006</v>
      </c>
      <c r="M53" s="117">
        <f t="shared" si="75"/>
        <v>396144.19218816003</v>
      </c>
      <c r="N53" s="117">
        <f t="shared" si="75"/>
        <v>368930.80855088634</v>
      </c>
      <c r="O53" s="117">
        <f t="shared" si="75"/>
        <v>358389.9283065754</v>
      </c>
      <c r="P53" s="117">
        <f t="shared" si="75"/>
        <v>420391.38590361289</v>
      </c>
      <c r="Q53" s="117">
        <f t="shared" si="75"/>
        <v>410155.76955117716</v>
      </c>
      <c r="R53" s="117">
        <f t="shared" si="75"/>
        <v>399342.57199028251</v>
      </c>
      <c r="S53" s="117">
        <f t="shared" si="75"/>
        <v>426726.06264104467</v>
      </c>
      <c r="T53" s="117">
        <f t="shared" si="75"/>
        <v>457023.61308855884</v>
      </c>
      <c r="U53" s="117">
        <f t="shared" si="75"/>
        <v>466164.08535032999</v>
      </c>
      <c r="V53" s="117">
        <f t="shared" si="75"/>
        <v>475487.36705733661</v>
      </c>
      <c r="W53" s="117">
        <f t="shared" si="75"/>
        <v>462951.79101673409</v>
      </c>
      <c r="X53" s="117">
        <f t="shared" si="75"/>
        <v>494697.056686453</v>
      </c>
      <c r="Y53" s="117">
        <f t="shared" si="75"/>
        <v>527526.95226655388</v>
      </c>
      <c r="Z53" s="117">
        <f t="shared" si="75"/>
        <v>491288.14424128633</v>
      </c>
      <c r="AA53" s="117">
        <f t="shared" si="75"/>
        <v>477251.34012010676</v>
      </c>
      <c r="AB53" s="117">
        <f t="shared" si="75"/>
        <v>559815.82196088519</v>
      </c>
      <c r="AC53" s="117">
        <f t="shared" si="75"/>
        <v>521358.90897400706</v>
      </c>
      <c r="AD53" s="117">
        <f t="shared" si="75"/>
        <v>557109.23416079616</v>
      </c>
      <c r="AE53" s="117">
        <f t="shared" si="75"/>
        <v>568251.41884401208</v>
      </c>
      <c r="AF53" s="117">
        <f t="shared" si="75"/>
        <v>580933.75732821249</v>
      </c>
      <c r="AG53" s="117">
        <f t="shared" si="75"/>
        <v>648985.99747237458</v>
      </c>
      <c r="AH53" s="117">
        <f t="shared" si="75"/>
        <v>633184.59927304718</v>
      </c>
      <c r="AI53" s="117">
        <f t="shared" si="75"/>
        <v>616491.55074675777</v>
      </c>
      <c r="AJ53" s="117">
        <f t="shared" si="75"/>
        <v>658765.25708367827</v>
      </c>
      <c r="AK53" s="117">
        <f t="shared" si="75"/>
        <v>671940.56222535181</v>
      </c>
      <c r="AL53" s="117">
        <f t="shared" si="75"/>
        <v>685379.3734698589</v>
      </c>
      <c r="AM53" s="117">
        <f t="shared" si="75"/>
        <v>635533.60085386911</v>
      </c>
      <c r="AN53" s="117">
        <f t="shared" si="75"/>
        <v>745480.91380158847</v>
      </c>
      <c r="AO53" s="103"/>
    </row>
    <row r="54" spans="1:41" x14ac:dyDescent="0.25">
      <c r="A54" s="104" t="s">
        <v>7</v>
      </c>
      <c r="E54" s="117">
        <f t="shared" ref="E54:AN54" si="76">(E28*E$14*E$8)</f>
        <v>0</v>
      </c>
      <c r="F54" s="117">
        <f t="shared" si="76"/>
        <v>0</v>
      </c>
      <c r="G54" s="117">
        <f t="shared" si="76"/>
        <v>0</v>
      </c>
      <c r="H54" s="117">
        <f t="shared" si="76"/>
        <v>239200</v>
      </c>
      <c r="I54" s="117">
        <f t="shared" si="76"/>
        <v>222768</v>
      </c>
      <c r="J54" s="117">
        <f t="shared" si="76"/>
        <v>238043.51999999999</v>
      </c>
      <c r="K54" s="117">
        <f t="shared" si="76"/>
        <v>242804.3904</v>
      </c>
      <c r="L54" s="117">
        <f t="shared" si="76"/>
        <v>236403.18374400001</v>
      </c>
      <c r="M54" s="117">
        <f t="shared" si="76"/>
        <v>264096.12812544004</v>
      </c>
      <c r="N54" s="117">
        <f t="shared" si="76"/>
        <v>245953.8723672576</v>
      </c>
      <c r="O54" s="117">
        <f t="shared" si="76"/>
        <v>238926.61887105025</v>
      </c>
      <c r="P54" s="117">
        <f t="shared" si="76"/>
        <v>280260.92393574194</v>
      </c>
      <c r="Q54" s="117">
        <f t="shared" si="76"/>
        <v>273437.17970078473</v>
      </c>
      <c r="R54" s="117">
        <f t="shared" si="76"/>
        <v>266228.38132685499</v>
      </c>
      <c r="S54" s="117">
        <f t="shared" si="76"/>
        <v>284484.04176069645</v>
      </c>
      <c r="T54" s="117">
        <f t="shared" si="76"/>
        <v>304682.40872570587</v>
      </c>
      <c r="U54" s="117">
        <f t="shared" si="76"/>
        <v>310776.05690021999</v>
      </c>
      <c r="V54" s="117">
        <f t="shared" si="76"/>
        <v>316991.57803822443</v>
      </c>
      <c r="W54" s="117">
        <f t="shared" si="76"/>
        <v>308634.52734448941</v>
      </c>
      <c r="X54" s="117">
        <f t="shared" si="76"/>
        <v>329798.03779096866</v>
      </c>
      <c r="Y54" s="117">
        <f t="shared" si="76"/>
        <v>351684.63484436931</v>
      </c>
      <c r="Z54" s="117">
        <f t="shared" si="76"/>
        <v>327525.4294941909</v>
      </c>
      <c r="AA54" s="117">
        <f t="shared" si="76"/>
        <v>318167.56008007121</v>
      </c>
      <c r="AB54" s="117">
        <f t="shared" si="76"/>
        <v>373210.5479739235</v>
      </c>
      <c r="AC54" s="117">
        <f t="shared" si="76"/>
        <v>347572.60598267143</v>
      </c>
      <c r="AD54" s="117">
        <f t="shared" si="76"/>
        <v>371406.1561071974</v>
      </c>
      <c r="AE54" s="117">
        <f t="shared" si="76"/>
        <v>378834.27922934142</v>
      </c>
      <c r="AF54" s="117">
        <f t="shared" si="76"/>
        <v>387289.17155214166</v>
      </c>
      <c r="AG54" s="117">
        <f t="shared" si="76"/>
        <v>432657.33164824964</v>
      </c>
      <c r="AH54" s="117">
        <f t="shared" si="76"/>
        <v>422123.06618203147</v>
      </c>
      <c r="AI54" s="117">
        <f t="shared" si="76"/>
        <v>410994.36716450518</v>
      </c>
      <c r="AJ54" s="117">
        <f t="shared" si="76"/>
        <v>439176.83805578545</v>
      </c>
      <c r="AK54" s="117">
        <f t="shared" si="76"/>
        <v>447960.37481690128</v>
      </c>
      <c r="AL54" s="117">
        <f t="shared" si="76"/>
        <v>456919.58231323928</v>
      </c>
      <c r="AM54" s="117">
        <f t="shared" si="76"/>
        <v>423689.06723591278</v>
      </c>
      <c r="AN54" s="117">
        <f t="shared" si="76"/>
        <v>496987.27586772566</v>
      </c>
      <c r="AO54" s="103"/>
    </row>
    <row r="55" spans="1:41" x14ac:dyDescent="0.25">
      <c r="A55" s="104" t="s">
        <v>8</v>
      </c>
      <c r="E55" s="117">
        <f t="shared" ref="E55:AN55" si="77">(E29*E$14*E$8)</f>
        <v>0</v>
      </c>
      <c r="F55" s="117">
        <f t="shared" si="77"/>
        <v>0</v>
      </c>
      <c r="G55" s="117">
        <f t="shared" si="77"/>
        <v>0</v>
      </c>
      <c r="H55" s="117">
        <f t="shared" si="77"/>
        <v>717600</v>
      </c>
      <c r="I55" s="117">
        <f t="shared" si="77"/>
        <v>668304</v>
      </c>
      <c r="J55" s="117">
        <f t="shared" si="77"/>
        <v>714130.55999999994</v>
      </c>
      <c r="K55" s="117">
        <f t="shared" si="77"/>
        <v>728413.17119999998</v>
      </c>
      <c r="L55" s="117">
        <f t="shared" si="77"/>
        <v>709209.55123200011</v>
      </c>
      <c r="M55" s="117">
        <f t="shared" si="77"/>
        <v>792288.38437632006</v>
      </c>
      <c r="N55" s="117">
        <f t="shared" si="77"/>
        <v>737861.61710177269</v>
      </c>
      <c r="O55" s="117">
        <f t="shared" si="77"/>
        <v>716779.8566131508</v>
      </c>
      <c r="P55" s="117">
        <f t="shared" si="77"/>
        <v>840782.77180722577</v>
      </c>
      <c r="Q55" s="117">
        <f t="shared" si="77"/>
        <v>820311.53910235432</v>
      </c>
      <c r="R55" s="117">
        <f t="shared" si="77"/>
        <v>798685.14398056502</v>
      </c>
      <c r="S55" s="117">
        <f t="shared" si="77"/>
        <v>853452.12528208934</v>
      </c>
      <c r="T55" s="117">
        <f t="shared" si="77"/>
        <v>914047.22617711767</v>
      </c>
      <c r="U55" s="117">
        <f t="shared" si="77"/>
        <v>932328.17070065998</v>
      </c>
      <c r="V55" s="117">
        <f t="shared" si="77"/>
        <v>950974.73411467322</v>
      </c>
      <c r="W55" s="117">
        <f t="shared" si="77"/>
        <v>925903.58203346818</v>
      </c>
      <c r="X55" s="117">
        <f t="shared" si="77"/>
        <v>989394.11337290599</v>
      </c>
      <c r="Y55" s="117">
        <f t="shared" si="77"/>
        <v>1055053.9045331078</v>
      </c>
      <c r="Z55" s="117">
        <f t="shared" si="77"/>
        <v>982576.28848257265</v>
      </c>
      <c r="AA55" s="117">
        <f t="shared" si="77"/>
        <v>954502.68024021352</v>
      </c>
      <c r="AB55" s="117">
        <f t="shared" si="77"/>
        <v>1119631.6439217704</v>
      </c>
      <c r="AC55" s="117">
        <f t="shared" si="77"/>
        <v>1042717.8179480141</v>
      </c>
      <c r="AD55" s="117">
        <f t="shared" si="77"/>
        <v>1114218.4683215923</v>
      </c>
      <c r="AE55" s="117">
        <f t="shared" si="77"/>
        <v>1136502.8376880242</v>
      </c>
      <c r="AF55" s="117">
        <f t="shared" si="77"/>
        <v>1161867.514656425</v>
      </c>
      <c r="AG55" s="117">
        <f t="shared" si="77"/>
        <v>1297971.9949447492</v>
      </c>
      <c r="AH55" s="117">
        <f t="shared" si="77"/>
        <v>1266369.1985460944</v>
      </c>
      <c r="AI55" s="117">
        <f t="shared" si="77"/>
        <v>1232983.1014935155</v>
      </c>
      <c r="AJ55" s="117">
        <f t="shared" si="77"/>
        <v>1317530.5141673565</v>
      </c>
      <c r="AK55" s="117">
        <f t="shared" si="77"/>
        <v>1343881.1244507036</v>
      </c>
      <c r="AL55" s="117">
        <f t="shared" si="77"/>
        <v>1370758.7469397178</v>
      </c>
      <c r="AM55" s="117">
        <f t="shared" si="77"/>
        <v>1271067.2017077382</v>
      </c>
      <c r="AN55" s="117">
        <f t="shared" si="77"/>
        <v>1490961.8276031769</v>
      </c>
      <c r="AO55" s="103"/>
    </row>
    <row r="56" spans="1:41" ht="15.75" thickBot="1" x14ac:dyDescent="0.3">
      <c r="A56" s="105" t="s">
        <v>54</v>
      </c>
      <c r="E56" s="118">
        <f t="shared" ref="E56" si="78">SUM(E53:E55)</f>
        <v>0</v>
      </c>
      <c r="F56" s="118">
        <f t="shared" ref="F56" si="79">SUM(F53:F55)</f>
        <v>0</v>
      </c>
      <c r="G56" s="118">
        <f t="shared" ref="G56" si="80">SUM(G53:G55)</f>
        <v>0</v>
      </c>
      <c r="H56" s="118">
        <f t="shared" ref="H56" si="81">SUM(H53:H55)</f>
        <v>1315600</v>
      </c>
      <c r="I56" s="118">
        <f t="shared" ref="I56" si="82">SUM(I53:I55)</f>
        <v>1225224</v>
      </c>
      <c r="J56" s="118">
        <f t="shared" ref="J56" si="83">SUM(J53:J55)</f>
        <v>1309239.3599999999</v>
      </c>
      <c r="K56" s="118">
        <f t="shared" ref="K56" si="84">SUM(K53:K55)</f>
        <v>1335424.1472</v>
      </c>
      <c r="L56" s="118">
        <f t="shared" ref="L56" si="85">SUM(L53:L55)</f>
        <v>1300217.5105920001</v>
      </c>
      <c r="M56" s="118">
        <f t="shared" ref="M56" si="86">SUM(M53:M55)</f>
        <v>1452528.7046899202</v>
      </c>
      <c r="N56" s="118">
        <f t="shared" ref="N56" si="87">SUM(N53:N55)</f>
        <v>1352746.2980199168</v>
      </c>
      <c r="O56" s="118">
        <f t="shared" ref="O56" si="88">SUM(O53:O55)</f>
        <v>1314096.4037907764</v>
      </c>
      <c r="P56" s="118">
        <f t="shared" ref="P56" si="89">SUM(P53:P55)</f>
        <v>1541435.0816465807</v>
      </c>
      <c r="Q56" s="118">
        <f t="shared" ref="Q56" si="90">SUM(Q53:Q55)</f>
        <v>1503904.4883543162</v>
      </c>
      <c r="R56" s="118">
        <f t="shared" ref="R56" si="91">SUM(R53:R55)</f>
        <v>1464256.0972977025</v>
      </c>
      <c r="S56" s="118">
        <f t="shared" ref="S56" si="92">SUM(S53:S55)</f>
        <v>1564662.2296838304</v>
      </c>
      <c r="T56" s="118">
        <f t="shared" ref="T56" si="93">SUM(T53:T55)</f>
        <v>1675753.2479913824</v>
      </c>
      <c r="U56" s="118">
        <f t="shared" ref="U56" si="94">SUM(U53:U55)</f>
        <v>1709268.31295121</v>
      </c>
      <c r="V56" s="118">
        <f t="shared" ref="V56" si="95">SUM(V53:V55)</f>
        <v>1743453.6792102342</v>
      </c>
      <c r="W56" s="118">
        <f t="shared" ref="W56" si="96">SUM(W53:W55)</f>
        <v>1697489.9003946916</v>
      </c>
      <c r="X56" s="118">
        <f t="shared" ref="X56" si="97">SUM(X53:X55)</f>
        <v>1813889.2078503277</v>
      </c>
      <c r="Y56" s="118">
        <f t="shared" ref="Y56" si="98">SUM(Y53:Y55)</f>
        <v>1934265.4916440309</v>
      </c>
      <c r="Z56" s="118">
        <f t="shared" ref="Z56" si="99">SUM(Z53:Z55)</f>
        <v>1801389.8622180498</v>
      </c>
      <c r="AA56" s="118">
        <f t="shared" ref="AA56" si="100">SUM(AA53:AA55)</f>
        <v>1749921.5804403913</v>
      </c>
      <c r="AB56" s="118">
        <f t="shared" ref="AB56" si="101">SUM(AB53:AB55)</f>
        <v>2052658.0138565791</v>
      </c>
      <c r="AC56" s="118">
        <f>SUM(AC53:AC55)</f>
        <v>1911649.3329046927</v>
      </c>
      <c r="AD56" s="118">
        <f t="shared" ref="AD56" si="102">SUM(AD53:AD55)</f>
        <v>2042733.8585895859</v>
      </c>
      <c r="AE56" s="118">
        <f t="shared" ref="AE56" si="103">SUM(AE53:AE55)</f>
        <v>2083588.5357613778</v>
      </c>
      <c r="AF56" s="118">
        <f t="shared" ref="AF56" si="104">SUM(AF53:AF55)</f>
        <v>2130090.4435367789</v>
      </c>
      <c r="AG56" s="118">
        <f t="shared" ref="AG56" si="105">SUM(AG53:AG55)</f>
        <v>2379615.3240653733</v>
      </c>
      <c r="AH56" s="118">
        <f t="shared" ref="AH56" si="106">SUM(AH53:AH55)</f>
        <v>2321676.8640011731</v>
      </c>
      <c r="AI56" s="118">
        <f t="shared" ref="AI56" si="107">SUM(AI53:AI55)</f>
        <v>2260469.0194047783</v>
      </c>
      <c r="AJ56" s="118">
        <f t="shared" ref="AJ56" si="108">SUM(AJ53:AJ55)</f>
        <v>2415472.6093068202</v>
      </c>
      <c r="AK56" s="118">
        <f t="shared" ref="AK56" si="109">SUM(AK53:AK55)</f>
        <v>2463782.0614929567</v>
      </c>
      <c r="AL56" s="118">
        <f t="shared" ref="AL56" si="110">SUM(AL53:AL55)</f>
        <v>2513057.7027228158</v>
      </c>
      <c r="AM56" s="118">
        <f t="shared" ref="AM56" si="111">SUM(AM53:AM55)</f>
        <v>2330289.8697975203</v>
      </c>
      <c r="AN56" s="118">
        <f t="shared" ref="AN56" si="112">SUM(AN53:AN55)</f>
        <v>2733430.017272491</v>
      </c>
      <c r="AO56" s="103"/>
    </row>
    <row r="57" spans="1:41" ht="15.75" thickTop="1" x14ac:dyDescent="0.25">
      <c r="A57" s="7" t="s">
        <v>102</v>
      </c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  <c r="AN57" s="117"/>
      <c r="AO57" s="103"/>
    </row>
    <row r="58" spans="1:41" x14ac:dyDescent="0.25">
      <c r="A58" s="7" t="s">
        <v>4</v>
      </c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03"/>
    </row>
    <row r="59" spans="1:41" x14ac:dyDescent="0.25">
      <c r="A59" s="104" t="s">
        <v>6</v>
      </c>
      <c r="E59" s="117">
        <f>(E33*E$14*E$8)</f>
        <v>0</v>
      </c>
      <c r="F59" s="117">
        <f t="shared" ref="F59:AN59" si="113">(F33*F$14*F$8)</f>
        <v>0</v>
      </c>
      <c r="G59" s="117">
        <f t="shared" si="113"/>
        <v>0</v>
      </c>
      <c r="H59" s="117">
        <f t="shared" si="113"/>
        <v>598000</v>
      </c>
      <c r="I59" s="117">
        <f t="shared" si="113"/>
        <v>556920</v>
      </c>
      <c r="J59" s="117">
        <f t="shared" si="113"/>
        <v>595108.80000000005</v>
      </c>
      <c r="K59" s="117">
        <f t="shared" si="113"/>
        <v>607010.97600000002</v>
      </c>
      <c r="L59" s="117">
        <f t="shared" si="113"/>
        <v>591007.95935999998</v>
      </c>
      <c r="M59" s="117">
        <f t="shared" si="113"/>
        <v>660240.32031360001</v>
      </c>
      <c r="N59" s="117">
        <f t="shared" si="113"/>
        <v>614884.68091814395</v>
      </c>
      <c r="O59" s="117">
        <f t="shared" si="113"/>
        <v>597316.54717762559</v>
      </c>
      <c r="P59" s="117">
        <f t="shared" si="113"/>
        <v>700652.30983935483</v>
      </c>
      <c r="Q59" s="117">
        <f t="shared" si="113"/>
        <v>683592.94925196189</v>
      </c>
      <c r="R59" s="117">
        <f t="shared" si="113"/>
        <v>665570.95331713744</v>
      </c>
      <c r="S59" s="117">
        <f t="shared" si="113"/>
        <v>711210.10440174106</v>
      </c>
      <c r="T59" s="117">
        <f t="shared" si="113"/>
        <v>761706.02181426471</v>
      </c>
      <c r="U59" s="117">
        <f t="shared" si="113"/>
        <v>776940.14225054998</v>
      </c>
      <c r="V59" s="117">
        <f t="shared" si="113"/>
        <v>792478.9450955611</v>
      </c>
      <c r="W59" s="117">
        <f t="shared" si="113"/>
        <v>771586.31836122356</v>
      </c>
      <c r="X59" s="117">
        <f t="shared" si="113"/>
        <v>824495.0944774216</v>
      </c>
      <c r="Y59" s="117">
        <f t="shared" si="113"/>
        <v>879211.58711092314</v>
      </c>
      <c r="Z59" s="117">
        <f t="shared" si="113"/>
        <v>818813.57373547717</v>
      </c>
      <c r="AA59" s="117">
        <f t="shared" si="113"/>
        <v>795418.90020017803</v>
      </c>
      <c r="AB59" s="117">
        <f t="shared" si="113"/>
        <v>933026.3699348087</v>
      </c>
      <c r="AC59" s="117">
        <f t="shared" si="113"/>
        <v>868931.51495667838</v>
      </c>
      <c r="AD59" s="117">
        <f t="shared" si="113"/>
        <v>928515.39026799356</v>
      </c>
      <c r="AE59" s="117">
        <f t="shared" si="113"/>
        <v>947085.69807335339</v>
      </c>
      <c r="AF59" s="117">
        <f t="shared" si="113"/>
        <v>968222.92888035416</v>
      </c>
      <c r="AG59" s="117">
        <f t="shared" si="113"/>
        <v>1081643.3291206243</v>
      </c>
      <c r="AH59" s="117">
        <f t="shared" si="113"/>
        <v>1055307.6654550787</v>
      </c>
      <c r="AI59" s="117">
        <f t="shared" si="113"/>
        <v>1027485.9179112628</v>
      </c>
      <c r="AJ59" s="117">
        <f t="shared" si="113"/>
        <v>1097942.0951394639</v>
      </c>
      <c r="AK59" s="117">
        <f t="shared" si="113"/>
        <v>1119900.9370422531</v>
      </c>
      <c r="AL59" s="117">
        <f t="shared" si="113"/>
        <v>1142298.9557830982</v>
      </c>
      <c r="AM59" s="117">
        <f t="shared" si="113"/>
        <v>1059222.6680897819</v>
      </c>
      <c r="AN59" s="117">
        <f t="shared" si="113"/>
        <v>1242468.1896693141</v>
      </c>
      <c r="AO59" s="103"/>
    </row>
    <row r="60" spans="1:41" x14ac:dyDescent="0.25">
      <c r="A60" s="104" t="s">
        <v>7</v>
      </c>
      <c r="E60" s="117">
        <f>(E34*E$14*E$8)</f>
        <v>0</v>
      </c>
      <c r="F60" s="117">
        <f t="shared" ref="F60:AN60" si="114">(F34*F$14*F$8)</f>
        <v>0</v>
      </c>
      <c r="G60" s="117">
        <f t="shared" si="114"/>
        <v>0</v>
      </c>
      <c r="H60" s="117">
        <f t="shared" si="114"/>
        <v>179400</v>
      </c>
      <c r="I60" s="117">
        <f t="shared" si="114"/>
        <v>167076</v>
      </c>
      <c r="J60" s="117">
        <f t="shared" si="114"/>
        <v>178532.63999999998</v>
      </c>
      <c r="K60" s="117">
        <f t="shared" si="114"/>
        <v>182103.2928</v>
      </c>
      <c r="L60" s="117">
        <f t="shared" si="114"/>
        <v>177302.38780800003</v>
      </c>
      <c r="M60" s="117">
        <f t="shared" si="114"/>
        <v>198072.09609408001</v>
      </c>
      <c r="N60" s="117">
        <f t="shared" si="114"/>
        <v>184465.40427544317</v>
      </c>
      <c r="O60" s="117">
        <f t="shared" si="114"/>
        <v>179194.9641532877</v>
      </c>
      <c r="P60" s="117">
        <f t="shared" si="114"/>
        <v>210195.69295180644</v>
      </c>
      <c r="Q60" s="117">
        <f t="shared" si="114"/>
        <v>205077.88477558858</v>
      </c>
      <c r="R60" s="117">
        <f t="shared" si="114"/>
        <v>199671.28599514125</v>
      </c>
      <c r="S60" s="117">
        <f t="shared" si="114"/>
        <v>213363.03132052234</v>
      </c>
      <c r="T60" s="117">
        <f t="shared" si="114"/>
        <v>228511.80654427942</v>
      </c>
      <c r="U60" s="117">
        <f t="shared" si="114"/>
        <v>233082.04267516499</v>
      </c>
      <c r="V60" s="117">
        <f t="shared" si="114"/>
        <v>237743.68352866831</v>
      </c>
      <c r="W60" s="117">
        <f t="shared" si="114"/>
        <v>231475.89550836704</v>
      </c>
      <c r="X60" s="117">
        <f t="shared" si="114"/>
        <v>247348.5283432265</v>
      </c>
      <c r="Y60" s="117">
        <f t="shared" si="114"/>
        <v>263763.47613327694</v>
      </c>
      <c r="Z60" s="117">
        <f t="shared" si="114"/>
        <v>245644.07212064316</v>
      </c>
      <c r="AA60" s="117">
        <f t="shared" si="114"/>
        <v>238625.67006005338</v>
      </c>
      <c r="AB60" s="117">
        <f t="shared" si="114"/>
        <v>279907.9109804426</v>
      </c>
      <c r="AC60" s="117">
        <f t="shared" si="114"/>
        <v>260679.45448700353</v>
      </c>
      <c r="AD60" s="117">
        <f t="shared" si="114"/>
        <v>278554.61708039808</v>
      </c>
      <c r="AE60" s="117">
        <f t="shared" si="114"/>
        <v>284125.70942200604</v>
      </c>
      <c r="AF60" s="117">
        <f t="shared" si="114"/>
        <v>290466.87866410625</v>
      </c>
      <c r="AG60" s="117">
        <f t="shared" si="114"/>
        <v>324492.99873618729</v>
      </c>
      <c r="AH60" s="117">
        <f t="shared" si="114"/>
        <v>316592.29963652359</v>
      </c>
      <c r="AI60" s="117">
        <f t="shared" si="114"/>
        <v>308245.77537337888</v>
      </c>
      <c r="AJ60" s="117">
        <f t="shared" si="114"/>
        <v>329382.62854183913</v>
      </c>
      <c r="AK60" s="117">
        <f t="shared" si="114"/>
        <v>335970.2811126759</v>
      </c>
      <c r="AL60" s="117">
        <f t="shared" si="114"/>
        <v>342689.68673492945</v>
      </c>
      <c r="AM60" s="117">
        <f t="shared" si="114"/>
        <v>317766.80042693455</v>
      </c>
      <c r="AN60" s="117">
        <f t="shared" si="114"/>
        <v>372740.45690079423</v>
      </c>
      <c r="AO60" s="103"/>
    </row>
    <row r="61" spans="1:41" x14ac:dyDescent="0.25">
      <c r="A61" s="104" t="s">
        <v>8</v>
      </c>
      <c r="E61" s="117">
        <f>(E35*E$14*E$8)</f>
        <v>0</v>
      </c>
      <c r="F61" s="117">
        <f t="shared" ref="F61:AN61" si="115">(F35*F$14*F$8)</f>
        <v>0</v>
      </c>
      <c r="G61" s="117">
        <f t="shared" si="115"/>
        <v>0</v>
      </c>
      <c r="H61" s="117">
        <f t="shared" si="115"/>
        <v>657800</v>
      </c>
      <c r="I61" s="117">
        <f t="shared" si="115"/>
        <v>612612</v>
      </c>
      <c r="J61" s="117">
        <f t="shared" si="115"/>
        <v>654619.67999999993</v>
      </c>
      <c r="K61" s="117">
        <f t="shared" si="115"/>
        <v>667712.0736</v>
      </c>
      <c r="L61" s="117">
        <f t="shared" si="115"/>
        <v>650108.75529600005</v>
      </c>
      <c r="M61" s="117">
        <f t="shared" si="115"/>
        <v>726264.35234496009</v>
      </c>
      <c r="N61" s="117">
        <f t="shared" si="115"/>
        <v>676373.14900995838</v>
      </c>
      <c r="O61" s="117">
        <f t="shared" si="115"/>
        <v>657048.20189538819</v>
      </c>
      <c r="P61" s="117">
        <f t="shared" si="115"/>
        <v>770717.54082329024</v>
      </c>
      <c r="Q61" s="117">
        <f t="shared" si="115"/>
        <v>751952.24417715799</v>
      </c>
      <c r="R61" s="117">
        <f t="shared" si="115"/>
        <v>732128.04864885123</v>
      </c>
      <c r="S61" s="117">
        <f t="shared" si="115"/>
        <v>782331.1148419152</v>
      </c>
      <c r="T61" s="117">
        <f t="shared" si="115"/>
        <v>837876.62399569119</v>
      </c>
      <c r="U61" s="117">
        <f t="shared" si="115"/>
        <v>854634.15647560498</v>
      </c>
      <c r="V61" s="117">
        <f t="shared" si="115"/>
        <v>871726.83960511722</v>
      </c>
      <c r="W61" s="117">
        <f t="shared" si="115"/>
        <v>848744.95019734581</v>
      </c>
      <c r="X61" s="117">
        <f t="shared" si="115"/>
        <v>906944.60392516386</v>
      </c>
      <c r="Y61" s="117">
        <f t="shared" si="115"/>
        <v>967132.74582201545</v>
      </c>
      <c r="Z61" s="117">
        <f t="shared" si="115"/>
        <v>900694.93110902503</v>
      </c>
      <c r="AA61" s="117">
        <f t="shared" si="115"/>
        <v>874960.79022019578</v>
      </c>
      <c r="AB61" s="117">
        <f t="shared" si="115"/>
        <v>1026329.0069282897</v>
      </c>
      <c r="AC61" s="117">
        <f t="shared" si="115"/>
        <v>955824.66645234637</v>
      </c>
      <c r="AD61" s="117">
        <f t="shared" si="115"/>
        <v>1021366.9292947928</v>
      </c>
      <c r="AE61" s="117">
        <f t="shared" si="115"/>
        <v>1041794.2678806888</v>
      </c>
      <c r="AF61" s="117">
        <f t="shared" si="115"/>
        <v>1065045.2217683897</v>
      </c>
      <c r="AG61" s="117">
        <f t="shared" si="115"/>
        <v>1189807.6620326866</v>
      </c>
      <c r="AH61" s="117">
        <f t="shared" si="115"/>
        <v>1160838.4320005865</v>
      </c>
      <c r="AI61" s="117">
        <f t="shared" si="115"/>
        <v>1130234.5097023891</v>
      </c>
      <c r="AJ61" s="117">
        <f t="shared" si="115"/>
        <v>1207736.3046534101</v>
      </c>
      <c r="AK61" s="117">
        <f t="shared" si="115"/>
        <v>1231891.0307464784</v>
      </c>
      <c r="AL61" s="117">
        <f t="shared" si="115"/>
        <v>1256528.8513614081</v>
      </c>
      <c r="AM61" s="117">
        <f t="shared" si="115"/>
        <v>1165144.9348987602</v>
      </c>
      <c r="AN61" s="117">
        <f t="shared" si="115"/>
        <v>1366715.0086362455</v>
      </c>
      <c r="AO61" s="103"/>
    </row>
    <row r="62" spans="1:41" ht="15.75" thickBot="1" x14ac:dyDescent="0.3">
      <c r="A62" s="105" t="s">
        <v>54</v>
      </c>
      <c r="E62" s="118">
        <f t="shared" ref="E62" si="116">SUM(E59:E61)</f>
        <v>0</v>
      </c>
      <c r="F62" s="118">
        <f t="shared" ref="F62" si="117">SUM(F59:F61)</f>
        <v>0</v>
      </c>
      <c r="G62" s="118">
        <f t="shared" ref="G62" si="118">SUM(G59:G61)</f>
        <v>0</v>
      </c>
      <c r="H62" s="118">
        <f t="shared" ref="H62" si="119">SUM(H59:H61)</f>
        <v>1435200</v>
      </c>
      <c r="I62" s="118">
        <f t="shared" ref="I62" si="120">SUM(I59:I61)</f>
        <v>1336608</v>
      </c>
      <c r="J62" s="118">
        <f t="shared" ref="J62" si="121">SUM(J59:J61)</f>
        <v>1428261.12</v>
      </c>
      <c r="K62" s="118">
        <f t="shared" ref="K62" si="122">SUM(K59:K61)</f>
        <v>1456826.3424</v>
      </c>
      <c r="L62" s="118">
        <f t="shared" ref="L62" si="123">SUM(L59:L61)</f>
        <v>1418419.102464</v>
      </c>
      <c r="M62" s="118">
        <f t="shared" ref="M62" si="124">SUM(M59:M61)</f>
        <v>1584576.7687526401</v>
      </c>
      <c r="N62" s="118">
        <f t="shared" ref="N62" si="125">SUM(N59:N61)</f>
        <v>1475723.2342035454</v>
      </c>
      <c r="O62" s="118">
        <f t="shared" ref="O62" si="126">SUM(O59:O61)</f>
        <v>1433559.7132263016</v>
      </c>
      <c r="P62" s="118">
        <f t="shared" ref="P62" si="127">SUM(P59:P61)</f>
        <v>1681565.5436144515</v>
      </c>
      <c r="Q62" s="118">
        <f t="shared" ref="Q62" si="128">SUM(Q59:Q61)</f>
        <v>1640623.0782047084</v>
      </c>
      <c r="R62" s="118">
        <f t="shared" ref="R62" si="129">SUM(R59:R61)</f>
        <v>1597370.28796113</v>
      </c>
      <c r="S62" s="118">
        <f t="shared" ref="S62" si="130">SUM(S59:S61)</f>
        <v>1706904.2505641785</v>
      </c>
      <c r="T62" s="118">
        <f t="shared" ref="T62" si="131">SUM(T59:T61)</f>
        <v>1828094.4523542353</v>
      </c>
      <c r="U62" s="118">
        <f t="shared" ref="U62" si="132">SUM(U59:U61)</f>
        <v>1864656.34140132</v>
      </c>
      <c r="V62" s="118">
        <f t="shared" ref="V62" si="133">SUM(V59:V61)</f>
        <v>1901949.4682293467</v>
      </c>
      <c r="W62" s="118">
        <f t="shared" ref="W62" si="134">SUM(W59:W61)</f>
        <v>1851807.1640669364</v>
      </c>
      <c r="X62" s="118">
        <f t="shared" ref="X62" si="135">SUM(X59:X61)</f>
        <v>1978788.226745812</v>
      </c>
      <c r="Y62" s="118">
        <f t="shared" ref="Y62" si="136">SUM(Y59:Y61)</f>
        <v>2110107.8090662155</v>
      </c>
      <c r="Z62" s="118">
        <f t="shared" ref="Z62" si="137">SUM(Z59:Z61)</f>
        <v>1965152.5769651453</v>
      </c>
      <c r="AA62" s="118">
        <f t="shared" ref="AA62" si="138">SUM(AA59:AA61)</f>
        <v>1909005.3604804273</v>
      </c>
      <c r="AB62" s="118">
        <f t="shared" ref="AB62" si="139">SUM(AB59:AB61)</f>
        <v>2239263.2878435408</v>
      </c>
      <c r="AC62" s="118">
        <f>SUM(AC59:AC61)</f>
        <v>2085435.6358960283</v>
      </c>
      <c r="AD62" s="118">
        <f t="shared" ref="AD62" si="140">SUM(AD59:AD61)</f>
        <v>2228436.9366431846</v>
      </c>
      <c r="AE62" s="118">
        <f t="shared" ref="AE62" si="141">SUM(AE59:AE61)</f>
        <v>2273005.6753760483</v>
      </c>
      <c r="AF62" s="118">
        <f t="shared" ref="AF62" si="142">SUM(AF59:AF61)</f>
        <v>2323735.02931285</v>
      </c>
      <c r="AG62" s="118">
        <f t="shared" ref="AG62" si="143">SUM(AG59:AG61)</f>
        <v>2595943.9898894983</v>
      </c>
      <c r="AH62" s="118">
        <f t="shared" ref="AH62" si="144">SUM(AH59:AH61)</f>
        <v>2532738.3970921887</v>
      </c>
      <c r="AI62" s="118">
        <f t="shared" ref="AI62" si="145">SUM(AI59:AI61)</f>
        <v>2465966.2029870311</v>
      </c>
      <c r="AJ62" s="118">
        <f t="shared" ref="AJ62" si="146">SUM(AJ59:AJ61)</f>
        <v>2635061.0283347131</v>
      </c>
      <c r="AK62" s="118">
        <f t="shared" ref="AK62" si="147">SUM(AK59:AK61)</f>
        <v>2687762.2489014072</v>
      </c>
      <c r="AL62" s="118">
        <f t="shared" ref="AL62" si="148">SUM(AL59:AL61)</f>
        <v>2741517.4938794356</v>
      </c>
      <c r="AM62" s="118">
        <f t="shared" ref="AM62" si="149">SUM(AM59:AM61)</f>
        <v>2542134.4034154769</v>
      </c>
      <c r="AN62" s="118">
        <f t="shared" ref="AN62" si="150">SUM(AN59:AN61)</f>
        <v>2981923.6552063539</v>
      </c>
      <c r="AO62" s="103"/>
    </row>
    <row r="63" spans="1:41" ht="15.75" thickTop="1" x14ac:dyDescent="0.25">
      <c r="A63" s="7" t="s">
        <v>16</v>
      </c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03"/>
    </row>
    <row r="64" spans="1:41" x14ac:dyDescent="0.25">
      <c r="A64" s="104" t="s">
        <v>6</v>
      </c>
      <c r="E64" s="117">
        <f>(E38*E$14*E$8)</f>
        <v>0</v>
      </c>
      <c r="F64" s="117">
        <f t="shared" ref="F64:AN64" si="151">(F38*F$14*F$8)</f>
        <v>0</v>
      </c>
      <c r="G64" s="117">
        <f t="shared" si="151"/>
        <v>0</v>
      </c>
      <c r="H64" s="117">
        <f t="shared" si="151"/>
        <v>598000</v>
      </c>
      <c r="I64" s="117">
        <f t="shared" si="151"/>
        <v>556920</v>
      </c>
      <c r="J64" s="117">
        <f t="shared" si="151"/>
        <v>595108.80000000005</v>
      </c>
      <c r="K64" s="117">
        <f t="shared" si="151"/>
        <v>607010.97600000002</v>
      </c>
      <c r="L64" s="117">
        <f t="shared" si="151"/>
        <v>591007.95935999998</v>
      </c>
      <c r="M64" s="117">
        <f t="shared" si="151"/>
        <v>660240.32031360001</v>
      </c>
      <c r="N64" s="117">
        <f t="shared" si="151"/>
        <v>614884.68091814395</v>
      </c>
      <c r="O64" s="117">
        <f t="shared" si="151"/>
        <v>597316.54717762559</v>
      </c>
      <c r="P64" s="117">
        <f t="shared" si="151"/>
        <v>700652.30983935483</v>
      </c>
      <c r="Q64" s="117">
        <f t="shared" si="151"/>
        <v>683592.94925196189</v>
      </c>
      <c r="R64" s="117">
        <f t="shared" si="151"/>
        <v>665570.95331713744</v>
      </c>
      <c r="S64" s="117">
        <f t="shared" si="151"/>
        <v>711210.10440174106</v>
      </c>
      <c r="T64" s="117">
        <f t="shared" si="151"/>
        <v>761706.02181426471</v>
      </c>
      <c r="U64" s="117">
        <f t="shared" si="151"/>
        <v>776940.14225054998</v>
      </c>
      <c r="V64" s="117">
        <f t="shared" si="151"/>
        <v>792478.9450955611</v>
      </c>
      <c r="W64" s="117">
        <f t="shared" si="151"/>
        <v>771586.31836122356</v>
      </c>
      <c r="X64" s="117">
        <f t="shared" si="151"/>
        <v>824495.0944774216</v>
      </c>
      <c r="Y64" s="117">
        <f t="shared" si="151"/>
        <v>879211.58711092314</v>
      </c>
      <c r="Z64" s="117">
        <f t="shared" si="151"/>
        <v>818813.57373547717</v>
      </c>
      <c r="AA64" s="117">
        <f t="shared" si="151"/>
        <v>795418.90020017803</v>
      </c>
      <c r="AB64" s="117">
        <f t="shared" si="151"/>
        <v>933026.3699348087</v>
      </c>
      <c r="AC64" s="117">
        <f t="shared" si="151"/>
        <v>868931.51495667838</v>
      </c>
      <c r="AD64" s="117">
        <f t="shared" si="151"/>
        <v>928515.39026799356</v>
      </c>
      <c r="AE64" s="117">
        <f t="shared" si="151"/>
        <v>947085.69807335339</v>
      </c>
      <c r="AF64" s="117">
        <f t="shared" si="151"/>
        <v>968222.92888035416</v>
      </c>
      <c r="AG64" s="117">
        <f t="shared" si="151"/>
        <v>1081643.3291206243</v>
      </c>
      <c r="AH64" s="117">
        <f t="shared" si="151"/>
        <v>1055307.6654550787</v>
      </c>
      <c r="AI64" s="117">
        <f t="shared" si="151"/>
        <v>1027485.9179112628</v>
      </c>
      <c r="AJ64" s="117">
        <f t="shared" si="151"/>
        <v>1097942.0951394639</v>
      </c>
      <c r="AK64" s="117">
        <f t="shared" si="151"/>
        <v>1119900.9370422531</v>
      </c>
      <c r="AL64" s="117">
        <f t="shared" si="151"/>
        <v>1142298.9557830982</v>
      </c>
      <c r="AM64" s="117">
        <f t="shared" si="151"/>
        <v>1059222.6680897819</v>
      </c>
      <c r="AN64" s="117">
        <f t="shared" si="151"/>
        <v>1242468.1896693141</v>
      </c>
      <c r="AO64" s="103"/>
    </row>
    <row r="65" spans="1:41" x14ac:dyDescent="0.25">
      <c r="A65" s="104" t="s">
        <v>7</v>
      </c>
      <c r="E65" s="117">
        <f>(E39*E$14*E$8)</f>
        <v>0</v>
      </c>
      <c r="F65" s="117">
        <f t="shared" ref="F65:AN65" si="152">(F39*F$14*F$8)</f>
        <v>0</v>
      </c>
      <c r="G65" s="117">
        <f t="shared" si="152"/>
        <v>0</v>
      </c>
      <c r="H65" s="117">
        <f t="shared" si="152"/>
        <v>179400</v>
      </c>
      <c r="I65" s="117">
        <f t="shared" si="152"/>
        <v>167076</v>
      </c>
      <c r="J65" s="117">
        <f t="shared" si="152"/>
        <v>178532.63999999998</v>
      </c>
      <c r="K65" s="117">
        <f t="shared" si="152"/>
        <v>182103.2928</v>
      </c>
      <c r="L65" s="117">
        <f t="shared" si="152"/>
        <v>177302.38780800003</v>
      </c>
      <c r="M65" s="117">
        <f t="shared" si="152"/>
        <v>198072.09609408001</v>
      </c>
      <c r="N65" s="117">
        <f t="shared" si="152"/>
        <v>184465.40427544317</v>
      </c>
      <c r="O65" s="117">
        <f t="shared" si="152"/>
        <v>179194.9641532877</v>
      </c>
      <c r="P65" s="117">
        <f t="shared" si="152"/>
        <v>210195.69295180644</v>
      </c>
      <c r="Q65" s="117">
        <f t="shared" si="152"/>
        <v>205077.88477558858</v>
      </c>
      <c r="R65" s="117">
        <f t="shared" si="152"/>
        <v>199671.28599514125</v>
      </c>
      <c r="S65" s="117">
        <f t="shared" si="152"/>
        <v>213363.03132052234</v>
      </c>
      <c r="T65" s="117">
        <f t="shared" si="152"/>
        <v>228511.80654427942</v>
      </c>
      <c r="U65" s="117">
        <f t="shared" si="152"/>
        <v>233082.04267516499</v>
      </c>
      <c r="V65" s="117">
        <f t="shared" si="152"/>
        <v>237743.68352866831</v>
      </c>
      <c r="W65" s="117">
        <f t="shared" si="152"/>
        <v>231475.89550836704</v>
      </c>
      <c r="X65" s="117">
        <f t="shared" si="152"/>
        <v>247348.5283432265</v>
      </c>
      <c r="Y65" s="117">
        <f t="shared" si="152"/>
        <v>263763.47613327694</v>
      </c>
      <c r="Z65" s="117">
        <f t="shared" si="152"/>
        <v>245644.07212064316</v>
      </c>
      <c r="AA65" s="117">
        <f t="shared" si="152"/>
        <v>238625.67006005338</v>
      </c>
      <c r="AB65" s="117">
        <f t="shared" si="152"/>
        <v>279907.9109804426</v>
      </c>
      <c r="AC65" s="117">
        <f t="shared" si="152"/>
        <v>260679.45448700353</v>
      </c>
      <c r="AD65" s="117">
        <f t="shared" si="152"/>
        <v>278554.61708039808</v>
      </c>
      <c r="AE65" s="117">
        <f t="shared" si="152"/>
        <v>284125.70942200604</v>
      </c>
      <c r="AF65" s="117">
        <f t="shared" si="152"/>
        <v>290466.87866410625</v>
      </c>
      <c r="AG65" s="117">
        <f t="shared" si="152"/>
        <v>324492.99873618729</v>
      </c>
      <c r="AH65" s="117">
        <f t="shared" si="152"/>
        <v>316592.29963652359</v>
      </c>
      <c r="AI65" s="117">
        <f t="shared" si="152"/>
        <v>308245.77537337888</v>
      </c>
      <c r="AJ65" s="117">
        <f t="shared" si="152"/>
        <v>329382.62854183913</v>
      </c>
      <c r="AK65" s="117">
        <f t="shared" si="152"/>
        <v>335970.2811126759</v>
      </c>
      <c r="AL65" s="117">
        <f t="shared" si="152"/>
        <v>342689.68673492945</v>
      </c>
      <c r="AM65" s="117">
        <f t="shared" si="152"/>
        <v>317766.80042693455</v>
      </c>
      <c r="AN65" s="117">
        <f t="shared" si="152"/>
        <v>372740.45690079423</v>
      </c>
      <c r="AO65" s="103"/>
    </row>
    <row r="66" spans="1:41" x14ac:dyDescent="0.25">
      <c r="A66" s="104" t="s">
        <v>8</v>
      </c>
      <c r="E66" s="117">
        <f>(E40*E$14*E$8)</f>
        <v>0</v>
      </c>
      <c r="F66" s="117">
        <f t="shared" ref="F66:AN66" si="153">(F40*F$14*F$8)</f>
        <v>0</v>
      </c>
      <c r="G66" s="117">
        <f t="shared" si="153"/>
        <v>0</v>
      </c>
      <c r="H66" s="117">
        <f t="shared" si="153"/>
        <v>657800</v>
      </c>
      <c r="I66" s="117">
        <f t="shared" si="153"/>
        <v>612612</v>
      </c>
      <c r="J66" s="117">
        <f t="shared" si="153"/>
        <v>654619.67999999993</v>
      </c>
      <c r="K66" s="117">
        <f t="shared" si="153"/>
        <v>667712.0736</v>
      </c>
      <c r="L66" s="117">
        <f t="shared" si="153"/>
        <v>650108.75529600005</v>
      </c>
      <c r="M66" s="117">
        <f t="shared" si="153"/>
        <v>726264.35234496009</v>
      </c>
      <c r="N66" s="117">
        <f t="shared" si="153"/>
        <v>676373.14900995838</v>
      </c>
      <c r="O66" s="117">
        <f t="shared" si="153"/>
        <v>657048.20189538819</v>
      </c>
      <c r="P66" s="117">
        <f t="shared" si="153"/>
        <v>770717.54082329024</v>
      </c>
      <c r="Q66" s="117">
        <f t="shared" si="153"/>
        <v>751952.24417715799</v>
      </c>
      <c r="R66" s="117">
        <f t="shared" si="153"/>
        <v>732128.04864885123</v>
      </c>
      <c r="S66" s="117">
        <f t="shared" si="153"/>
        <v>782331.1148419152</v>
      </c>
      <c r="T66" s="117">
        <f t="shared" si="153"/>
        <v>837876.62399569119</v>
      </c>
      <c r="U66" s="117">
        <f t="shared" si="153"/>
        <v>854634.15647560498</v>
      </c>
      <c r="V66" s="117">
        <f t="shared" si="153"/>
        <v>871726.83960511722</v>
      </c>
      <c r="W66" s="117">
        <f t="shared" si="153"/>
        <v>848744.95019734581</v>
      </c>
      <c r="X66" s="117">
        <f t="shared" si="153"/>
        <v>906944.60392516386</v>
      </c>
      <c r="Y66" s="117">
        <f t="shared" si="153"/>
        <v>967132.74582201545</v>
      </c>
      <c r="Z66" s="117">
        <f t="shared" si="153"/>
        <v>900694.93110902503</v>
      </c>
      <c r="AA66" s="117">
        <f t="shared" si="153"/>
        <v>874960.79022019578</v>
      </c>
      <c r="AB66" s="117">
        <f t="shared" si="153"/>
        <v>1026329.0069282897</v>
      </c>
      <c r="AC66" s="117">
        <f t="shared" si="153"/>
        <v>955824.66645234637</v>
      </c>
      <c r="AD66" s="117">
        <f t="shared" si="153"/>
        <v>1021366.9292947928</v>
      </c>
      <c r="AE66" s="117">
        <f t="shared" si="153"/>
        <v>1041794.2678806888</v>
      </c>
      <c r="AF66" s="117">
        <f t="shared" si="153"/>
        <v>1065045.2217683897</v>
      </c>
      <c r="AG66" s="117">
        <f t="shared" si="153"/>
        <v>1189807.6620326866</v>
      </c>
      <c r="AH66" s="117">
        <f t="shared" si="153"/>
        <v>1160838.4320005865</v>
      </c>
      <c r="AI66" s="117">
        <f t="shared" si="153"/>
        <v>1130234.5097023891</v>
      </c>
      <c r="AJ66" s="117">
        <f t="shared" si="153"/>
        <v>1207736.3046534101</v>
      </c>
      <c r="AK66" s="117">
        <f t="shared" si="153"/>
        <v>1231891.0307464784</v>
      </c>
      <c r="AL66" s="117">
        <f t="shared" si="153"/>
        <v>1256528.8513614081</v>
      </c>
      <c r="AM66" s="117">
        <f t="shared" si="153"/>
        <v>1165144.9348987602</v>
      </c>
      <c r="AN66" s="117">
        <f t="shared" si="153"/>
        <v>1366715.0086362455</v>
      </c>
      <c r="AO66" s="103"/>
    </row>
    <row r="67" spans="1:41" ht="15.75" thickBot="1" x14ac:dyDescent="0.3">
      <c r="A67" s="105" t="s">
        <v>54</v>
      </c>
      <c r="E67" s="118">
        <f t="shared" ref="E67" si="154">SUM(E64:E66)</f>
        <v>0</v>
      </c>
      <c r="F67" s="118">
        <f t="shared" ref="F67" si="155">SUM(F64:F66)</f>
        <v>0</v>
      </c>
      <c r="G67" s="118">
        <f t="shared" ref="G67" si="156">SUM(G64:G66)</f>
        <v>0</v>
      </c>
      <c r="H67" s="118">
        <f t="shared" ref="H67" si="157">SUM(H64:H66)</f>
        <v>1435200</v>
      </c>
      <c r="I67" s="118">
        <f t="shared" ref="I67" si="158">SUM(I64:I66)</f>
        <v>1336608</v>
      </c>
      <c r="J67" s="118">
        <f t="shared" ref="J67" si="159">SUM(J64:J66)</f>
        <v>1428261.12</v>
      </c>
      <c r="K67" s="118">
        <f t="shared" ref="K67" si="160">SUM(K64:K66)</f>
        <v>1456826.3424</v>
      </c>
      <c r="L67" s="118">
        <f t="shared" ref="L67" si="161">SUM(L64:L66)</f>
        <v>1418419.102464</v>
      </c>
      <c r="M67" s="118">
        <f t="shared" ref="M67" si="162">SUM(M64:M66)</f>
        <v>1584576.7687526401</v>
      </c>
      <c r="N67" s="118">
        <f t="shared" ref="N67" si="163">SUM(N64:N66)</f>
        <v>1475723.2342035454</v>
      </c>
      <c r="O67" s="118">
        <f t="shared" ref="O67" si="164">SUM(O64:O66)</f>
        <v>1433559.7132263016</v>
      </c>
      <c r="P67" s="118">
        <f t="shared" ref="P67" si="165">SUM(P64:P66)</f>
        <v>1681565.5436144515</v>
      </c>
      <c r="Q67" s="118">
        <f t="shared" ref="Q67" si="166">SUM(Q64:Q66)</f>
        <v>1640623.0782047084</v>
      </c>
      <c r="R67" s="118">
        <f t="shared" ref="R67" si="167">SUM(R64:R66)</f>
        <v>1597370.28796113</v>
      </c>
      <c r="S67" s="118">
        <f t="shared" ref="S67" si="168">SUM(S64:S66)</f>
        <v>1706904.2505641785</v>
      </c>
      <c r="T67" s="118">
        <f t="shared" ref="T67" si="169">SUM(T64:T66)</f>
        <v>1828094.4523542353</v>
      </c>
      <c r="U67" s="118">
        <f t="shared" ref="U67" si="170">SUM(U64:U66)</f>
        <v>1864656.34140132</v>
      </c>
      <c r="V67" s="118">
        <f t="shared" ref="V67" si="171">SUM(V64:V66)</f>
        <v>1901949.4682293467</v>
      </c>
      <c r="W67" s="118">
        <f t="shared" ref="W67" si="172">SUM(W64:W66)</f>
        <v>1851807.1640669364</v>
      </c>
      <c r="X67" s="118">
        <f t="shared" ref="X67" si="173">SUM(X64:X66)</f>
        <v>1978788.226745812</v>
      </c>
      <c r="Y67" s="118">
        <f t="shared" ref="Y67" si="174">SUM(Y64:Y66)</f>
        <v>2110107.8090662155</v>
      </c>
      <c r="Z67" s="118">
        <f t="shared" ref="Z67" si="175">SUM(Z64:Z66)</f>
        <v>1965152.5769651453</v>
      </c>
      <c r="AA67" s="118">
        <f t="shared" ref="AA67" si="176">SUM(AA64:AA66)</f>
        <v>1909005.3604804273</v>
      </c>
      <c r="AB67" s="118">
        <f t="shared" ref="AB67" si="177">SUM(AB64:AB66)</f>
        <v>2239263.2878435408</v>
      </c>
      <c r="AC67" s="118">
        <f>SUM(AC64:AC66)</f>
        <v>2085435.6358960283</v>
      </c>
      <c r="AD67" s="118">
        <f t="shared" ref="AD67" si="178">SUM(AD64:AD66)</f>
        <v>2228436.9366431846</v>
      </c>
      <c r="AE67" s="118">
        <f t="shared" ref="AE67" si="179">SUM(AE64:AE66)</f>
        <v>2273005.6753760483</v>
      </c>
      <c r="AF67" s="118">
        <f t="shared" ref="AF67" si="180">SUM(AF64:AF66)</f>
        <v>2323735.02931285</v>
      </c>
      <c r="AG67" s="118">
        <f t="shared" ref="AG67" si="181">SUM(AG64:AG66)</f>
        <v>2595943.9898894983</v>
      </c>
      <c r="AH67" s="118">
        <f t="shared" ref="AH67" si="182">SUM(AH64:AH66)</f>
        <v>2532738.3970921887</v>
      </c>
      <c r="AI67" s="118">
        <f t="shared" ref="AI67" si="183">SUM(AI64:AI66)</f>
        <v>2465966.2029870311</v>
      </c>
      <c r="AJ67" s="118">
        <f t="shared" ref="AJ67" si="184">SUM(AJ64:AJ66)</f>
        <v>2635061.0283347131</v>
      </c>
      <c r="AK67" s="118">
        <f t="shared" ref="AK67" si="185">SUM(AK64:AK66)</f>
        <v>2687762.2489014072</v>
      </c>
      <c r="AL67" s="118">
        <f t="shared" ref="AL67" si="186">SUM(AL64:AL66)</f>
        <v>2741517.4938794356</v>
      </c>
      <c r="AM67" s="118">
        <f t="shared" ref="AM67" si="187">SUM(AM64:AM66)</f>
        <v>2542134.4034154769</v>
      </c>
      <c r="AN67" s="118">
        <f t="shared" ref="AN67" si="188">SUM(AN64:AN66)</f>
        <v>2981923.6552063539</v>
      </c>
      <c r="AO67" s="103"/>
    </row>
    <row r="68" spans="1:41" ht="15.75" thickTop="1" x14ac:dyDescent="0.25"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03"/>
    </row>
    <row r="69" spans="1:41" x14ac:dyDescent="0.25">
      <c r="A69" s="119" t="s">
        <v>108</v>
      </c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  <c r="AN69" s="117"/>
      <c r="AO69" s="103"/>
    </row>
    <row r="70" spans="1:41" x14ac:dyDescent="0.25">
      <c r="A70" s="104" t="s">
        <v>6</v>
      </c>
      <c r="E70" s="117">
        <f>E64+E59+E53+E48</f>
        <v>0</v>
      </c>
      <c r="F70" s="117">
        <f t="shared" ref="F70:AN72" si="189">F64+F59+F53+F48</f>
        <v>0</v>
      </c>
      <c r="G70" s="117">
        <f t="shared" si="189"/>
        <v>0</v>
      </c>
      <c r="H70" s="117">
        <f t="shared" si="189"/>
        <v>1876800</v>
      </c>
      <c r="I70" s="117">
        <f t="shared" si="189"/>
        <v>1747872</v>
      </c>
      <c r="J70" s="117">
        <f t="shared" si="189"/>
        <v>1867726.08</v>
      </c>
      <c r="K70" s="117">
        <f t="shared" si="189"/>
        <v>1905080.6015999999</v>
      </c>
      <c r="L70" s="117">
        <f t="shared" si="189"/>
        <v>1854855.7493759999</v>
      </c>
      <c r="M70" s="117">
        <f t="shared" si="189"/>
        <v>2072138.8514457601</v>
      </c>
      <c r="N70" s="117">
        <f t="shared" si="189"/>
        <v>1929791.9216507901</v>
      </c>
      <c r="O70" s="117">
        <f t="shared" si="189"/>
        <v>1874655.0096036249</v>
      </c>
      <c r="P70" s="117">
        <f t="shared" si="189"/>
        <v>2198970.326265052</v>
      </c>
      <c r="Q70" s="117">
        <f t="shared" si="189"/>
        <v>2145430.1791907726</v>
      </c>
      <c r="R70" s="117">
        <f t="shared" si="189"/>
        <v>2088868.8381030159</v>
      </c>
      <c r="S70" s="117">
        <f t="shared" si="189"/>
        <v>2232105.5584300798</v>
      </c>
      <c r="T70" s="117">
        <f t="shared" si="189"/>
        <v>2390585.0530786156</v>
      </c>
      <c r="U70" s="117">
        <f t="shared" si="189"/>
        <v>2438396.7541401875</v>
      </c>
      <c r="V70" s="117">
        <f t="shared" si="189"/>
        <v>2487164.6892229919</v>
      </c>
      <c r="W70" s="117">
        <f t="shared" si="189"/>
        <v>2421593.9837798402</v>
      </c>
      <c r="X70" s="117">
        <f t="shared" si="189"/>
        <v>2587646.1426676004</v>
      </c>
      <c r="Y70" s="117">
        <f t="shared" si="189"/>
        <v>2759371.7503173589</v>
      </c>
      <c r="Z70" s="117">
        <f t="shared" si="189"/>
        <v>2569814.9083390362</v>
      </c>
      <c r="AA70" s="117">
        <f t="shared" si="189"/>
        <v>2496391.6252436358</v>
      </c>
      <c r="AB70" s="117">
        <f t="shared" si="189"/>
        <v>2928267.3764107842</v>
      </c>
      <c r="AC70" s="117">
        <f t="shared" si="189"/>
        <v>2727108.1392486524</v>
      </c>
      <c r="AD70" s="117">
        <f t="shared" si="189"/>
        <v>2914109.8402257031</v>
      </c>
      <c r="AE70" s="117">
        <f t="shared" si="189"/>
        <v>2972392.0370302168</v>
      </c>
      <c r="AF70" s="117">
        <f t="shared" si="189"/>
        <v>3038730.4229475735</v>
      </c>
      <c r="AG70" s="117">
        <f t="shared" si="189"/>
        <v>3394695.986778575</v>
      </c>
      <c r="AH70" s="117">
        <f t="shared" si="189"/>
        <v>3312042.519274401</v>
      </c>
      <c r="AI70" s="117">
        <f t="shared" si="189"/>
        <v>3224725.0346753481</v>
      </c>
      <c r="AJ70" s="117">
        <f t="shared" si="189"/>
        <v>3445849.0370530868</v>
      </c>
      <c r="AK70" s="117">
        <f t="shared" si="189"/>
        <v>3514766.0177941485</v>
      </c>
      <c r="AL70" s="117">
        <f t="shared" si="189"/>
        <v>3585061.3381500314</v>
      </c>
      <c r="AM70" s="117">
        <f t="shared" si="189"/>
        <v>3324329.6044663927</v>
      </c>
      <c r="AN70" s="117">
        <f t="shared" si="189"/>
        <v>3899438.6260390785</v>
      </c>
    </row>
    <row r="71" spans="1:41" x14ac:dyDescent="0.25">
      <c r="A71" s="104" t="s">
        <v>7</v>
      </c>
      <c r="E71" s="117">
        <f t="shared" ref="E71:T72" si="190">E65+E60+E54+E49</f>
        <v>0</v>
      </c>
      <c r="F71" s="117">
        <f t="shared" si="190"/>
        <v>0</v>
      </c>
      <c r="G71" s="117">
        <f t="shared" si="190"/>
        <v>0</v>
      </c>
      <c r="H71" s="117">
        <f t="shared" si="190"/>
        <v>736000</v>
      </c>
      <c r="I71" s="117">
        <f t="shared" si="190"/>
        <v>685440</v>
      </c>
      <c r="J71" s="117">
        <f t="shared" si="190"/>
        <v>732441.59999999986</v>
      </c>
      <c r="K71" s="117">
        <f t="shared" si="190"/>
        <v>747090.43200000003</v>
      </c>
      <c r="L71" s="117">
        <f t="shared" si="190"/>
        <v>727394.41152000008</v>
      </c>
      <c r="M71" s="117">
        <f t="shared" si="190"/>
        <v>812603.47115520015</v>
      </c>
      <c r="N71" s="117">
        <f t="shared" si="190"/>
        <v>756781.14574540802</v>
      </c>
      <c r="O71" s="117">
        <f t="shared" si="190"/>
        <v>735158.8272955392</v>
      </c>
      <c r="P71" s="117">
        <f t="shared" si="190"/>
        <v>862341.30441766744</v>
      </c>
      <c r="Q71" s="117">
        <f t="shared" si="190"/>
        <v>841345.16831010696</v>
      </c>
      <c r="R71" s="117">
        <f t="shared" si="190"/>
        <v>819164.25023647677</v>
      </c>
      <c r="S71" s="117">
        <f t="shared" si="190"/>
        <v>875335.51310983533</v>
      </c>
      <c r="T71" s="117">
        <f t="shared" si="190"/>
        <v>937484.33454063348</v>
      </c>
      <c r="U71" s="117">
        <f t="shared" si="189"/>
        <v>956234.02123144618</v>
      </c>
      <c r="V71" s="117">
        <f t="shared" si="189"/>
        <v>975358.70165607508</v>
      </c>
      <c r="W71" s="117">
        <f t="shared" si="189"/>
        <v>949644.69952150574</v>
      </c>
      <c r="X71" s="117">
        <f t="shared" si="189"/>
        <v>1014763.1932029806</v>
      </c>
      <c r="Y71" s="117">
        <f t="shared" si="189"/>
        <v>1082106.5687519056</v>
      </c>
      <c r="Z71" s="117">
        <f t="shared" si="189"/>
        <v>1007770.5522898182</v>
      </c>
      <c r="AA71" s="117">
        <f t="shared" si="189"/>
        <v>978977.10793868056</v>
      </c>
      <c r="AB71" s="117">
        <f t="shared" si="189"/>
        <v>1148340.1476120723</v>
      </c>
      <c r="AC71" s="117">
        <f t="shared" si="189"/>
        <v>1069454.1722543736</v>
      </c>
      <c r="AD71" s="117">
        <f t="shared" si="189"/>
        <v>1142788.1726375306</v>
      </c>
      <c r="AE71" s="117">
        <f t="shared" si="189"/>
        <v>1165643.9360902812</v>
      </c>
      <c r="AF71" s="117">
        <f t="shared" si="189"/>
        <v>1191658.9893912051</v>
      </c>
      <c r="AG71" s="117">
        <f t="shared" si="189"/>
        <v>1331253.3281484607</v>
      </c>
      <c r="AH71" s="117">
        <f t="shared" si="189"/>
        <v>1298840.20363702</v>
      </c>
      <c r="AI71" s="117">
        <f t="shared" si="189"/>
        <v>1264598.0528138622</v>
      </c>
      <c r="AJ71" s="117">
        <f t="shared" si="189"/>
        <v>1351313.3478639554</v>
      </c>
      <c r="AK71" s="117">
        <f t="shared" si="189"/>
        <v>1378339.6148212347</v>
      </c>
      <c r="AL71" s="117">
        <f t="shared" si="189"/>
        <v>1405906.4071176595</v>
      </c>
      <c r="AM71" s="117">
        <f t="shared" si="189"/>
        <v>1303658.6684181932</v>
      </c>
      <c r="AN71" s="117">
        <f t="shared" si="189"/>
        <v>1529191.6180545406</v>
      </c>
    </row>
    <row r="72" spans="1:41" x14ac:dyDescent="0.25">
      <c r="A72" s="104" t="s">
        <v>8</v>
      </c>
      <c r="E72" s="117">
        <f t="shared" si="190"/>
        <v>0</v>
      </c>
      <c r="F72" s="117">
        <f t="shared" si="189"/>
        <v>0</v>
      </c>
      <c r="G72" s="117">
        <f t="shared" si="189"/>
        <v>0</v>
      </c>
      <c r="H72" s="117">
        <f t="shared" si="189"/>
        <v>2539200</v>
      </c>
      <c r="I72" s="117">
        <f t="shared" si="189"/>
        <v>2364768</v>
      </c>
      <c r="J72" s="117">
        <f t="shared" si="189"/>
        <v>2526923.52</v>
      </c>
      <c r="K72" s="117">
        <f t="shared" si="189"/>
        <v>2577461.9904</v>
      </c>
      <c r="L72" s="117">
        <f t="shared" si="189"/>
        <v>2509510.7197440001</v>
      </c>
      <c r="M72" s="117">
        <f t="shared" si="189"/>
        <v>2803481.9754854403</v>
      </c>
      <c r="N72" s="117">
        <f t="shared" si="189"/>
        <v>2610894.9528216575</v>
      </c>
      <c r="O72" s="117">
        <f t="shared" si="189"/>
        <v>2536297.9541696105</v>
      </c>
      <c r="P72" s="117">
        <f t="shared" si="189"/>
        <v>2975077.5002409527</v>
      </c>
      <c r="Q72" s="117">
        <f t="shared" si="189"/>
        <v>2902640.8306698687</v>
      </c>
      <c r="R72" s="117">
        <f t="shared" si="189"/>
        <v>2826116.6633158452</v>
      </c>
      <c r="S72" s="117">
        <f t="shared" si="189"/>
        <v>3019907.5202289317</v>
      </c>
      <c r="T72" s="117">
        <f t="shared" si="189"/>
        <v>3234320.9541651858</v>
      </c>
      <c r="U72" s="117">
        <f t="shared" si="189"/>
        <v>3299007.3732484891</v>
      </c>
      <c r="V72" s="117">
        <f t="shared" si="189"/>
        <v>3364987.5207134592</v>
      </c>
      <c r="W72" s="117">
        <f t="shared" si="189"/>
        <v>3276274.2133491947</v>
      </c>
      <c r="X72" s="117">
        <f t="shared" si="189"/>
        <v>3500933.0165502829</v>
      </c>
      <c r="Y72" s="117">
        <f t="shared" si="189"/>
        <v>3733267.6621940741</v>
      </c>
      <c r="Z72" s="117">
        <f t="shared" si="189"/>
        <v>3476808.4053998729</v>
      </c>
      <c r="AA72" s="117">
        <f t="shared" si="189"/>
        <v>3377471.022388448</v>
      </c>
      <c r="AB72" s="117">
        <f t="shared" si="189"/>
        <v>3961773.5092616496</v>
      </c>
      <c r="AC72" s="117">
        <f t="shared" si="189"/>
        <v>3689616.8942775885</v>
      </c>
      <c r="AD72" s="117">
        <f t="shared" si="189"/>
        <v>3942619.1955994805</v>
      </c>
      <c r="AE72" s="117">
        <f t="shared" si="189"/>
        <v>4021471.5795114702</v>
      </c>
      <c r="AF72" s="117">
        <f t="shared" si="189"/>
        <v>4111223.5133996578</v>
      </c>
      <c r="AG72" s="117">
        <f t="shared" si="189"/>
        <v>4592823.9821121898</v>
      </c>
      <c r="AH72" s="117">
        <f t="shared" si="189"/>
        <v>4480998.7025477188</v>
      </c>
      <c r="AI72" s="117">
        <f t="shared" si="189"/>
        <v>4362863.2822078243</v>
      </c>
      <c r="AJ72" s="117">
        <f t="shared" si="189"/>
        <v>4662031.0501306467</v>
      </c>
      <c r="AK72" s="117">
        <f t="shared" si="189"/>
        <v>4755271.6711332593</v>
      </c>
      <c r="AL72" s="117">
        <f t="shared" si="189"/>
        <v>4850377.1045559254</v>
      </c>
      <c r="AM72" s="117">
        <f t="shared" si="189"/>
        <v>4497622.4060427668</v>
      </c>
      <c r="AN72" s="117">
        <f t="shared" si="189"/>
        <v>5275711.0822881656</v>
      </c>
    </row>
    <row r="73" spans="1:41" ht="15.75" thickBot="1" x14ac:dyDescent="0.3">
      <c r="A73" s="105" t="s">
        <v>54</v>
      </c>
      <c r="E73" s="118">
        <f t="shared" ref="E73" si="191">SUM(E70:E72)</f>
        <v>0</v>
      </c>
      <c r="F73" s="118">
        <f t="shared" ref="F73" si="192">SUM(F70:F72)</f>
        <v>0</v>
      </c>
      <c r="G73" s="118">
        <f t="shared" ref="G73" si="193">SUM(G70:G72)</f>
        <v>0</v>
      </c>
      <c r="H73" s="118">
        <f t="shared" ref="H73" si="194">SUM(H70:H72)</f>
        <v>5152000</v>
      </c>
      <c r="I73" s="118">
        <f t="shared" ref="I73" si="195">SUM(I70:I72)</f>
        <v>4798080</v>
      </c>
      <c r="J73" s="118">
        <f t="shared" ref="J73" si="196">SUM(J70:J72)</f>
        <v>5127091.1999999993</v>
      </c>
      <c r="K73" s="118">
        <f t="shared" ref="K73" si="197">SUM(K70:K72)</f>
        <v>5229633.0240000002</v>
      </c>
      <c r="L73" s="118">
        <f t="shared" ref="L73" si="198">SUM(L70:L72)</f>
        <v>5091760.8806400001</v>
      </c>
      <c r="M73" s="118">
        <f t="shared" ref="M73" si="199">SUM(M70:M72)</f>
        <v>5688224.2980864011</v>
      </c>
      <c r="N73" s="118">
        <f t="shared" ref="N73" si="200">SUM(N70:N72)</f>
        <v>5297468.0202178564</v>
      </c>
      <c r="O73" s="118">
        <f t="shared" ref="O73" si="201">SUM(O70:O72)</f>
        <v>5146111.7910687746</v>
      </c>
      <c r="P73" s="118">
        <f t="shared" ref="P73" si="202">SUM(P70:P72)</f>
        <v>6036389.1309236716</v>
      </c>
      <c r="Q73" s="118">
        <f t="shared" ref="Q73" si="203">SUM(Q70:Q72)</f>
        <v>5889416.1781707481</v>
      </c>
      <c r="R73" s="118">
        <f t="shared" ref="R73" si="204">SUM(R70:R72)</f>
        <v>5734149.7516553383</v>
      </c>
      <c r="S73" s="118">
        <f t="shared" ref="S73" si="205">SUM(S70:S72)</f>
        <v>6127348.5917688468</v>
      </c>
      <c r="T73" s="118">
        <f t="shared" ref="T73" si="206">SUM(T70:T72)</f>
        <v>6562390.3417844344</v>
      </c>
      <c r="U73" s="118">
        <f t="shared" ref="U73" si="207">SUM(U70:U72)</f>
        <v>6693638.148620123</v>
      </c>
      <c r="V73" s="118">
        <f t="shared" ref="V73" si="208">SUM(V70:V72)</f>
        <v>6827510.9115925264</v>
      </c>
      <c r="W73" s="118">
        <f t="shared" ref="W73" si="209">SUM(W70:W72)</f>
        <v>6647512.8966505406</v>
      </c>
      <c r="X73" s="118">
        <f t="shared" ref="X73" si="210">SUM(X70:X72)</f>
        <v>7103342.3524208637</v>
      </c>
      <c r="Y73" s="118">
        <f t="shared" ref="Y73" si="211">SUM(Y70:Y72)</f>
        <v>7574745.9812633386</v>
      </c>
      <c r="Z73" s="118">
        <f t="shared" ref="Z73" si="212">SUM(Z70:Z72)</f>
        <v>7054393.866028727</v>
      </c>
      <c r="AA73" s="118">
        <f t="shared" ref="AA73" si="213">SUM(AA70:AA72)</f>
        <v>6852839.7555707647</v>
      </c>
      <c r="AB73" s="118">
        <f t="shared" ref="AB73" si="214">SUM(AB70:AB72)</f>
        <v>8038381.0332845058</v>
      </c>
      <c r="AC73" s="118">
        <f>SUM(AC70:AC72)</f>
        <v>7486179.2057806142</v>
      </c>
      <c r="AD73" s="118">
        <f t="shared" ref="AD73" si="215">SUM(AD70:AD72)</f>
        <v>7999517.2084627142</v>
      </c>
      <c r="AE73" s="118">
        <f t="shared" ref="AE73" si="216">SUM(AE70:AE72)</f>
        <v>8159507.5526319686</v>
      </c>
      <c r="AF73" s="118">
        <f t="shared" ref="AF73" si="217">SUM(AF70:AF72)</f>
        <v>8341612.9257384362</v>
      </c>
      <c r="AG73" s="118">
        <f t="shared" ref="AG73" si="218">SUM(AG70:AG72)</f>
        <v>9318773.2970392257</v>
      </c>
      <c r="AH73" s="118">
        <f t="shared" ref="AH73" si="219">SUM(AH70:AH72)</f>
        <v>9091881.425459139</v>
      </c>
      <c r="AI73" s="118">
        <f t="shared" ref="AI73" si="220">SUM(AI70:AI72)</f>
        <v>8852186.3696970344</v>
      </c>
      <c r="AJ73" s="118">
        <f t="shared" ref="AJ73" si="221">SUM(AJ70:AJ72)</f>
        <v>9459193.4350476898</v>
      </c>
      <c r="AK73" s="118">
        <f t="shared" ref="AK73" si="222">SUM(AK70:AK72)</f>
        <v>9648377.303748643</v>
      </c>
      <c r="AL73" s="118">
        <f t="shared" ref="AL73" si="223">SUM(AL70:AL72)</f>
        <v>9841344.8498236164</v>
      </c>
      <c r="AM73" s="118">
        <f t="shared" ref="AM73" si="224">SUM(AM70:AM72)</f>
        <v>9125610.6789273527</v>
      </c>
      <c r="AN73" s="118">
        <f t="shared" ref="AN73" si="225">SUM(AN70:AN72)</f>
        <v>10704341.326381784</v>
      </c>
      <c r="AO73" s="103"/>
    </row>
    <row r="74" spans="1:41" ht="15.75" thickTop="1" x14ac:dyDescent="0.25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N34"/>
  <sheetViews>
    <sheetView tabSelected="1" topLeftCell="A14" workbookViewId="0">
      <selection activeCell="J20" sqref="J20"/>
    </sheetView>
  </sheetViews>
  <sheetFormatPr defaultRowHeight="15" x14ac:dyDescent="0.25"/>
  <cols>
    <col min="1" max="1" width="43" style="97" bestFit="1" customWidth="1"/>
    <col min="2" max="2" width="7.28515625" style="97" hidden="1" customWidth="1"/>
    <col min="3" max="3" width="0" style="97" hidden="1" customWidth="1"/>
    <col min="4" max="4" width="8.28515625" style="97" hidden="1" customWidth="1"/>
    <col min="5" max="5" width="22.140625" style="97" bestFit="1" customWidth="1"/>
    <col min="6" max="7" width="11" style="97" customWidth="1"/>
    <col min="8" max="39" width="13.28515625" style="97" bestFit="1" customWidth="1"/>
    <col min="40" max="40" width="14.28515625" style="97" bestFit="1" customWidth="1"/>
    <col min="41" max="16384" width="9.140625" style="97"/>
  </cols>
  <sheetData>
    <row r="4" spans="1:40" x14ac:dyDescent="0.25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1:40" x14ac:dyDescent="0.25">
      <c r="A5" s="233" t="s">
        <v>123</v>
      </c>
      <c r="D5" s="124"/>
      <c r="E5" s="92">
        <f>D4+1</f>
        <v>1</v>
      </c>
      <c r="F5" s="92">
        <f t="shared" ref="F5:P5" si="0">E5+1</f>
        <v>2</v>
      </c>
      <c r="G5" s="92">
        <f t="shared" si="0"/>
        <v>3</v>
      </c>
      <c r="H5" s="92">
        <f t="shared" si="0"/>
        <v>4</v>
      </c>
      <c r="I5" s="92">
        <f t="shared" si="0"/>
        <v>5</v>
      </c>
      <c r="J5" s="92">
        <f t="shared" si="0"/>
        <v>6</v>
      </c>
      <c r="K5" s="92">
        <f t="shared" si="0"/>
        <v>7</v>
      </c>
      <c r="L5" s="92">
        <f t="shared" si="0"/>
        <v>8</v>
      </c>
      <c r="M5" s="92">
        <f t="shared" si="0"/>
        <v>9</v>
      </c>
      <c r="N5" s="92">
        <f t="shared" si="0"/>
        <v>10</v>
      </c>
      <c r="O5" s="92">
        <f t="shared" si="0"/>
        <v>11</v>
      </c>
      <c r="P5" s="92">
        <f t="shared" si="0"/>
        <v>12</v>
      </c>
      <c r="Q5" s="92">
        <f t="shared" ref="Q5:AN5" si="1">P5+1</f>
        <v>13</v>
      </c>
      <c r="R5" s="92">
        <f t="shared" si="1"/>
        <v>14</v>
      </c>
      <c r="S5" s="92">
        <f t="shared" si="1"/>
        <v>15</v>
      </c>
      <c r="T5" s="92">
        <f t="shared" si="1"/>
        <v>16</v>
      </c>
      <c r="U5" s="92">
        <f t="shared" si="1"/>
        <v>17</v>
      </c>
      <c r="V5" s="92">
        <f t="shared" si="1"/>
        <v>18</v>
      </c>
      <c r="W5" s="92">
        <f t="shared" si="1"/>
        <v>19</v>
      </c>
      <c r="X5" s="92">
        <f t="shared" si="1"/>
        <v>20</v>
      </c>
      <c r="Y5" s="92">
        <f t="shared" si="1"/>
        <v>21</v>
      </c>
      <c r="Z5" s="92">
        <f t="shared" si="1"/>
        <v>22</v>
      </c>
      <c r="AA5" s="92">
        <f t="shared" si="1"/>
        <v>23</v>
      </c>
      <c r="AB5" s="92">
        <f t="shared" si="1"/>
        <v>24</v>
      </c>
      <c r="AC5" s="92">
        <f t="shared" si="1"/>
        <v>25</v>
      </c>
      <c r="AD5" s="92">
        <f t="shared" si="1"/>
        <v>26</v>
      </c>
      <c r="AE5" s="92">
        <f t="shared" si="1"/>
        <v>27</v>
      </c>
      <c r="AF5" s="92">
        <f t="shared" si="1"/>
        <v>28</v>
      </c>
      <c r="AG5" s="92">
        <f t="shared" si="1"/>
        <v>29</v>
      </c>
      <c r="AH5" s="92">
        <f t="shared" si="1"/>
        <v>30</v>
      </c>
      <c r="AI5" s="92">
        <f t="shared" si="1"/>
        <v>31</v>
      </c>
      <c r="AJ5" s="92">
        <f t="shared" si="1"/>
        <v>32</v>
      </c>
      <c r="AK5" s="92">
        <f t="shared" si="1"/>
        <v>33</v>
      </c>
      <c r="AL5" s="92">
        <f t="shared" si="1"/>
        <v>34</v>
      </c>
      <c r="AM5" s="92">
        <f t="shared" si="1"/>
        <v>35</v>
      </c>
      <c r="AN5" s="92">
        <f t="shared" si="1"/>
        <v>36</v>
      </c>
    </row>
    <row r="6" spans="1:40" x14ac:dyDescent="0.25">
      <c r="A6" s="232"/>
      <c r="E6" s="93">
        <f>'Monthly Revenue'!E6</f>
        <v>43951</v>
      </c>
      <c r="F6" s="93">
        <f>'Monthly Revenue'!F6</f>
        <v>43982</v>
      </c>
      <c r="G6" s="93">
        <f>'Monthly Revenue'!G6</f>
        <v>44012</v>
      </c>
      <c r="H6" s="93">
        <f>'Monthly Revenue'!H6</f>
        <v>44043</v>
      </c>
      <c r="I6" s="93">
        <f>'Monthly Revenue'!I6</f>
        <v>44074</v>
      </c>
      <c r="J6" s="93">
        <f>'Monthly Revenue'!J6</f>
        <v>44104</v>
      </c>
      <c r="K6" s="93">
        <f>'Monthly Revenue'!K6</f>
        <v>44135</v>
      </c>
      <c r="L6" s="93">
        <f>'Monthly Revenue'!L6</f>
        <v>44165</v>
      </c>
      <c r="M6" s="93">
        <f>'Monthly Revenue'!M6</f>
        <v>44196</v>
      </c>
      <c r="N6" s="93">
        <f>'Monthly Revenue'!N6</f>
        <v>44227</v>
      </c>
      <c r="O6" s="93">
        <f>'Monthly Revenue'!O6</f>
        <v>44255</v>
      </c>
      <c r="P6" s="93">
        <f>'Monthly Revenue'!P6</f>
        <v>44286</v>
      </c>
      <c r="Q6" s="93">
        <f>'Monthly Revenue'!Q6</f>
        <v>44316</v>
      </c>
      <c r="R6" s="93">
        <f>'Monthly Revenue'!R6</f>
        <v>44347</v>
      </c>
      <c r="S6" s="93">
        <f>'Monthly Revenue'!S6</f>
        <v>44377</v>
      </c>
      <c r="T6" s="93">
        <f>'Monthly Revenue'!T6</f>
        <v>44408</v>
      </c>
      <c r="U6" s="93">
        <f>'Monthly Revenue'!U6</f>
        <v>44439</v>
      </c>
      <c r="V6" s="93">
        <f>'Monthly Revenue'!V6</f>
        <v>44469</v>
      </c>
      <c r="W6" s="93">
        <f>'Monthly Revenue'!W6</f>
        <v>44500</v>
      </c>
      <c r="X6" s="93">
        <f>'Monthly Revenue'!X6</f>
        <v>44530</v>
      </c>
      <c r="Y6" s="93">
        <f>'Monthly Revenue'!Y6</f>
        <v>44561</v>
      </c>
      <c r="Z6" s="93">
        <f>'Monthly Revenue'!Z6</f>
        <v>44592</v>
      </c>
      <c r="AA6" s="93">
        <f>'Monthly Revenue'!AA6</f>
        <v>44620</v>
      </c>
      <c r="AB6" s="93">
        <f>'Monthly Revenue'!AB6</f>
        <v>44651</v>
      </c>
      <c r="AC6" s="93">
        <f>'Monthly Revenue'!AC6</f>
        <v>44681</v>
      </c>
      <c r="AD6" s="93">
        <f>'Monthly Revenue'!AD6</f>
        <v>44712</v>
      </c>
      <c r="AE6" s="93">
        <f>'Monthly Revenue'!AE6</f>
        <v>44742</v>
      </c>
      <c r="AF6" s="93">
        <f>'Monthly Revenue'!AF6</f>
        <v>44773</v>
      </c>
      <c r="AG6" s="93">
        <f>'Monthly Revenue'!AG6</f>
        <v>44804</v>
      </c>
      <c r="AH6" s="93">
        <f>'Monthly Revenue'!AH6</f>
        <v>44834</v>
      </c>
      <c r="AI6" s="93">
        <f>'Monthly Revenue'!AI6</f>
        <v>44865</v>
      </c>
      <c r="AJ6" s="93">
        <f>'Monthly Revenue'!AJ6</f>
        <v>44895</v>
      </c>
      <c r="AK6" s="93">
        <f>'Monthly Revenue'!AK6</f>
        <v>44926</v>
      </c>
      <c r="AL6" s="93">
        <f>'Monthly Revenue'!AL6</f>
        <v>44957</v>
      </c>
      <c r="AM6" s="93">
        <f>'Monthly Revenue'!AM6</f>
        <v>44985</v>
      </c>
      <c r="AN6" s="93">
        <f>'Monthly Revenue'!AN6</f>
        <v>45016</v>
      </c>
    </row>
    <row r="7" spans="1:40" x14ac:dyDescent="0.25">
      <c r="A7" s="229" t="s">
        <v>0</v>
      </c>
      <c r="E7" s="125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26"/>
    </row>
    <row r="8" spans="1:40" x14ac:dyDescent="0.25">
      <c r="A8" s="230" t="str">
        <f>'Monthly Revenue'!A70</f>
        <v>Alcoholic Beverages</v>
      </c>
      <c r="E8" s="125">
        <f>'Monthly Revenue'!E70</f>
        <v>0</v>
      </c>
      <c r="F8" s="107">
        <f>'Monthly Revenue'!F70</f>
        <v>0</v>
      </c>
      <c r="G8" s="107">
        <f>'Monthly Revenue'!G70</f>
        <v>0</v>
      </c>
      <c r="H8" s="107">
        <f>'Monthly Revenue'!H70</f>
        <v>1876800</v>
      </c>
      <c r="I8" s="107">
        <f>'Monthly Revenue'!I70</f>
        <v>1747872</v>
      </c>
      <c r="J8" s="107">
        <f>'Monthly Revenue'!J70</f>
        <v>1867726.08</v>
      </c>
      <c r="K8" s="107">
        <f>'Monthly Revenue'!K70</f>
        <v>1905080.6015999999</v>
      </c>
      <c r="L8" s="107">
        <f>'Monthly Revenue'!L70</f>
        <v>1854855.7493759999</v>
      </c>
      <c r="M8" s="107">
        <f>'Monthly Revenue'!M70</f>
        <v>2072138.8514457601</v>
      </c>
      <c r="N8" s="107">
        <f>'Monthly Revenue'!N70</f>
        <v>1929791.9216507901</v>
      </c>
      <c r="O8" s="107">
        <f>'Monthly Revenue'!O70</f>
        <v>1874655.0096036249</v>
      </c>
      <c r="P8" s="107">
        <f>'Monthly Revenue'!P70</f>
        <v>2198970.326265052</v>
      </c>
      <c r="Q8" s="107">
        <f>'Monthly Revenue'!Q70</f>
        <v>2145430.1791907726</v>
      </c>
      <c r="R8" s="107">
        <f>'Monthly Revenue'!R70</f>
        <v>2088868.8381030159</v>
      </c>
      <c r="S8" s="107">
        <f>'Monthly Revenue'!S70</f>
        <v>2232105.5584300798</v>
      </c>
      <c r="T8" s="107">
        <f>'Monthly Revenue'!T70</f>
        <v>2390585.0530786156</v>
      </c>
      <c r="U8" s="107">
        <f>'Monthly Revenue'!U70</f>
        <v>2438396.7541401875</v>
      </c>
      <c r="V8" s="107">
        <f>'Monthly Revenue'!V70</f>
        <v>2487164.6892229919</v>
      </c>
      <c r="W8" s="107">
        <f>'Monthly Revenue'!W70</f>
        <v>2421593.9837798402</v>
      </c>
      <c r="X8" s="107">
        <f>'Monthly Revenue'!X70</f>
        <v>2587646.1426676004</v>
      </c>
      <c r="Y8" s="107">
        <f>'Monthly Revenue'!Y70</f>
        <v>2759371.7503173589</v>
      </c>
      <c r="Z8" s="107">
        <f>'Monthly Revenue'!Z70</f>
        <v>2569814.9083390362</v>
      </c>
      <c r="AA8" s="107">
        <f>'Monthly Revenue'!AA70</f>
        <v>2496391.6252436358</v>
      </c>
      <c r="AB8" s="107">
        <f>'Monthly Revenue'!AB70</f>
        <v>2928267.3764107842</v>
      </c>
      <c r="AC8" s="107">
        <f>'Monthly Revenue'!AC70</f>
        <v>2727108.1392486524</v>
      </c>
      <c r="AD8" s="107">
        <f>'Monthly Revenue'!AD70</f>
        <v>2914109.8402257031</v>
      </c>
      <c r="AE8" s="107">
        <f>'Monthly Revenue'!AE70</f>
        <v>2972392.0370302168</v>
      </c>
      <c r="AF8" s="107">
        <f>'Monthly Revenue'!AF70</f>
        <v>3038730.4229475735</v>
      </c>
      <c r="AG8" s="107">
        <f>'Monthly Revenue'!AG70</f>
        <v>3394695.986778575</v>
      </c>
      <c r="AH8" s="107">
        <f>'Monthly Revenue'!AH70</f>
        <v>3312042.519274401</v>
      </c>
      <c r="AI8" s="107">
        <f>'Monthly Revenue'!AI70</f>
        <v>3224725.0346753481</v>
      </c>
      <c r="AJ8" s="107">
        <f>'Monthly Revenue'!AJ70</f>
        <v>3445849.0370530868</v>
      </c>
      <c r="AK8" s="107">
        <f>'Monthly Revenue'!AK70</f>
        <v>3514766.0177941485</v>
      </c>
      <c r="AL8" s="107">
        <f>'Monthly Revenue'!AL70</f>
        <v>3585061.3381500314</v>
      </c>
      <c r="AM8" s="107">
        <f>'Monthly Revenue'!AM70</f>
        <v>3324329.6044663927</v>
      </c>
      <c r="AN8" s="126">
        <f>'Monthly Revenue'!AN70</f>
        <v>3899438.6260390785</v>
      </c>
    </row>
    <row r="9" spans="1:40" x14ac:dyDescent="0.25">
      <c r="A9" s="230" t="str">
        <f>'Monthly Revenue'!A71</f>
        <v>Non Alcoholic Beverages</v>
      </c>
      <c r="E9" s="125">
        <f>'Monthly Revenue'!E71</f>
        <v>0</v>
      </c>
      <c r="F9" s="107">
        <f>'Monthly Revenue'!F71</f>
        <v>0</v>
      </c>
      <c r="G9" s="107">
        <f>'Monthly Revenue'!G71</f>
        <v>0</v>
      </c>
      <c r="H9" s="107">
        <f>'Monthly Revenue'!H71</f>
        <v>736000</v>
      </c>
      <c r="I9" s="107">
        <f>'Monthly Revenue'!I71</f>
        <v>685440</v>
      </c>
      <c r="J9" s="107">
        <f>'Monthly Revenue'!J71</f>
        <v>732441.59999999986</v>
      </c>
      <c r="K9" s="107">
        <f>'Monthly Revenue'!K71</f>
        <v>747090.43200000003</v>
      </c>
      <c r="L9" s="107">
        <f>'Monthly Revenue'!L71</f>
        <v>727394.41152000008</v>
      </c>
      <c r="M9" s="107">
        <f>'Monthly Revenue'!M71</f>
        <v>812603.47115520015</v>
      </c>
      <c r="N9" s="107">
        <f>'Monthly Revenue'!N71</f>
        <v>756781.14574540802</v>
      </c>
      <c r="O9" s="107">
        <f>'Monthly Revenue'!O71</f>
        <v>735158.8272955392</v>
      </c>
      <c r="P9" s="107">
        <f>'Monthly Revenue'!P71</f>
        <v>862341.30441766744</v>
      </c>
      <c r="Q9" s="107">
        <f>'Monthly Revenue'!Q71</f>
        <v>841345.16831010696</v>
      </c>
      <c r="R9" s="107">
        <f>'Monthly Revenue'!R71</f>
        <v>819164.25023647677</v>
      </c>
      <c r="S9" s="107">
        <f>'Monthly Revenue'!S71</f>
        <v>875335.51310983533</v>
      </c>
      <c r="T9" s="107">
        <f>'Monthly Revenue'!T71</f>
        <v>937484.33454063348</v>
      </c>
      <c r="U9" s="107">
        <f>'Monthly Revenue'!U71</f>
        <v>956234.02123144618</v>
      </c>
      <c r="V9" s="107">
        <f>'Monthly Revenue'!V71</f>
        <v>975358.70165607508</v>
      </c>
      <c r="W9" s="107">
        <f>'Monthly Revenue'!W71</f>
        <v>949644.69952150574</v>
      </c>
      <c r="X9" s="107">
        <f>'Monthly Revenue'!X71</f>
        <v>1014763.1932029806</v>
      </c>
      <c r="Y9" s="107">
        <f>'Monthly Revenue'!Y71</f>
        <v>1082106.5687519056</v>
      </c>
      <c r="Z9" s="107">
        <f>'Monthly Revenue'!Z71</f>
        <v>1007770.5522898182</v>
      </c>
      <c r="AA9" s="107">
        <f>'Monthly Revenue'!AA71</f>
        <v>978977.10793868056</v>
      </c>
      <c r="AB9" s="107">
        <f>'Monthly Revenue'!AB71</f>
        <v>1148340.1476120723</v>
      </c>
      <c r="AC9" s="107">
        <f>'Monthly Revenue'!AC71</f>
        <v>1069454.1722543736</v>
      </c>
      <c r="AD9" s="107">
        <f>'Monthly Revenue'!AD71</f>
        <v>1142788.1726375306</v>
      </c>
      <c r="AE9" s="107">
        <f>'Monthly Revenue'!AE71</f>
        <v>1165643.9360902812</v>
      </c>
      <c r="AF9" s="107">
        <f>'Monthly Revenue'!AF71</f>
        <v>1191658.9893912051</v>
      </c>
      <c r="AG9" s="107">
        <f>'Monthly Revenue'!AG71</f>
        <v>1331253.3281484607</v>
      </c>
      <c r="AH9" s="107">
        <f>'Monthly Revenue'!AH71</f>
        <v>1298840.20363702</v>
      </c>
      <c r="AI9" s="107">
        <f>'Monthly Revenue'!AI71</f>
        <v>1264598.0528138622</v>
      </c>
      <c r="AJ9" s="107">
        <f>'Monthly Revenue'!AJ71</f>
        <v>1351313.3478639554</v>
      </c>
      <c r="AK9" s="107">
        <f>'Monthly Revenue'!AK71</f>
        <v>1378339.6148212347</v>
      </c>
      <c r="AL9" s="107">
        <f>'Monthly Revenue'!AL71</f>
        <v>1405906.4071176595</v>
      </c>
      <c r="AM9" s="107">
        <f>'Monthly Revenue'!AM71</f>
        <v>1303658.6684181932</v>
      </c>
      <c r="AN9" s="126">
        <f>'Monthly Revenue'!AN71</f>
        <v>1529191.6180545406</v>
      </c>
    </row>
    <row r="10" spans="1:40" x14ac:dyDescent="0.25">
      <c r="A10" s="230" t="str">
        <f>'Monthly Revenue'!A72</f>
        <v>Food</v>
      </c>
      <c r="E10" s="125">
        <f>'Monthly Revenue'!E72</f>
        <v>0</v>
      </c>
      <c r="F10" s="107">
        <f>'Monthly Revenue'!F72</f>
        <v>0</v>
      </c>
      <c r="G10" s="107">
        <f>'Monthly Revenue'!G72</f>
        <v>0</v>
      </c>
      <c r="H10" s="107">
        <f>'Monthly Revenue'!H72</f>
        <v>2539200</v>
      </c>
      <c r="I10" s="107">
        <f>'Monthly Revenue'!I72</f>
        <v>2364768</v>
      </c>
      <c r="J10" s="107">
        <f>'Monthly Revenue'!J72</f>
        <v>2526923.52</v>
      </c>
      <c r="K10" s="107">
        <f>'Monthly Revenue'!K72</f>
        <v>2577461.9904</v>
      </c>
      <c r="L10" s="107">
        <f>'Monthly Revenue'!L72</f>
        <v>2509510.7197440001</v>
      </c>
      <c r="M10" s="107">
        <f>'Monthly Revenue'!M72</f>
        <v>2803481.9754854403</v>
      </c>
      <c r="N10" s="107">
        <f>'Monthly Revenue'!N72</f>
        <v>2610894.9528216575</v>
      </c>
      <c r="O10" s="107">
        <f>'Monthly Revenue'!O72</f>
        <v>2536297.9541696105</v>
      </c>
      <c r="P10" s="107">
        <f>'Monthly Revenue'!P72</f>
        <v>2975077.5002409527</v>
      </c>
      <c r="Q10" s="107">
        <f>'Monthly Revenue'!Q72</f>
        <v>2902640.8306698687</v>
      </c>
      <c r="R10" s="107">
        <f>'Monthly Revenue'!R72</f>
        <v>2826116.6633158452</v>
      </c>
      <c r="S10" s="107">
        <f>'Monthly Revenue'!S72</f>
        <v>3019907.5202289317</v>
      </c>
      <c r="T10" s="107">
        <f>'Monthly Revenue'!T72</f>
        <v>3234320.9541651858</v>
      </c>
      <c r="U10" s="107">
        <f>'Monthly Revenue'!U72</f>
        <v>3299007.3732484891</v>
      </c>
      <c r="V10" s="107">
        <f>'Monthly Revenue'!V72</f>
        <v>3364987.5207134592</v>
      </c>
      <c r="W10" s="107">
        <f>'Monthly Revenue'!W72</f>
        <v>3276274.2133491947</v>
      </c>
      <c r="X10" s="107">
        <f>'Monthly Revenue'!X72</f>
        <v>3500933.0165502829</v>
      </c>
      <c r="Y10" s="107">
        <f>'Monthly Revenue'!Y72</f>
        <v>3733267.6621940741</v>
      </c>
      <c r="Z10" s="107">
        <f>'Monthly Revenue'!Z72</f>
        <v>3476808.4053998729</v>
      </c>
      <c r="AA10" s="107">
        <f>'Monthly Revenue'!AA72</f>
        <v>3377471.022388448</v>
      </c>
      <c r="AB10" s="107">
        <f>'Monthly Revenue'!AB72</f>
        <v>3961773.5092616496</v>
      </c>
      <c r="AC10" s="107">
        <f>'Monthly Revenue'!AC72</f>
        <v>3689616.8942775885</v>
      </c>
      <c r="AD10" s="107">
        <f>'Monthly Revenue'!AD72</f>
        <v>3942619.1955994805</v>
      </c>
      <c r="AE10" s="107">
        <f>'Monthly Revenue'!AE72</f>
        <v>4021471.5795114702</v>
      </c>
      <c r="AF10" s="107">
        <f>'Monthly Revenue'!AF72</f>
        <v>4111223.5133996578</v>
      </c>
      <c r="AG10" s="107">
        <f>'Monthly Revenue'!AG72</f>
        <v>4592823.9821121898</v>
      </c>
      <c r="AH10" s="107">
        <f>'Monthly Revenue'!AH72</f>
        <v>4480998.7025477188</v>
      </c>
      <c r="AI10" s="107">
        <f>'Monthly Revenue'!AI72</f>
        <v>4362863.2822078243</v>
      </c>
      <c r="AJ10" s="107">
        <f>'Monthly Revenue'!AJ72</f>
        <v>4662031.0501306467</v>
      </c>
      <c r="AK10" s="107">
        <f>'Monthly Revenue'!AK72</f>
        <v>4755271.6711332593</v>
      </c>
      <c r="AL10" s="107">
        <f>'Monthly Revenue'!AL72</f>
        <v>4850377.1045559254</v>
      </c>
      <c r="AM10" s="107">
        <f>'Monthly Revenue'!AM72</f>
        <v>4497622.4060427668</v>
      </c>
      <c r="AN10" s="126">
        <f>'Monthly Revenue'!AN72</f>
        <v>5275711.0822881656</v>
      </c>
    </row>
    <row r="11" spans="1:40" ht="15.75" thickBot="1" x14ac:dyDescent="0.3">
      <c r="A11" s="229" t="str">
        <f>'Monthly Revenue'!A73</f>
        <v>Total</v>
      </c>
      <c r="E11" s="127">
        <f>'Monthly Revenue'!E73</f>
        <v>0</v>
      </c>
      <c r="F11" s="122">
        <f>'Monthly Revenue'!F73</f>
        <v>0</v>
      </c>
      <c r="G11" s="122">
        <f>'Monthly Revenue'!G73</f>
        <v>0</v>
      </c>
      <c r="H11" s="122">
        <f>'Monthly Revenue'!H73</f>
        <v>5152000</v>
      </c>
      <c r="I11" s="122">
        <f>'Monthly Revenue'!I73</f>
        <v>4798080</v>
      </c>
      <c r="J11" s="122">
        <f>'Monthly Revenue'!J73</f>
        <v>5127091.1999999993</v>
      </c>
      <c r="K11" s="122">
        <f>'Monthly Revenue'!K73</f>
        <v>5229633.0240000002</v>
      </c>
      <c r="L11" s="122">
        <f>'Monthly Revenue'!L73</f>
        <v>5091760.8806400001</v>
      </c>
      <c r="M11" s="122">
        <f>'Monthly Revenue'!M73</f>
        <v>5688224.2980864011</v>
      </c>
      <c r="N11" s="122">
        <f>'Monthly Revenue'!N73</f>
        <v>5297468.0202178564</v>
      </c>
      <c r="O11" s="122">
        <f>'Monthly Revenue'!O73</f>
        <v>5146111.7910687746</v>
      </c>
      <c r="P11" s="122">
        <f>'Monthly Revenue'!P73</f>
        <v>6036389.1309236716</v>
      </c>
      <c r="Q11" s="122">
        <f>'Monthly Revenue'!Q73</f>
        <v>5889416.1781707481</v>
      </c>
      <c r="R11" s="122">
        <f>'Monthly Revenue'!R73</f>
        <v>5734149.7516553383</v>
      </c>
      <c r="S11" s="122">
        <f>'Monthly Revenue'!S73</f>
        <v>6127348.5917688468</v>
      </c>
      <c r="T11" s="122">
        <f>'Monthly Revenue'!T73</f>
        <v>6562390.3417844344</v>
      </c>
      <c r="U11" s="122">
        <f>'Monthly Revenue'!U73</f>
        <v>6693638.148620123</v>
      </c>
      <c r="V11" s="122">
        <f>'Monthly Revenue'!V73</f>
        <v>6827510.9115925264</v>
      </c>
      <c r="W11" s="122">
        <f>'Monthly Revenue'!W73</f>
        <v>6647512.8966505406</v>
      </c>
      <c r="X11" s="122">
        <f>'Monthly Revenue'!X73</f>
        <v>7103342.3524208637</v>
      </c>
      <c r="Y11" s="122">
        <f>'Monthly Revenue'!Y73</f>
        <v>7574745.9812633386</v>
      </c>
      <c r="Z11" s="122">
        <f>'Monthly Revenue'!Z73</f>
        <v>7054393.866028727</v>
      </c>
      <c r="AA11" s="122">
        <f>'Monthly Revenue'!AA73</f>
        <v>6852839.7555707647</v>
      </c>
      <c r="AB11" s="122">
        <f>'Monthly Revenue'!AB73</f>
        <v>8038381.0332845058</v>
      </c>
      <c r="AC11" s="122">
        <f>'Monthly Revenue'!AC73</f>
        <v>7486179.2057806142</v>
      </c>
      <c r="AD11" s="122">
        <f>'Monthly Revenue'!AD73</f>
        <v>7999517.2084627142</v>
      </c>
      <c r="AE11" s="122">
        <f>'Monthly Revenue'!AE73</f>
        <v>8159507.5526319686</v>
      </c>
      <c r="AF11" s="122">
        <f>'Monthly Revenue'!AF73</f>
        <v>8341612.9257384362</v>
      </c>
      <c r="AG11" s="122">
        <f>'Monthly Revenue'!AG73</f>
        <v>9318773.2970392257</v>
      </c>
      <c r="AH11" s="122">
        <f>'Monthly Revenue'!AH73</f>
        <v>9091881.425459139</v>
      </c>
      <c r="AI11" s="122">
        <f>'Monthly Revenue'!AI73</f>
        <v>8852186.3696970344</v>
      </c>
      <c r="AJ11" s="122">
        <f>'Monthly Revenue'!AJ73</f>
        <v>9459193.4350476898</v>
      </c>
      <c r="AK11" s="122">
        <f>'Monthly Revenue'!AK73</f>
        <v>9648377.303748643</v>
      </c>
      <c r="AL11" s="122">
        <f>'Monthly Revenue'!AL73</f>
        <v>9841344.8498236164</v>
      </c>
      <c r="AM11" s="122">
        <f>'Monthly Revenue'!AM73</f>
        <v>9125610.6789273527</v>
      </c>
      <c r="AN11" s="131">
        <f>'Monthly Revenue'!AN73</f>
        <v>10704341.326381784</v>
      </c>
    </row>
    <row r="12" spans="1:40" x14ac:dyDescent="0.25">
      <c r="A12" s="230"/>
      <c r="E12" s="125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26"/>
    </row>
    <row r="13" spans="1:40" x14ac:dyDescent="0.25">
      <c r="A13" s="229" t="s">
        <v>109</v>
      </c>
      <c r="E13" s="125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26"/>
    </row>
    <row r="14" spans="1:40" x14ac:dyDescent="0.25">
      <c r="A14" s="230" t="str">
        <f>Assumptions!A25</f>
        <v>Alcoholic Beverage cost (% of revenue)</v>
      </c>
      <c r="E14" s="125">
        <f>E8*Assumptions!$G25</f>
        <v>0</v>
      </c>
      <c r="F14" s="107">
        <f>F8*Assumptions!$G25</f>
        <v>0</v>
      </c>
      <c r="G14" s="107">
        <f>G8*Assumptions!$G25</f>
        <v>0</v>
      </c>
      <c r="H14" s="107">
        <f>H8*Assumptions!$G25</f>
        <v>656880</v>
      </c>
      <c r="I14" s="107">
        <f>I8*Assumptions!$G25</f>
        <v>611755.19999999995</v>
      </c>
      <c r="J14" s="107">
        <f>J8*Assumptions!$G25</f>
        <v>653704.12800000003</v>
      </c>
      <c r="K14" s="107">
        <f>K8*Assumptions!$G25</f>
        <v>666778.21055999992</v>
      </c>
      <c r="L14" s="107">
        <f>L8*Assumptions!$G25</f>
        <v>649199.51228159992</v>
      </c>
      <c r="M14" s="107">
        <f>M8*Assumptions!$G25</f>
        <v>725248.59800601599</v>
      </c>
      <c r="N14" s="107">
        <f>N8*Assumptions!$G25</f>
        <v>675427.17257777648</v>
      </c>
      <c r="O14" s="107">
        <f>O8*Assumptions!$G25</f>
        <v>656129.25336126867</v>
      </c>
      <c r="P14" s="107">
        <f>P8*Assumptions!$G25</f>
        <v>769639.61419276812</v>
      </c>
      <c r="Q14" s="107">
        <f>Q8*Assumptions!$G25</f>
        <v>750900.56271677034</v>
      </c>
      <c r="R14" s="107">
        <f>R8*Assumptions!$G25</f>
        <v>731104.09333605552</v>
      </c>
      <c r="S14" s="107">
        <f>S8*Assumptions!$G25</f>
        <v>781236.94545052794</v>
      </c>
      <c r="T14" s="107">
        <f>T8*Assumptions!$G25</f>
        <v>836704.76857751538</v>
      </c>
      <c r="U14" s="107">
        <f>U8*Assumptions!$G25</f>
        <v>853438.86394906556</v>
      </c>
      <c r="V14" s="107">
        <f>V8*Assumptions!$G25</f>
        <v>870507.64122804708</v>
      </c>
      <c r="W14" s="107">
        <f>W8*Assumptions!$G25</f>
        <v>847557.89432294399</v>
      </c>
      <c r="X14" s="107">
        <f>X8*Assumptions!$G25</f>
        <v>905676.14993366005</v>
      </c>
      <c r="Y14" s="107">
        <f>Y8*Assumptions!$G25</f>
        <v>965780.11261107551</v>
      </c>
      <c r="Z14" s="107">
        <f>Z8*Assumptions!$G25</f>
        <v>899435.21791866259</v>
      </c>
      <c r="AA14" s="107">
        <f>AA8*Assumptions!$G25</f>
        <v>873737.06883527245</v>
      </c>
      <c r="AB14" s="107">
        <f>AB8*Assumptions!$G25</f>
        <v>1024893.5817437744</v>
      </c>
      <c r="AC14" s="107">
        <f>AC8*Assumptions!$G25</f>
        <v>954487.84873702831</v>
      </c>
      <c r="AD14" s="107">
        <f>AD8*Assumptions!$G25</f>
        <v>1019938.444078996</v>
      </c>
      <c r="AE14" s="107">
        <f>AE8*Assumptions!$G25</f>
        <v>1040337.2129605758</v>
      </c>
      <c r="AF14" s="107">
        <f>AF8*Assumptions!$G25</f>
        <v>1063555.6480316506</v>
      </c>
      <c r="AG14" s="107">
        <f>AG8*Assumptions!$G25</f>
        <v>1188143.5953725011</v>
      </c>
      <c r="AH14" s="107">
        <f>AH8*Assumptions!$G25</f>
        <v>1159214.8817460402</v>
      </c>
      <c r="AI14" s="107">
        <f>AI8*Assumptions!$G25</f>
        <v>1128653.7621363718</v>
      </c>
      <c r="AJ14" s="107">
        <f>AJ8*Assumptions!$G25</f>
        <v>1206047.1629685804</v>
      </c>
      <c r="AK14" s="107">
        <f>AK8*Assumptions!$G25</f>
        <v>1230168.1062279518</v>
      </c>
      <c r="AL14" s="107">
        <f>AL8*Assumptions!$G25</f>
        <v>1254771.4683525108</v>
      </c>
      <c r="AM14" s="107">
        <f>AM8*Assumptions!$G25</f>
        <v>1163515.3615632374</v>
      </c>
      <c r="AN14" s="126">
        <f>AN8*Assumptions!$G25</f>
        <v>1364803.5191136773</v>
      </c>
    </row>
    <row r="15" spans="1:40" x14ac:dyDescent="0.25">
      <c r="A15" s="230" t="str">
        <f>Assumptions!A26</f>
        <v>Non Alcoholic Beverages (% of revenue)</v>
      </c>
      <c r="E15" s="125">
        <f>E9*Assumptions!$G26</f>
        <v>0</v>
      </c>
      <c r="F15" s="107">
        <f>F9*Assumptions!$G26</f>
        <v>0</v>
      </c>
      <c r="G15" s="107">
        <f>G9*Assumptions!$G26</f>
        <v>0</v>
      </c>
      <c r="H15" s="107">
        <f>H9*Assumptions!$G26</f>
        <v>294400</v>
      </c>
      <c r="I15" s="107">
        <f>I9*Assumptions!$G26</f>
        <v>274176</v>
      </c>
      <c r="J15" s="107">
        <f>J9*Assumptions!$G26</f>
        <v>292976.63999999996</v>
      </c>
      <c r="K15" s="107">
        <f>K9*Assumptions!$G26</f>
        <v>298836.1728</v>
      </c>
      <c r="L15" s="107">
        <f>L9*Assumptions!$G26</f>
        <v>290957.76460800006</v>
      </c>
      <c r="M15" s="107">
        <f>M9*Assumptions!$G26</f>
        <v>325041.3884620801</v>
      </c>
      <c r="N15" s="107">
        <f>N9*Assumptions!$G26</f>
        <v>302712.4582981632</v>
      </c>
      <c r="O15" s="107">
        <f>O9*Assumptions!$G26</f>
        <v>294063.53091821569</v>
      </c>
      <c r="P15" s="107">
        <f>P9*Assumptions!$G26</f>
        <v>344936.52176706702</v>
      </c>
      <c r="Q15" s="107">
        <f>Q9*Assumptions!$G26</f>
        <v>336538.06732404279</v>
      </c>
      <c r="R15" s="107">
        <f>R9*Assumptions!$G26</f>
        <v>327665.70009459072</v>
      </c>
      <c r="S15" s="107">
        <f>S9*Assumptions!$G26</f>
        <v>350134.20524393418</v>
      </c>
      <c r="T15" s="107">
        <f>T9*Assumptions!$G26</f>
        <v>374993.73381625343</v>
      </c>
      <c r="U15" s="107">
        <f>U9*Assumptions!$G26</f>
        <v>382493.6084925785</v>
      </c>
      <c r="V15" s="107">
        <f>V9*Assumptions!$G26</f>
        <v>390143.48066243005</v>
      </c>
      <c r="W15" s="107">
        <f>W9*Assumptions!$G26</f>
        <v>379857.87980860233</v>
      </c>
      <c r="X15" s="107">
        <f>X9*Assumptions!$G26</f>
        <v>405905.27728119225</v>
      </c>
      <c r="Y15" s="107">
        <f>Y9*Assumptions!$G26</f>
        <v>432842.62750076223</v>
      </c>
      <c r="Z15" s="107">
        <f>Z9*Assumptions!$G26</f>
        <v>403108.22091592732</v>
      </c>
      <c r="AA15" s="107">
        <f>AA9*Assumptions!$G26</f>
        <v>391590.84317547223</v>
      </c>
      <c r="AB15" s="107">
        <f>AB9*Assumptions!$G26</f>
        <v>459336.05904482893</v>
      </c>
      <c r="AC15" s="107">
        <f>AC9*Assumptions!$G26</f>
        <v>427781.66890174942</v>
      </c>
      <c r="AD15" s="107">
        <f>AD9*Assumptions!$G26</f>
        <v>457115.26905501226</v>
      </c>
      <c r="AE15" s="107">
        <f>AE9*Assumptions!$G26</f>
        <v>466257.57443611254</v>
      </c>
      <c r="AF15" s="107">
        <f>AF9*Assumptions!$G26</f>
        <v>476663.5957564821</v>
      </c>
      <c r="AG15" s="107">
        <f>AG9*Assumptions!$G26</f>
        <v>532501.33125938429</v>
      </c>
      <c r="AH15" s="107">
        <f>AH9*Assumptions!$G26</f>
        <v>519536.08145480801</v>
      </c>
      <c r="AI15" s="107">
        <f>AI9*Assumptions!$G26</f>
        <v>505839.22112554492</v>
      </c>
      <c r="AJ15" s="107">
        <f>AJ9*Assumptions!$G26</f>
        <v>540525.33914558217</v>
      </c>
      <c r="AK15" s="107">
        <f>AK9*Assumptions!$G26</f>
        <v>551335.84592849389</v>
      </c>
      <c r="AL15" s="107">
        <f>AL9*Assumptions!$G26</f>
        <v>562362.56284706376</v>
      </c>
      <c r="AM15" s="107">
        <f>AM9*Assumptions!$G26</f>
        <v>521463.46736727731</v>
      </c>
      <c r="AN15" s="126">
        <f>AN9*Assumptions!$G26</f>
        <v>611676.64722181624</v>
      </c>
    </row>
    <row r="16" spans="1:40" x14ac:dyDescent="0.25">
      <c r="A16" s="230" t="str">
        <f>Assumptions!A27</f>
        <v>Food (% of revenue)</v>
      </c>
      <c r="E16" s="125">
        <f>E10*Assumptions!$G27</f>
        <v>0</v>
      </c>
      <c r="F16" s="107">
        <f>F10*Assumptions!$G27</f>
        <v>0</v>
      </c>
      <c r="G16" s="107">
        <f>G10*Assumptions!$G27</f>
        <v>0</v>
      </c>
      <c r="H16" s="107">
        <f>H10*Assumptions!$G27</f>
        <v>761760</v>
      </c>
      <c r="I16" s="107">
        <f>I10*Assumptions!$G27</f>
        <v>709430.4</v>
      </c>
      <c r="J16" s="107">
        <f>J10*Assumptions!$G27</f>
        <v>758077.05599999998</v>
      </c>
      <c r="K16" s="107">
        <f>K10*Assumptions!$G27</f>
        <v>773238.59711999993</v>
      </c>
      <c r="L16" s="107">
        <f>L10*Assumptions!$G27</f>
        <v>752853.21592320001</v>
      </c>
      <c r="M16" s="107">
        <f>M10*Assumptions!$G27</f>
        <v>841044.5926456321</v>
      </c>
      <c r="N16" s="107">
        <f>N10*Assumptions!$G27</f>
        <v>783268.48584649723</v>
      </c>
      <c r="O16" s="107">
        <f>O10*Assumptions!$G27</f>
        <v>760889.38625088311</v>
      </c>
      <c r="P16" s="107">
        <f>P10*Assumptions!$G27</f>
        <v>892523.25007228577</v>
      </c>
      <c r="Q16" s="107">
        <f>Q10*Assumptions!$G27</f>
        <v>870792.24920096062</v>
      </c>
      <c r="R16" s="107">
        <f>R10*Assumptions!$G27</f>
        <v>847834.99899475358</v>
      </c>
      <c r="S16" s="107">
        <f>S10*Assumptions!$G27</f>
        <v>905972.2560686795</v>
      </c>
      <c r="T16" s="107">
        <f>T10*Assumptions!$G27</f>
        <v>970296.28624955565</v>
      </c>
      <c r="U16" s="107">
        <f>U10*Assumptions!$G27</f>
        <v>989702.21197454666</v>
      </c>
      <c r="V16" s="107">
        <f>V10*Assumptions!$G27</f>
        <v>1009496.2562140378</v>
      </c>
      <c r="W16" s="107">
        <f>W10*Assumptions!$G27</f>
        <v>982882.26400475833</v>
      </c>
      <c r="X16" s="107">
        <f>X10*Assumptions!$G27</f>
        <v>1050279.9049650847</v>
      </c>
      <c r="Y16" s="107">
        <f>Y10*Assumptions!$G27</f>
        <v>1119980.2986582222</v>
      </c>
      <c r="Z16" s="107">
        <f>Z10*Assumptions!$G27</f>
        <v>1043042.5216199618</v>
      </c>
      <c r="AA16" s="107">
        <f>AA10*Assumptions!$G27</f>
        <v>1013241.3067165343</v>
      </c>
      <c r="AB16" s="107">
        <f>AB10*Assumptions!$G27</f>
        <v>1188532.0527784948</v>
      </c>
      <c r="AC16" s="107">
        <f>AC10*Assumptions!$G27</f>
        <v>1106885.0682832764</v>
      </c>
      <c r="AD16" s="107">
        <f>AD10*Assumptions!$G27</f>
        <v>1182785.7586798442</v>
      </c>
      <c r="AE16" s="107">
        <f>AE10*Assumptions!$G27</f>
        <v>1206441.473853441</v>
      </c>
      <c r="AF16" s="107">
        <f>AF10*Assumptions!$G27</f>
        <v>1233367.0540198972</v>
      </c>
      <c r="AG16" s="107">
        <f>AG10*Assumptions!$G27</f>
        <v>1377847.1946336569</v>
      </c>
      <c r="AH16" s="107">
        <f>AH10*Assumptions!$G27</f>
        <v>1344299.6107643156</v>
      </c>
      <c r="AI16" s="107">
        <f>AI10*Assumptions!$G27</f>
        <v>1308858.9846623472</v>
      </c>
      <c r="AJ16" s="107">
        <f>AJ10*Assumptions!$G27</f>
        <v>1398609.315039194</v>
      </c>
      <c r="AK16" s="107">
        <f>AK10*Assumptions!$G27</f>
        <v>1426581.5013399778</v>
      </c>
      <c r="AL16" s="107">
        <f>AL10*Assumptions!$G27</f>
        <v>1455113.1313667775</v>
      </c>
      <c r="AM16" s="107">
        <f>AM10*Assumptions!$G27</f>
        <v>1349286.7218128301</v>
      </c>
      <c r="AN16" s="126">
        <f>AN10*Assumptions!$G27</f>
        <v>1582713.3246864497</v>
      </c>
    </row>
    <row r="17" spans="1:40" x14ac:dyDescent="0.25">
      <c r="A17" s="230" t="s">
        <v>110</v>
      </c>
      <c r="E17" s="125">
        <f>IF(MOD(E5,12)=4,MAX(D16*(1+Assumptions!$G$41),Assumptions!$G$40),'Monthly P and L'!D16)</f>
        <v>0</v>
      </c>
      <c r="F17" s="107">
        <f>IF(MOD(F5,12)=4,MAX(E17*(1+Assumptions!$G$41),Assumptions!$G$40),'Monthly P and L'!E17)</f>
        <v>0</v>
      </c>
      <c r="G17" s="107">
        <f>IF(MOD(G5,12)=4,MAX(F17*(1+Assumptions!$G$41),Assumptions!$G$40),'Monthly P and L'!F17)</f>
        <v>0</v>
      </c>
      <c r="H17" s="107">
        <f>IF(MOD(H5,12)=4,MAX(G17*(1+Assumptions!$G$41),Assumptions!$G$40),'Monthly P and L'!G17)</f>
        <v>986000</v>
      </c>
      <c r="I17" s="107">
        <f>IF(MOD(I5,12)=4,MAX(H17*(1+Assumptions!$G$41),Assumptions!$G$40),'Monthly P and L'!H17)</f>
        <v>986000</v>
      </c>
      <c r="J17" s="107">
        <f>IF(MOD(J5,12)=4,MAX(I17*(1+Assumptions!$G$41),Assumptions!$G$40),'Monthly P and L'!I17)</f>
        <v>986000</v>
      </c>
      <c r="K17" s="107">
        <f>IF(MOD(K5,12)=4,MAX(J17*(1+Assumptions!$G$41),Assumptions!$G$40),'Monthly P and L'!J17)</f>
        <v>986000</v>
      </c>
      <c r="L17" s="107">
        <f>IF(MOD(L5,12)=4,MAX(K17*(1+Assumptions!$G$41),Assumptions!$G$40),'Monthly P and L'!K17)</f>
        <v>986000</v>
      </c>
      <c r="M17" s="107">
        <f>IF(MOD(M5,12)=4,MAX(L17*(1+Assumptions!$G$41),Assumptions!$G$40),'Monthly P and L'!L17)</f>
        <v>986000</v>
      </c>
      <c r="N17" s="107">
        <f>IF(MOD(N5,12)=4,MAX(M17*(1+Assumptions!$G$41),Assumptions!$G$40),'Monthly P and L'!M17)</f>
        <v>986000</v>
      </c>
      <c r="O17" s="107">
        <f>IF(MOD(O5,12)=4,MAX(N17*(1+Assumptions!$G$41),Assumptions!$G$40),'Monthly P and L'!N17)</f>
        <v>986000</v>
      </c>
      <c r="P17" s="107">
        <f>IF(MOD(P5,12)=4,MAX(O17*(1+Assumptions!$G$41),Assumptions!$G$40),'Monthly P and L'!O17)</f>
        <v>986000</v>
      </c>
      <c r="Q17" s="107">
        <f>IF(MOD(Q5,12)=4,MAX(P17*(1+Assumptions!$G$41),Assumptions!$G$40),'Monthly P and L'!P17)</f>
        <v>986000</v>
      </c>
      <c r="R17" s="107">
        <f>IF(MOD(R5,12)=4,MAX(Q17*(1+Assumptions!$G$41),Assumptions!$G$40),'Monthly P and L'!Q17)</f>
        <v>986000</v>
      </c>
      <c r="S17" s="107">
        <f>IF(MOD(S5,12)=4,MAX(R17*(1+Assumptions!$G$41),Assumptions!$G$40),'Monthly P and L'!R17)</f>
        <v>986000</v>
      </c>
      <c r="T17" s="107">
        <f>IF(MOD(T5,12)=4,MAX(S17*(1+Assumptions!$G$41),Assumptions!$G$40),'Monthly P and L'!S17)</f>
        <v>1064880</v>
      </c>
      <c r="U17" s="107">
        <f>IF(MOD(U5,12)=4,MAX(T17*(1+Assumptions!$G$41),Assumptions!$G$40),'Monthly P and L'!T17)</f>
        <v>1064880</v>
      </c>
      <c r="V17" s="107">
        <f>IF(MOD(V5,12)=4,MAX(U17*(1+Assumptions!$G$41),Assumptions!$G$40),'Monthly P and L'!U17)</f>
        <v>1064880</v>
      </c>
      <c r="W17" s="107">
        <f>IF(MOD(W5,12)=4,MAX(V17*(1+Assumptions!$G$41),Assumptions!$G$40),'Monthly P and L'!V17)</f>
        <v>1064880</v>
      </c>
      <c r="X17" s="107">
        <f>IF(MOD(X5,12)=4,MAX(W17*(1+Assumptions!$G$41),Assumptions!$G$40),'Monthly P and L'!W17)</f>
        <v>1064880</v>
      </c>
      <c r="Y17" s="107">
        <f>IF(MOD(Y5,12)=4,MAX(X17*(1+Assumptions!$G$41),Assumptions!$G$40),'Monthly P and L'!X17)</f>
        <v>1064880</v>
      </c>
      <c r="Z17" s="107">
        <f>IF(MOD(Z5,12)=4,MAX(Y17*(1+Assumptions!$G$41),Assumptions!$G$40),'Monthly P and L'!Y17)</f>
        <v>1064880</v>
      </c>
      <c r="AA17" s="107">
        <f>IF(MOD(AA5,12)=4,MAX(Z17*(1+Assumptions!$G$41),Assumptions!$G$40),'Monthly P and L'!Z17)</f>
        <v>1064880</v>
      </c>
      <c r="AB17" s="107">
        <f>IF(MOD(AB5,12)=4,MAX(AA17*(1+Assumptions!$G$41),Assumptions!$G$40),'Monthly P and L'!AA17)</f>
        <v>1064880</v>
      </c>
      <c r="AC17" s="107">
        <f>IF(MOD(AC5,12)=4,MAX(AB17*(1+Assumptions!$G$41),Assumptions!$G$40),'Monthly P and L'!AB17)</f>
        <v>1064880</v>
      </c>
      <c r="AD17" s="107">
        <f>IF(MOD(AD5,12)=4,MAX(AC17*(1+Assumptions!$G$41),Assumptions!$G$40),'Monthly P and L'!AC17)</f>
        <v>1064880</v>
      </c>
      <c r="AE17" s="107">
        <f>IF(MOD(AE5,12)=4,MAX(AD17*(1+Assumptions!$G$41),Assumptions!$G$40),'Monthly P and L'!AD17)</f>
        <v>1064880</v>
      </c>
      <c r="AF17" s="107">
        <f>IF(MOD(AF5,12)=4,MAX(AE17*(1+Assumptions!$G$41),Assumptions!$G$40),'Monthly P and L'!AE17)</f>
        <v>1150070.4000000001</v>
      </c>
      <c r="AG17" s="107">
        <f>IF(MOD(AG5,12)=4,MAX(AF17*(1+Assumptions!$G$41),Assumptions!$G$40),'Monthly P and L'!AF17)</f>
        <v>1150070.4000000001</v>
      </c>
      <c r="AH17" s="107">
        <f>IF(MOD(AH5,12)=4,MAX(AG17*(1+Assumptions!$G$41),Assumptions!$G$40),'Monthly P and L'!AG17)</f>
        <v>1150070.4000000001</v>
      </c>
      <c r="AI17" s="107">
        <f>IF(MOD(AI5,12)=4,MAX(AH17*(1+Assumptions!$G$41),Assumptions!$G$40),'Monthly P and L'!AH17)</f>
        <v>1150070.4000000001</v>
      </c>
      <c r="AJ17" s="107">
        <f>IF(MOD(AJ5,12)=4,MAX(AI17*(1+Assumptions!$G$41),Assumptions!$G$40),'Monthly P and L'!AI17)</f>
        <v>1150070.4000000001</v>
      </c>
      <c r="AK17" s="107">
        <f>IF(MOD(AK5,12)=4,MAX(AJ17*(1+Assumptions!$G$41),Assumptions!$G$40),'Monthly P and L'!AJ17)</f>
        <v>1150070.4000000001</v>
      </c>
      <c r="AL17" s="107">
        <f>IF(MOD(AL5,12)=4,MAX(AK17*(1+Assumptions!$G$41),Assumptions!$G$40),'Monthly P and L'!AK17)</f>
        <v>1150070.4000000001</v>
      </c>
      <c r="AM17" s="107">
        <f>IF(MOD(AM5,12)=4,MAX(AL17*(1+Assumptions!$G$41),Assumptions!$G$40),'Monthly P and L'!AL17)</f>
        <v>1150070.4000000001</v>
      </c>
      <c r="AN17" s="126">
        <f>IF(MOD(AN5,12)=4,MAX(AM17*(1+Assumptions!$G$41),Assumptions!$G$40),'Monthly P and L'!AM17)</f>
        <v>1150070.4000000001</v>
      </c>
    </row>
    <row r="18" spans="1:40" ht="15.75" thickBot="1" x14ac:dyDescent="0.3">
      <c r="A18" s="229" t="s">
        <v>111</v>
      </c>
      <c r="E18" s="128">
        <f t="shared" ref="E18:O18" si="2">SUM(E14:E17)</f>
        <v>0</v>
      </c>
      <c r="F18" s="123">
        <f t="shared" si="2"/>
        <v>0</v>
      </c>
      <c r="G18" s="123">
        <f t="shared" si="2"/>
        <v>0</v>
      </c>
      <c r="H18" s="123">
        <f t="shared" si="2"/>
        <v>2699040</v>
      </c>
      <c r="I18" s="123">
        <f t="shared" si="2"/>
        <v>2581361.6</v>
      </c>
      <c r="J18" s="123">
        <f t="shared" si="2"/>
        <v>2690757.824</v>
      </c>
      <c r="K18" s="123">
        <f t="shared" si="2"/>
        <v>2724852.9804799999</v>
      </c>
      <c r="L18" s="123">
        <f t="shared" si="2"/>
        <v>2679010.4928128002</v>
      </c>
      <c r="M18" s="123">
        <f t="shared" si="2"/>
        <v>2877334.5791137284</v>
      </c>
      <c r="N18" s="123">
        <f t="shared" si="2"/>
        <v>2747408.1167224371</v>
      </c>
      <c r="O18" s="123">
        <f t="shared" si="2"/>
        <v>2697082.1705303676</v>
      </c>
      <c r="P18" s="123">
        <f t="shared" ref="P18:AN18" si="3">SUM(P14:P17)</f>
        <v>2993099.3860321213</v>
      </c>
      <c r="Q18" s="123">
        <f t="shared" si="3"/>
        <v>2944230.8792417739</v>
      </c>
      <c r="R18" s="123">
        <f t="shared" si="3"/>
        <v>2892604.7924253996</v>
      </c>
      <c r="S18" s="123">
        <f t="shared" si="3"/>
        <v>3023343.4067631415</v>
      </c>
      <c r="T18" s="123">
        <f t="shared" si="3"/>
        <v>3246874.7886433247</v>
      </c>
      <c r="U18" s="123">
        <f t="shared" si="3"/>
        <v>3290514.6844161907</v>
      </c>
      <c r="V18" s="123">
        <f t="shared" si="3"/>
        <v>3335027.3781045149</v>
      </c>
      <c r="W18" s="123">
        <f t="shared" si="3"/>
        <v>3275178.0381363044</v>
      </c>
      <c r="X18" s="123">
        <f t="shared" si="3"/>
        <v>3426741.332179937</v>
      </c>
      <c r="Y18" s="123">
        <f t="shared" si="3"/>
        <v>3583483.0387700601</v>
      </c>
      <c r="Z18" s="123">
        <f t="shared" si="3"/>
        <v>3410465.9604545515</v>
      </c>
      <c r="AA18" s="123">
        <f t="shared" si="3"/>
        <v>3343449.218727279</v>
      </c>
      <c r="AB18" s="123">
        <f t="shared" si="3"/>
        <v>3737641.6935670981</v>
      </c>
      <c r="AC18" s="123">
        <f t="shared" si="3"/>
        <v>3554034.585922054</v>
      </c>
      <c r="AD18" s="123">
        <f t="shared" si="3"/>
        <v>3724719.4718138524</v>
      </c>
      <c r="AE18" s="123">
        <f t="shared" si="3"/>
        <v>3777916.2612501294</v>
      </c>
      <c r="AF18" s="123">
        <f t="shared" si="3"/>
        <v>3923656.6978080301</v>
      </c>
      <c r="AG18" s="123">
        <f t="shared" si="3"/>
        <v>4248562.5212655421</v>
      </c>
      <c r="AH18" s="123">
        <f t="shared" si="3"/>
        <v>4173120.9739651643</v>
      </c>
      <c r="AI18" s="123">
        <f t="shared" si="3"/>
        <v>4093422.3679242646</v>
      </c>
      <c r="AJ18" s="123">
        <f t="shared" si="3"/>
        <v>4295252.2171533564</v>
      </c>
      <c r="AK18" s="123">
        <f t="shared" si="3"/>
        <v>4358155.8534964239</v>
      </c>
      <c r="AL18" s="123">
        <f t="shared" si="3"/>
        <v>4422317.5625663521</v>
      </c>
      <c r="AM18" s="123">
        <f t="shared" si="3"/>
        <v>4184335.9507433446</v>
      </c>
      <c r="AN18" s="129">
        <f t="shared" si="3"/>
        <v>4709263.8910219437</v>
      </c>
    </row>
    <row r="19" spans="1:40" x14ac:dyDescent="0.25">
      <c r="A19" s="230"/>
      <c r="E19" s="125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26"/>
    </row>
    <row r="20" spans="1:40" x14ac:dyDescent="0.25">
      <c r="A20" s="229" t="s">
        <v>112</v>
      </c>
      <c r="E20" s="125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26"/>
    </row>
    <row r="21" spans="1:40" x14ac:dyDescent="0.25">
      <c r="A21" s="231" t="s">
        <v>113</v>
      </c>
      <c r="E21" s="125">
        <f>IF(MOD(E5,12)=4,(MAX(D20*(1+Assumptions!$G$41),Assumptions!$G$50)),'Monthly P and L'!D20)</f>
        <v>0</v>
      </c>
      <c r="F21" s="107">
        <f>IF(MOD(F5,12)=4,(MAX(E21*(1+Assumptions!$G$41),Assumptions!$G$50)),'Monthly P and L'!E21)</f>
        <v>0</v>
      </c>
      <c r="G21" s="107">
        <f>IF(MOD(G5,12)=4,(MAX(F21*(1+Assumptions!$G$41),Assumptions!$G$50)),'Monthly P and L'!F21)</f>
        <v>0</v>
      </c>
      <c r="H21" s="107">
        <f>IF(MOD(H5,12)=4,(MAX(G21*(1+Assumptions!$G$41),Assumptions!$G$50)),'Monthly P and L'!G21)</f>
        <v>380000</v>
      </c>
      <c r="I21" s="107">
        <f>IF(MOD(I5,12)=4,(MAX(H21*(1+Assumptions!$G$41),Assumptions!$G$50)),'Monthly P and L'!H21)</f>
        <v>380000</v>
      </c>
      <c r="J21" s="107">
        <f>IF(MOD(J5,12)=4,(MAX(I21*(1+Assumptions!$G$41),Assumptions!$G$50)),'Monthly P and L'!I21)</f>
        <v>380000</v>
      </c>
      <c r="K21" s="107">
        <f>IF(MOD(K5,12)=4,(MAX(J21*(1+Assumptions!$G$41),Assumptions!$G$50)),'Monthly P and L'!J21)</f>
        <v>380000</v>
      </c>
      <c r="L21" s="107">
        <f>IF(MOD(L5,12)=4,(MAX(K21*(1+Assumptions!$G$41),Assumptions!$G$50)),'Monthly P and L'!K21)</f>
        <v>380000</v>
      </c>
      <c r="M21" s="107">
        <f>IF(MOD(M5,12)=4,(MAX(L21*(1+Assumptions!$G$41),Assumptions!$G$50)),'Monthly P and L'!L21)</f>
        <v>380000</v>
      </c>
      <c r="N21" s="107">
        <f>IF(MOD(N5,12)=4,(MAX(M21*(1+Assumptions!$G$41),Assumptions!$G$50)),'Monthly P and L'!M21)</f>
        <v>380000</v>
      </c>
      <c r="O21" s="107">
        <f>IF(MOD(O5,12)=4,(MAX(N21*(1+Assumptions!$G$41),Assumptions!$G$50)),'Monthly P and L'!N21)</f>
        <v>380000</v>
      </c>
      <c r="P21" s="107">
        <f>IF(MOD(P5,12)=4,(MAX(O21*(1+Assumptions!$G$41),Assumptions!$G$50)),'Monthly P and L'!O21)</f>
        <v>380000</v>
      </c>
      <c r="Q21" s="107">
        <f>IF(MOD(Q5,12)=4,(MAX(P21*(1+Assumptions!$G$41),Assumptions!$G$50)),'Monthly P and L'!P21)</f>
        <v>380000</v>
      </c>
      <c r="R21" s="107">
        <f>IF(MOD(R5,12)=4,(MAX(Q21*(1+Assumptions!$G$41),Assumptions!$G$50)),'Monthly P and L'!Q21)</f>
        <v>380000</v>
      </c>
      <c r="S21" s="107">
        <f>IF(MOD(S5,12)=4,(MAX(R21*(1+Assumptions!$G$41),Assumptions!$G$50)),'Monthly P and L'!R21)</f>
        <v>380000</v>
      </c>
      <c r="T21" s="107">
        <f>IF(MOD(T5,12)=4,(MAX(S21*(1+Assumptions!$G$41),Assumptions!$G$50)),'Monthly P and L'!S21)</f>
        <v>410400</v>
      </c>
      <c r="U21" s="107">
        <f>IF(MOD(U5,12)=4,(MAX(T21*(1+Assumptions!$G$41),Assumptions!$G$50)),'Monthly P and L'!T21)</f>
        <v>410400</v>
      </c>
      <c r="V21" s="107">
        <f>IF(MOD(V5,12)=4,(MAX(U21*(1+Assumptions!$G$41),Assumptions!$G$50)),'Monthly P and L'!U21)</f>
        <v>410400</v>
      </c>
      <c r="W21" s="107">
        <f>IF(MOD(W5,12)=4,(MAX(V21*(1+Assumptions!$G$41),Assumptions!$G$50)),'Monthly P and L'!V21)</f>
        <v>410400</v>
      </c>
      <c r="X21" s="107">
        <f>IF(MOD(X5,12)=4,(MAX(W21*(1+Assumptions!$G$41),Assumptions!$G$50)),'Monthly P and L'!W21)</f>
        <v>410400</v>
      </c>
      <c r="Y21" s="107">
        <f>IF(MOD(Y5,12)=4,(MAX(X21*(1+Assumptions!$G$41),Assumptions!$G$50)),'Monthly P and L'!X21)</f>
        <v>410400</v>
      </c>
      <c r="Z21" s="107">
        <f>IF(MOD(Z5,12)=4,(MAX(Y21*(1+Assumptions!$G$41),Assumptions!$G$50)),'Monthly P and L'!Y21)</f>
        <v>410400</v>
      </c>
      <c r="AA21" s="107">
        <f>IF(MOD(AA5,12)=4,(MAX(Z21*(1+Assumptions!$G$41),Assumptions!$G$50)),'Monthly P and L'!Z21)</f>
        <v>410400</v>
      </c>
      <c r="AB21" s="107">
        <f>IF(MOD(AB5,12)=4,(MAX(AA21*(1+Assumptions!$G$41),Assumptions!$G$50)),'Monthly P and L'!AA21)</f>
        <v>410400</v>
      </c>
      <c r="AC21" s="107">
        <f>IF(MOD(AC5,12)=4,(MAX(AB21*(1+Assumptions!$G$41),Assumptions!$G$50)),'Monthly P and L'!AB21)</f>
        <v>410400</v>
      </c>
      <c r="AD21" s="107">
        <f>IF(MOD(AD5,12)=4,(MAX(AC21*(1+Assumptions!$G$41),Assumptions!$G$50)),'Monthly P and L'!AC21)</f>
        <v>410400</v>
      </c>
      <c r="AE21" s="107">
        <f>IF(MOD(AE5,12)=4,(MAX(AD21*(1+Assumptions!$G$41),Assumptions!$G$50)),'Monthly P and L'!AD21)</f>
        <v>410400</v>
      </c>
      <c r="AF21" s="107">
        <f>IF(MOD(AF5,12)=4,(MAX(AE21*(1+Assumptions!$G$41),Assumptions!$G$50)),'Monthly P and L'!AE21)</f>
        <v>443232.00000000006</v>
      </c>
      <c r="AG21" s="107">
        <f>IF(MOD(AG5,12)=4,(MAX(AF21*(1+Assumptions!$G$41),Assumptions!$G$50)),'Monthly P and L'!AF21)</f>
        <v>443232.00000000006</v>
      </c>
      <c r="AH21" s="107">
        <f>IF(MOD(AH5,12)=4,(MAX(AG21*(1+Assumptions!$G$41),Assumptions!$G$50)),'Monthly P and L'!AG21)</f>
        <v>443232.00000000006</v>
      </c>
      <c r="AI21" s="107">
        <f>IF(MOD(AI5,12)=4,(MAX(AH21*(1+Assumptions!$G$41),Assumptions!$G$50)),'Monthly P and L'!AH21)</f>
        <v>443232.00000000006</v>
      </c>
      <c r="AJ21" s="107">
        <f>IF(MOD(AJ5,12)=4,(MAX(AI21*(1+Assumptions!$G$41),Assumptions!$G$50)),'Monthly P and L'!AI21)</f>
        <v>443232.00000000006</v>
      </c>
      <c r="AK21" s="107">
        <f>IF(MOD(AK5,12)=4,(MAX(AJ21*(1+Assumptions!$G$41),Assumptions!$G$50)),'Monthly P and L'!AJ21)</f>
        <v>443232.00000000006</v>
      </c>
      <c r="AL21" s="107">
        <f>IF(MOD(AL5,12)=4,(MAX(AK21*(1+Assumptions!$G$41),Assumptions!$G$50)),'Monthly P and L'!AK21)</f>
        <v>443232.00000000006</v>
      </c>
      <c r="AM21" s="107">
        <f>IF(MOD(AM5,12)=4,(MAX(AL21*(1+Assumptions!$G$41),Assumptions!$G$50)),'Monthly P and L'!AL21)</f>
        <v>443232.00000000006</v>
      </c>
      <c r="AN21" s="126">
        <f>IF(MOD(AN5,12)=4,(MAX(AM21*(1+Assumptions!$G$41),Assumptions!$G$50)),'Monthly P and L'!AM21)</f>
        <v>443232.00000000006</v>
      </c>
    </row>
    <row r="22" spans="1:40" x14ac:dyDescent="0.25">
      <c r="A22" s="230" t="str">
        <f>Assumptions!A52</f>
        <v>Rotalty to brand (% Of Revenue)</v>
      </c>
      <c r="E22" s="125">
        <f>E11*Assumptions!$G$52</f>
        <v>0</v>
      </c>
      <c r="F22" s="107">
        <f>F11*Assumptions!$G$52</f>
        <v>0</v>
      </c>
      <c r="G22" s="107">
        <f>G11*Assumptions!$G$52</f>
        <v>0</v>
      </c>
      <c r="H22" s="107">
        <f>H11*Assumptions!$G$52</f>
        <v>257600</v>
      </c>
      <c r="I22" s="107">
        <f>I11*Assumptions!$G$52</f>
        <v>239904</v>
      </c>
      <c r="J22" s="107">
        <f>J11*Assumptions!$G$52</f>
        <v>256354.55999999997</v>
      </c>
      <c r="K22" s="107">
        <f>K11*Assumptions!$G$52</f>
        <v>261481.65120000002</v>
      </c>
      <c r="L22" s="107">
        <f>L11*Assumptions!$G$52</f>
        <v>254588.04403200001</v>
      </c>
      <c r="M22" s="107">
        <f>M11*Assumptions!$G$52</f>
        <v>284411.21490432008</v>
      </c>
      <c r="N22" s="107">
        <f>N11*Assumptions!$G$52</f>
        <v>264873.40101089282</v>
      </c>
      <c r="O22" s="107">
        <f>O11*Assumptions!$G$52</f>
        <v>257305.58955343874</v>
      </c>
      <c r="P22" s="107">
        <f>P11*Assumptions!$G$52</f>
        <v>301819.45654618362</v>
      </c>
      <c r="Q22" s="107">
        <f>Q11*Assumptions!$G$52</f>
        <v>294470.80890853744</v>
      </c>
      <c r="R22" s="107">
        <f>R11*Assumptions!$G$52</f>
        <v>286707.48758276692</v>
      </c>
      <c r="S22" s="107">
        <f>S11*Assumptions!$G$52</f>
        <v>306367.42958844238</v>
      </c>
      <c r="T22" s="107">
        <f>T11*Assumptions!$G$52</f>
        <v>328119.51708922174</v>
      </c>
      <c r="U22" s="107">
        <f>U11*Assumptions!$G$52</f>
        <v>334681.9074310062</v>
      </c>
      <c r="V22" s="107">
        <f>V11*Assumptions!$G$52</f>
        <v>341375.54557962634</v>
      </c>
      <c r="W22" s="107">
        <f>W11*Assumptions!$G$52</f>
        <v>332375.64483252703</v>
      </c>
      <c r="X22" s="107">
        <f>X11*Assumptions!$G$52</f>
        <v>355167.11762104323</v>
      </c>
      <c r="Y22" s="107">
        <f>Y11*Assumptions!$G$52</f>
        <v>378737.29906316695</v>
      </c>
      <c r="Z22" s="107">
        <f>Z11*Assumptions!$G$52</f>
        <v>352719.69330143637</v>
      </c>
      <c r="AA22" s="107">
        <f>AA11*Assumptions!$G$52</f>
        <v>342641.98777853826</v>
      </c>
      <c r="AB22" s="107">
        <f>AB11*Assumptions!$G$52</f>
        <v>401919.05166422529</v>
      </c>
      <c r="AC22" s="107">
        <f>AC11*Assumptions!$G$52</f>
        <v>374308.96028903074</v>
      </c>
      <c r="AD22" s="107">
        <f>AD11*Assumptions!$G$52</f>
        <v>399975.86042313575</v>
      </c>
      <c r="AE22" s="107">
        <f>AE11*Assumptions!$G$52</f>
        <v>407975.37763159844</v>
      </c>
      <c r="AF22" s="107">
        <f>AF11*Assumptions!$G$52</f>
        <v>417080.64628692181</v>
      </c>
      <c r="AG22" s="107">
        <f>AG11*Assumptions!$G$52</f>
        <v>465938.66485196131</v>
      </c>
      <c r="AH22" s="107">
        <f>AH11*Assumptions!$G$52</f>
        <v>454594.07127295696</v>
      </c>
      <c r="AI22" s="107">
        <f>AI11*Assumptions!$G$52</f>
        <v>442609.31848485174</v>
      </c>
      <c r="AJ22" s="107">
        <f>AJ11*Assumptions!$G$52</f>
        <v>472959.67175238451</v>
      </c>
      <c r="AK22" s="107">
        <f>AK11*Assumptions!$G$52</f>
        <v>482418.86518743215</v>
      </c>
      <c r="AL22" s="107">
        <f>AL11*Assumptions!$G$52</f>
        <v>492067.24249118083</v>
      </c>
      <c r="AM22" s="107">
        <f>AM11*Assumptions!$G$52</f>
        <v>456280.53394636768</v>
      </c>
      <c r="AN22" s="107">
        <f>AN11*Assumptions!$G$52</f>
        <v>535217.06631908927</v>
      </c>
    </row>
    <row r="23" spans="1:40" x14ac:dyDescent="0.25">
      <c r="A23" s="230" t="str">
        <f>Assumptions!A53</f>
        <v>Rent (as per contract) (% of revenue)</v>
      </c>
      <c r="E23" s="125">
        <f>E11*Assumptions!$G$53</f>
        <v>0</v>
      </c>
      <c r="F23" s="107">
        <f>F11*Assumptions!$G$53</f>
        <v>0</v>
      </c>
      <c r="G23" s="107">
        <f>G11*Assumptions!$G$53</f>
        <v>0</v>
      </c>
      <c r="H23" s="107">
        <f>H11*Assumptions!$G$53</f>
        <v>515200</v>
      </c>
      <c r="I23" s="107">
        <f>I11*Assumptions!$G$53</f>
        <v>479808</v>
      </c>
      <c r="J23" s="107">
        <f>J11*Assumptions!$G$53</f>
        <v>512709.11999999994</v>
      </c>
      <c r="K23" s="107">
        <f>K11*Assumptions!$G$53</f>
        <v>522963.30240000004</v>
      </c>
      <c r="L23" s="107">
        <f>L11*Assumptions!$G$53</f>
        <v>509176.08806400001</v>
      </c>
      <c r="M23" s="107">
        <f>M11*Assumptions!$G$53</f>
        <v>568822.42980864015</v>
      </c>
      <c r="N23" s="107">
        <f>N11*Assumptions!$G$53</f>
        <v>529746.80202178564</v>
      </c>
      <c r="O23" s="107">
        <f>O11*Assumptions!$G$53</f>
        <v>514611.17910687748</v>
      </c>
      <c r="P23" s="107">
        <f>P11*Assumptions!$G$53</f>
        <v>603638.91309236723</v>
      </c>
      <c r="Q23" s="107">
        <f>Q11*Assumptions!$G$53</f>
        <v>588941.61781707488</v>
      </c>
      <c r="R23" s="107">
        <f>R11*Assumptions!$G$53</f>
        <v>573414.97516553383</v>
      </c>
      <c r="S23" s="107">
        <f>S11*Assumptions!$G$53</f>
        <v>612734.85917688475</v>
      </c>
      <c r="T23" s="107">
        <f>T11*Assumptions!$G$53</f>
        <v>656239.03417844349</v>
      </c>
      <c r="U23" s="107">
        <f>U11*Assumptions!$G$53</f>
        <v>669363.8148620124</v>
      </c>
      <c r="V23" s="107">
        <f>V11*Assumptions!$G$53</f>
        <v>682751.09115925268</v>
      </c>
      <c r="W23" s="107">
        <f>W11*Assumptions!$G$53</f>
        <v>664751.28966505406</v>
      </c>
      <c r="X23" s="107">
        <f>X11*Assumptions!$G$53</f>
        <v>710334.23524208646</v>
      </c>
      <c r="Y23" s="107">
        <f>Y11*Assumptions!$G$53</f>
        <v>757474.59812633391</v>
      </c>
      <c r="Z23" s="107">
        <f>Z11*Assumptions!$G$53</f>
        <v>705439.38660287275</v>
      </c>
      <c r="AA23" s="107">
        <f>AA11*Assumptions!$G$53</f>
        <v>685283.97555707651</v>
      </c>
      <c r="AB23" s="107">
        <f>AB11*Assumptions!$G$53</f>
        <v>803838.10332845058</v>
      </c>
      <c r="AC23" s="107">
        <f>AC11*Assumptions!$G$53</f>
        <v>748617.92057806149</v>
      </c>
      <c r="AD23" s="107">
        <f>AD11*Assumptions!$G$53</f>
        <v>799951.72084627149</v>
      </c>
      <c r="AE23" s="107">
        <f>AE11*Assumptions!$G$53</f>
        <v>815950.75526319689</v>
      </c>
      <c r="AF23" s="107">
        <f>AF11*Assumptions!$G$53</f>
        <v>834161.29257384362</v>
      </c>
      <c r="AG23" s="107">
        <f>AG11*Assumptions!$G$53</f>
        <v>931877.32970392262</v>
      </c>
      <c r="AH23" s="107">
        <f>AH11*Assumptions!$G$53</f>
        <v>909188.14254591393</v>
      </c>
      <c r="AI23" s="107">
        <f>AI11*Assumptions!$G$53</f>
        <v>885218.63696970348</v>
      </c>
      <c r="AJ23" s="107">
        <f>AJ11*Assumptions!$G$53</f>
        <v>945919.34350476903</v>
      </c>
      <c r="AK23" s="107">
        <f>AK11*Assumptions!$G$53</f>
        <v>964837.7303748643</v>
      </c>
      <c r="AL23" s="107">
        <f>AL11*Assumptions!$G$53</f>
        <v>984134.48498236167</v>
      </c>
      <c r="AM23" s="107">
        <f>AM11*Assumptions!$G$53</f>
        <v>912561.06789273536</v>
      </c>
      <c r="AN23" s="107">
        <f>AN11*Assumptions!$G$53</f>
        <v>1070434.1326381785</v>
      </c>
    </row>
    <row r="24" spans="1:40" x14ac:dyDescent="0.25">
      <c r="A24" s="230" t="str">
        <f>Assumptions!A54</f>
        <v>Water Cost (per month)</v>
      </c>
      <c r="E24" s="107">
        <f>IF(MOD(E5,12)=4,MAX(D23*(1+Assumptions!$G$62),Assumptions!$G$54),'Monthly P and L'!D23)</f>
        <v>0</v>
      </c>
      <c r="F24" s="107">
        <f>IF(MOD(F5,12)=4,MAX(E24*(1+Assumptions!$G$62),Assumptions!$G$54),'Monthly P and L'!E24)</f>
        <v>0</v>
      </c>
      <c r="G24" s="107">
        <f>IF(MOD(G5,12)=4,MAX(F24*(1+Assumptions!$G$62),Assumptions!$G$54),'Monthly P and L'!F24)</f>
        <v>0</v>
      </c>
      <c r="H24" s="107">
        <f>IF(MOD(H5,12)=4,MAX(G24*(1+Assumptions!$G$62),Assumptions!$G$54),'Monthly P and L'!G24)</f>
        <v>10000</v>
      </c>
      <c r="I24" s="107">
        <f>IF(MOD(I5,12)=4,MAX(H24*(1+Assumptions!$G$62),Assumptions!$G$54),'Monthly P and L'!H24)</f>
        <v>10000</v>
      </c>
      <c r="J24" s="107">
        <f>IF(MOD(J5,12)=4,MAX(I24*(1+Assumptions!$G$62),Assumptions!$G$54),'Monthly P and L'!I24)</f>
        <v>10000</v>
      </c>
      <c r="K24" s="107">
        <f>IF(MOD(K5,12)=4,MAX(J24*(1+Assumptions!$G$62),Assumptions!$G$54),'Monthly P and L'!J24)</f>
        <v>10000</v>
      </c>
      <c r="L24" s="107">
        <f>IF(MOD(L5,12)=4,MAX(K24*(1+Assumptions!$G$62),Assumptions!$G$54),'Monthly P and L'!K24)</f>
        <v>10000</v>
      </c>
      <c r="M24" s="107">
        <f>IF(MOD(M5,12)=4,MAX(L24*(1+Assumptions!$G$62),Assumptions!$G$54),'Monthly P and L'!L24)</f>
        <v>10000</v>
      </c>
      <c r="N24" s="107">
        <f>IF(MOD(N5,12)=4,MAX(M24*(1+Assumptions!$G$62),Assumptions!$G$54),'Monthly P and L'!M24)</f>
        <v>10000</v>
      </c>
      <c r="O24" s="107">
        <f>IF(MOD(O5,12)=4,MAX(N24*(1+Assumptions!$G$62),Assumptions!$G$54),'Monthly P and L'!N24)</f>
        <v>10000</v>
      </c>
      <c r="P24" s="107">
        <f>IF(MOD(P5,12)=4,MAX(O24*(1+Assumptions!$G$62),Assumptions!$G$54),'Monthly P and L'!O24)</f>
        <v>10000</v>
      </c>
      <c r="Q24" s="107">
        <f>IF(MOD(Q5,12)=4,MAX(P24*(1+Assumptions!$G$62),Assumptions!$G$54),'Monthly P and L'!P24)</f>
        <v>10000</v>
      </c>
      <c r="R24" s="107">
        <f>IF(MOD(R5,12)=4,MAX(Q24*(1+Assumptions!$G$62),Assumptions!$G$54),'Monthly P and L'!Q24)</f>
        <v>10000</v>
      </c>
      <c r="S24" s="107">
        <f>IF(MOD(S5,12)=4,MAX(R24*(1+Assumptions!$G$62),Assumptions!$G$54),'Monthly P and L'!R24)</f>
        <v>10000</v>
      </c>
      <c r="T24" s="107">
        <f>IF(MOD(T5,12)=4,MAX(S24*(1+Assumptions!$G$62),Assumptions!$G$54),'Monthly P and L'!S24)</f>
        <v>10800</v>
      </c>
      <c r="U24" s="107">
        <f>IF(MOD(U5,12)=4,MAX(T24*(1+Assumptions!$G$62),Assumptions!$G$54),'Monthly P and L'!T24)</f>
        <v>10800</v>
      </c>
      <c r="V24" s="107">
        <f>IF(MOD(V5,12)=4,MAX(U24*(1+Assumptions!$G$62),Assumptions!$G$54),'Monthly P and L'!U24)</f>
        <v>10800</v>
      </c>
      <c r="W24" s="107">
        <f>IF(MOD(W5,12)=4,MAX(V24*(1+Assumptions!$G$62),Assumptions!$G$54),'Monthly P and L'!V24)</f>
        <v>10800</v>
      </c>
      <c r="X24" s="107">
        <f>IF(MOD(X5,12)=4,MAX(W24*(1+Assumptions!$G$62),Assumptions!$G$54),'Monthly P and L'!W24)</f>
        <v>10800</v>
      </c>
      <c r="Y24" s="107">
        <f>IF(MOD(Y5,12)=4,MAX(X24*(1+Assumptions!$G$62),Assumptions!$G$54),'Monthly P and L'!X24)</f>
        <v>10800</v>
      </c>
      <c r="Z24" s="107">
        <f>IF(MOD(Z5,12)=4,MAX(Y24*(1+Assumptions!$G$62),Assumptions!$G$54),'Monthly P and L'!Y24)</f>
        <v>10800</v>
      </c>
      <c r="AA24" s="107">
        <f>IF(MOD(AA5,12)=4,MAX(Z24*(1+Assumptions!$G$62),Assumptions!$G$54),'Monthly P and L'!Z24)</f>
        <v>10800</v>
      </c>
      <c r="AB24" s="107">
        <f>IF(MOD(AB5,12)=4,MAX(AA24*(1+Assumptions!$G$62),Assumptions!$G$54),'Monthly P and L'!AA24)</f>
        <v>10800</v>
      </c>
      <c r="AC24" s="107">
        <f>IF(MOD(AC5,12)=4,MAX(AB24*(1+Assumptions!$G$62),Assumptions!$G$54),'Monthly P and L'!AB24)</f>
        <v>10800</v>
      </c>
      <c r="AD24" s="107">
        <f>IF(MOD(AD5,12)=4,MAX(AC24*(1+Assumptions!$G$62),Assumptions!$G$54),'Monthly P and L'!AC24)</f>
        <v>10800</v>
      </c>
      <c r="AE24" s="107">
        <f>IF(MOD(AE5,12)=4,MAX(AD24*(1+Assumptions!$G$62),Assumptions!$G$54),'Monthly P and L'!AD24)</f>
        <v>10800</v>
      </c>
      <c r="AF24" s="107">
        <f>IF(MOD(AF5,12)=4,MAX(AE24*(1+Assumptions!$G$62),Assumptions!$G$54),'Monthly P and L'!AE24)</f>
        <v>11664</v>
      </c>
      <c r="AG24" s="107">
        <f>IF(MOD(AG5,12)=4,MAX(AF24*(1+Assumptions!$G$62),Assumptions!$G$54),'Monthly P and L'!AF24)</f>
        <v>11664</v>
      </c>
      <c r="AH24" s="107">
        <f>IF(MOD(AH5,12)=4,MAX(AG24*(1+Assumptions!$G$62),Assumptions!$G$54),'Monthly P and L'!AG24)</f>
        <v>11664</v>
      </c>
      <c r="AI24" s="107">
        <f>IF(MOD(AI5,12)=4,MAX(AH24*(1+Assumptions!$G$62),Assumptions!$G$54),'Monthly P and L'!AH24)</f>
        <v>11664</v>
      </c>
      <c r="AJ24" s="107">
        <f>IF(MOD(AJ5,12)=4,MAX(AI24*(1+Assumptions!$G$62),Assumptions!$G$54),'Monthly P and L'!AI24)</f>
        <v>11664</v>
      </c>
      <c r="AK24" s="107">
        <f>IF(MOD(AK5,12)=4,MAX(AJ24*(1+Assumptions!$G$62),Assumptions!$G$54),'Monthly P and L'!AJ24)</f>
        <v>11664</v>
      </c>
      <c r="AL24" s="107">
        <f>IF(MOD(AL5,12)=4,MAX(AK24*(1+Assumptions!$G$62),Assumptions!$G$54),'Monthly P and L'!AK24)</f>
        <v>11664</v>
      </c>
      <c r="AM24" s="107">
        <f>IF(MOD(AM5,12)=4,MAX(AL24*(1+Assumptions!$G$62),Assumptions!$G$54),'Monthly P and L'!AL24)</f>
        <v>11664</v>
      </c>
      <c r="AN24" s="107">
        <f>IF(MOD(AN5,12)=4,MAX(AM24*(1+Assumptions!$G$62),Assumptions!$G$54),'Monthly P and L'!AM24)</f>
        <v>11664</v>
      </c>
    </row>
    <row r="25" spans="1:40" x14ac:dyDescent="0.25">
      <c r="A25" s="230" t="str">
        <f>Assumptions!A55</f>
        <v>Maintenance (per month)</v>
      </c>
      <c r="E25" s="107">
        <f>IF(MOD(E5,12)=4,MAX(D24*(1+Assumptions!$G$62),Assumptions!$G$55),'Monthly P and L'!D24)</f>
        <v>0</v>
      </c>
      <c r="F25" s="107">
        <f>IF(MOD(F5,12)=4,MAX(E25*(1+Assumptions!$G$62),Assumptions!$G$55),'Monthly P and L'!E25)</f>
        <v>0</v>
      </c>
      <c r="G25" s="107">
        <f>IF(MOD(G5,12)=4,MAX(F25*(1+Assumptions!$G$62),Assumptions!$G$55),'Monthly P and L'!F25)</f>
        <v>0</v>
      </c>
      <c r="H25" s="107">
        <f>IF(MOD(H5,12)=4,MAX(G25*(1+Assumptions!$G$62),Assumptions!$G$55),'Monthly P and L'!G25)</f>
        <v>50000</v>
      </c>
      <c r="I25" s="107">
        <f>IF(MOD(I5,12)=4,MAX(H25*(1+Assumptions!$G$62),Assumptions!$G$55),'Monthly P and L'!H25)</f>
        <v>50000</v>
      </c>
      <c r="J25" s="107">
        <f>IF(MOD(J5,12)=4,MAX(I25*(1+Assumptions!$G$62),Assumptions!$G$55),'Monthly P and L'!I25)</f>
        <v>50000</v>
      </c>
      <c r="K25" s="107">
        <f>IF(MOD(K5,12)=4,MAX(J25*(1+Assumptions!$G$62),Assumptions!$G$55),'Monthly P and L'!J25)</f>
        <v>50000</v>
      </c>
      <c r="L25" s="107">
        <f>IF(MOD(L5,12)=4,MAX(K25*(1+Assumptions!$G$62),Assumptions!$G$55),'Monthly P and L'!K25)</f>
        <v>50000</v>
      </c>
      <c r="M25" s="107">
        <f>IF(MOD(M5,12)=4,MAX(L25*(1+Assumptions!$G$62),Assumptions!$G$55),'Monthly P and L'!L25)</f>
        <v>50000</v>
      </c>
      <c r="N25" s="107">
        <f>IF(MOD(N5,12)=4,MAX(M25*(1+Assumptions!$G$62),Assumptions!$G$55),'Monthly P and L'!M25)</f>
        <v>50000</v>
      </c>
      <c r="O25" s="107">
        <f>IF(MOD(O5,12)=4,MAX(N25*(1+Assumptions!$G$62),Assumptions!$G$55),'Monthly P and L'!N25)</f>
        <v>50000</v>
      </c>
      <c r="P25" s="107">
        <f>IF(MOD(P5,12)=4,MAX(O25*(1+Assumptions!$G$62),Assumptions!$G$55),'Monthly P and L'!O25)</f>
        <v>50000</v>
      </c>
      <c r="Q25" s="107">
        <f>IF(MOD(Q5,12)=4,MAX(P25*(1+Assumptions!$G$62),Assumptions!$G$55),'Monthly P and L'!P25)</f>
        <v>50000</v>
      </c>
      <c r="R25" s="107">
        <f>IF(MOD(R5,12)=4,MAX(Q25*(1+Assumptions!$G$62),Assumptions!$G$55),'Monthly P and L'!Q25)</f>
        <v>50000</v>
      </c>
      <c r="S25" s="107">
        <f>IF(MOD(S5,12)=4,MAX(R25*(1+Assumptions!$G$62),Assumptions!$G$55),'Monthly P and L'!R25)</f>
        <v>50000</v>
      </c>
      <c r="T25" s="107">
        <f>IF(MOD(T5,12)=4,MAX(S25*(1+Assumptions!$G$62),Assumptions!$G$55),'Monthly P and L'!S25)</f>
        <v>54000</v>
      </c>
      <c r="U25" s="107">
        <f>IF(MOD(U5,12)=4,MAX(T25*(1+Assumptions!$G$62),Assumptions!$G$55),'Monthly P and L'!T25)</f>
        <v>54000</v>
      </c>
      <c r="V25" s="107">
        <f>IF(MOD(V5,12)=4,MAX(U25*(1+Assumptions!$G$62),Assumptions!$G$55),'Monthly P and L'!U25)</f>
        <v>54000</v>
      </c>
      <c r="W25" s="107">
        <f>IF(MOD(W5,12)=4,MAX(V25*(1+Assumptions!$G$62),Assumptions!$G$55),'Monthly P and L'!V25)</f>
        <v>54000</v>
      </c>
      <c r="X25" s="107">
        <f>IF(MOD(X5,12)=4,MAX(W25*(1+Assumptions!$G$62),Assumptions!$G$55),'Monthly P and L'!W25)</f>
        <v>54000</v>
      </c>
      <c r="Y25" s="107">
        <f>IF(MOD(Y5,12)=4,MAX(X25*(1+Assumptions!$G$62),Assumptions!$G$55),'Monthly P and L'!X25)</f>
        <v>54000</v>
      </c>
      <c r="Z25" s="107">
        <f>IF(MOD(Z5,12)=4,MAX(Y25*(1+Assumptions!$G$62),Assumptions!$G$55),'Monthly P and L'!Y25)</f>
        <v>54000</v>
      </c>
      <c r="AA25" s="107">
        <f>IF(MOD(AA5,12)=4,MAX(Z25*(1+Assumptions!$G$62),Assumptions!$G$55),'Monthly P and L'!Z25)</f>
        <v>54000</v>
      </c>
      <c r="AB25" s="107">
        <f>IF(MOD(AB5,12)=4,MAX(AA25*(1+Assumptions!$G$62),Assumptions!$G$55),'Monthly P and L'!AA25)</f>
        <v>54000</v>
      </c>
      <c r="AC25" s="107">
        <f>IF(MOD(AC5,12)=4,MAX(AB25*(1+Assumptions!$G$62),Assumptions!$G$55),'Monthly P and L'!AB25)</f>
        <v>54000</v>
      </c>
      <c r="AD25" s="107">
        <f>IF(MOD(AD5,12)=4,MAX(AC25*(1+Assumptions!$G$62),Assumptions!$G$55),'Monthly P and L'!AC25)</f>
        <v>54000</v>
      </c>
      <c r="AE25" s="107">
        <f>IF(MOD(AE5,12)=4,MAX(AD25*(1+Assumptions!$G$62),Assumptions!$G$55),'Monthly P and L'!AD25)</f>
        <v>54000</v>
      </c>
      <c r="AF25" s="107">
        <f>IF(MOD(AF5,12)=4,MAX(AE25*(1+Assumptions!$G$62),Assumptions!$G$55),'Monthly P and L'!AE25)</f>
        <v>58320.000000000007</v>
      </c>
      <c r="AG25" s="107">
        <f>IF(MOD(AG5,12)=4,MAX(AF25*(1+Assumptions!$G$62),Assumptions!$G$55),'Monthly P and L'!AF25)</f>
        <v>58320.000000000007</v>
      </c>
      <c r="AH25" s="107">
        <f>IF(MOD(AH5,12)=4,MAX(AG25*(1+Assumptions!$G$62),Assumptions!$G$55),'Monthly P and L'!AG25)</f>
        <v>58320.000000000007</v>
      </c>
      <c r="AI25" s="107">
        <f>IF(MOD(AI5,12)=4,MAX(AH25*(1+Assumptions!$G$62),Assumptions!$G$55),'Monthly P and L'!AH25)</f>
        <v>58320.000000000007</v>
      </c>
      <c r="AJ25" s="107">
        <f>IF(MOD(AJ5,12)=4,MAX(AI25*(1+Assumptions!$G$62),Assumptions!$G$55),'Monthly P and L'!AI25)</f>
        <v>58320.000000000007</v>
      </c>
      <c r="AK25" s="107">
        <f>IF(MOD(AK5,12)=4,MAX(AJ25*(1+Assumptions!$G$62),Assumptions!$G$55),'Monthly P and L'!AJ25)</f>
        <v>58320.000000000007</v>
      </c>
      <c r="AL25" s="107">
        <f>IF(MOD(AL5,12)=4,MAX(AK25*(1+Assumptions!$G$62),Assumptions!$G$55),'Monthly P and L'!AK25)</f>
        <v>58320.000000000007</v>
      </c>
      <c r="AM25" s="107">
        <f>IF(MOD(AM5,12)=4,MAX(AL25*(1+Assumptions!$G$62),Assumptions!$G$55),'Monthly P and L'!AL25)</f>
        <v>58320.000000000007</v>
      </c>
      <c r="AN25" s="107">
        <f>IF(MOD(AN5,12)=4,MAX(AM25*(1+Assumptions!$G$62),Assumptions!$G$55),'Monthly P and L'!AM25)</f>
        <v>58320.000000000007</v>
      </c>
    </row>
    <row r="26" spans="1:40" x14ac:dyDescent="0.25">
      <c r="A26" s="230" t="str">
        <f>Assumptions!A56</f>
        <v>Marketing cost (per month)</v>
      </c>
      <c r="E26" s="107">
        <f>IF(MOD(E5,12)=4,MAX(D26*(1+Assumptions!$G$62),Assumptions!$G$56*Assumptions!$G$71),'Monthly P and L'!D26)</f>
        <v>0</v>
      </c>
      <c r="F26" s="107">
        <f>IF(MOD(F5,12)=4,MAX(E26*(1+Assumptions!$G$62),Assumptions!$G$56*Assumptions!$G$71),'Monthly P and L'!E26)</f>
        <v>0</v>
      </c>
      <c r="G26" s="107">
        <f>IF(MOD(G5,12)=4,MAX(F26*(1+Assumptions!$G$62),Assumptions!$G$56*Assumptions!$G$71),'Monthly P and L'!F26)</f>
        <v>0</v>
      </c>
      <c r="H26" s="107">
        <f>IF(MOD(H5,12)=4,MAX(G26*(1+Assumptions!$G$62),Assumptions!$G$56*Assumptions!$G$71),'Monthly P and L'!G26)</f>
        <v>1250000</v>
      </c>
      <c r="I26" s="107">
        <f>IF(MOD(I5,12)=4,MAX(H26*(1+Assumptions!$G$62),Assumptions!$G$56*Assumptions!$G$71),'Monthly P and L'!H26)</f>
        <v>1250000</v>
      </c>
      <c r="J26" s="107">
        <f>IF(MOD(J5,12)=4,MAX(I26*(1+Assumptions!$G$62),Assumptions!$G$56),'Monthly P and L'!I26)</f>
        <v>1250000</v>
      </c>
      <c r="K26" s="107">
        <f>IF(MOD(K5,12)=4,MAX(J26*(1+Assumptions!$G$62),Assumptions!$G$56),'Monthly P and L'!J26)</f>
        <v>1250000</v>
      </c>
      <c r="L26" s="107">
        <f>IF(MOD(L5,12)=4,MAX(K26*(1+Assumptions!$G$62),Assumptions!$G$56),'Monthly P and L'!K26)</f>
        <v>1250000</v>
      </c>
      <c r="M26" s="107">
        <f>IF(MOD(M5,12)=4,MAX(L26*(1+Assumptions!$G$62),Assumptions!$G$56),'Monthly P and L'!L26)</f>
        <v>1250000</v>
      </c>
      <c r="N26" s="107">
        <f>IF(MOD(N5,12)=4,MAX(M26*(1+Assumptions!$G$62),Assumptions!$G$56),'Monthly P and L'!M26)</f>
        <v>1250000</v>
      </c>
      <c r="O26" s="107">
        <f>IF(MOD(O5,12)=4,MAX(N26*(1+Assumptions!$G$62),Assumptions!$G$56),'Monthly P and L'!N26)</f>
        <v>1250000</v>
      </c>
      <c r="P26" s="107">
        <f>IF(MOD(P5,12)=4,MAX(O26*(1+Assumptions!$G$62),Assumptions!$G$56),'Monthly P and L'!O26)</f>
        <v>1250000</v>
      </c>
      <c r="Q26" s="107">
        <f>IF(MOD(Q5,12)=4,MAX(P26*(1+Assumptions!$G$62),Assumptions!$G$56),'Monthly P and L'!P26)</f>
        <v>1250000</v>
      </c>
      <c r="R26" s="107">
        <f>IF(MOD(R5,12)=4,MAX(Q26*(1+Assumptions!$G$62),Assumptions!$G$56),'Monthly P and L'!Q26)</f>
        <v>1250000</v>
      </c>
      <c r="S26" s="107">
        <f>IF(MOD(S5,12)=4,MAX(R26*(1+Assumptions!$G$62),Assumptions!$G$56),'Monthly P and L'!R26)</f>
        <v>1250000</v>
      </c>
      <c r="T26" s="107">
        <f>IF(MOD(T5,12)=4,MAX(S26*(1+Assumptions!$G$62),Assumptions!$G$56),'Monthly P and L'!S26)</f>
        <v>1350000</v>
      </c>
      <c r="U26" s="107">
        <f>IF(MOD(U5,12)=4,MAX(T26*(1+Assumptions!$G$62),Assumptions!$G$56),'Monthly P and L'!T26)</f>
        <v>1350000</v>
      </c>
      <c r="V26" s="107">
        <f>IF(MOD(V5,12)=4,MAX(U26*(1+Assumptions!$G$62),Assumptions!$G$56),'Monthly P and L'!U26)</f>
        <v>1350000</v>
      </c>
      <c r="W26" s="107">
        <f>IF(MOD(W5,12)=4,MAX(V26*(1+Assumptions!$G$62),Assumptions!$G$56),'Monthly P and L'!V26)</f>
        <v>1350000</v>
      </c>
      <c r="X26" s="107">
        <f>IF(MOD(X5,12)=4,MAX(W26*(1+Assumptions!$G$62),Assumptions!$G$56),'Monthly P and L'!W26)</f>
        <v>1350000</v>
      </c>
      <c r="Y26" s="107">
        <f>IF(MOD(Y5,12)=4,MAX(X26*(1+Assumptions!$G$62),Assumptions!$G$56),'Monthly P and L'!X26)</f>
        <v>1350000</v>
      </c>
      <c r="Z26" s="107">
        <f>IF(MOD(Z5,12)=4,MAX(Y26*(1+Assumptions!$G$62),Assumptions!$G$56),'Monthly P and L'!Y26)</f>
        <v>1350000</v>
      </c>
      <c r="AA26" s="107">
        <f>IF(MOD(AA5,12)=4,MAX(Z26*(1+Assumptions!$G$62),Assumptions!$G$56),'Monthly P and L'!Z26)</f>
        <v>1350000</v>
      </c>
      <c r="AB26" s="107">
        <f>IF(MOD(AB5,12)=4,MAX(AA26*(1+Assumptions!$G$62),Assumptions!$G$56),'Monthly P and L'!AA26)</f>
        <v>1350000</v>
      </c>
      <c r="AC26" s="107">
        <f>IF(MOD(AC5,12)=4,MAX(AB26*(1+Assumptions!$G$62),Assumptions!$G$56),'Monthly P and L'!AB26)</f>
        <v>1350000</v>
      </c>
      <c r="AD26" s="107">
        <f>IF(MOD(AD5,12)=4,MAX(AC26*(1+Assumptions!$G$62),Assumptions!$G$56),'Monthly P and L'!AC26)</f>
        <v>1350000</v>
      </c>
      <c r="AE26" s="107">
        <f>IF(MOD(AE5,12)=4,MAX(AD26*(1+Assumptions!$G$62),Assumptions!$G$56),'Monthly P and L'!AD26)</f>
        <v>1350000</v>
      </c>
      <c r="AF26" s="107">
        <f>IF(MOD(AF5,12)=4,MAX(AE26*(1+Assumptions!$G$62),Assumptions!$G$56),'Monthly P and L'!AE26)</f>
        <v>1458000</v>
      </c>
      <c r="AG26" s="107">
        <f>IF(MOD(AG5,12)=4,MAX(AF26*(1+Assumptions!$G$62),Assumptions!$G$56),'Monthly P and L'!AF26)</f>
        <v>1458000</v>
      </c>
      <c r="AH26" s="107">
        <f>IF(MOD(AH5,12)=4,MAX(AG26*(1+Assumptions!$G$62),Assumptions!$G$56),'Monthly P and L'!AG26)</f>
        <v>1458000</v>
      </c>
      <c r="AI26" s="107">
        <f>IF(MOD(AI5,12)=4,MAX(AH26*(1+Assumptions!$G$62),Assumptions!$G$56),'Monthly P and L'!AH26)</f>
        <v>1458000</v>
      </c>
      <c r="AJ26" s="107">
        <f>IF(MOD(AJ5,12)=4,MAX(AI26*(1+Assumptions!$G$62),Assumptions!$G$56),'Monthly P and L'!AI26)</f>
        <v>1458000</v>
      </c>
      <c r="AK26" s="107">
        <f>IF(MOD(AK5,12)=4,MAX(AJ26*(1+Assumptions!$G$62),Assumptions!$G$56),'Monthly P and L'!AJ26)</f>
        <v>1458000</v>
      </c>
      <c r="AL26" s="107">
        <f>IF(MOD(AL5,12)=4,MAX(AK26*(1+Assumptions!$G$62),Assumptions!$G$56),'Monthly P and L'!AK26)</f>
        <v>1458000</v>
      </c>
      <c r="AM26" s="107">
        <f>IF(MOD(AM5,12)=4,MAX(AL26*(1+Assumptions!$G$62),Assumptions!$G$56),'Monthly P and L'!AL26)</f>
        <v>1458000</v>
      </c>
      <c r="AN26" s="107">
        <f>IF(MOD(AN5,12)=4,MAX(AM26*(1+Assumptions!$G$62),Assumptions!$G$56),'Monthly P and L'!AM26)</f>
        <v>1458000</v>
      </c>
    </row>
    <row r="27" spans="1:40" x14ac:dyDescent="0.25">
      <c r="A27" s="230" t="str">
        <f>Assumptions!A57</f>
        <v>Electricity (Based on area Rs./sq. Ft.)</v>
      </c>
      <c r="E27" s="107">
        <f>IF(MOD(E5,12)=4,MAX(D27*(1+Assumptions!$G$62),Assumptions!$G$57*Assumptions!$G$67),'Monthly P and L'!D27)</f>
        <v>0</v>
      </c>
      <c r="F27" s="107">
        <f>IF(MOD(F5,12)=4,MAX(E27*(1+Assumptions!$G$62),Assumptions!$G$57*Assumptions!$G$67),'Monthly P and L'!E27)</f>
        <v>0</v>
      </c>
      <c r="G27" s="107">
        <f>IF(MOD(G5,12)=4,MAX(F27*(1+Assumptions!$G$62),Assumptions!$G$57*Assumptions!$G$67),'Monthly P and L'!F27)</f>
        <v>0</v>
      </c>
      <c r="H27" s="107">
        <f>IF(MOD(H5,12)=4,MAX(G27*(1+Assumptions!$G$62),Assumptions!$G$57*Assumptions!$G$67),'Monthly P and L'!G27)</f>
        <v>26600</v>
      </c>
      <c r="I27" s="107">
        <f>IF(MOD(I5,12)=4,MAX(H27*(1+Assumptions!$G$62),Assumptions!$G$57*Assumptions!$G$67),'Monthly P and L'!H27)</f>
        <v>26600</v>
      </c>
      <c r="J27" s="107">
        <f>IF(MOD(J5,12)=4,MAX(I27*(1+Assumptions!$G$62),Assumptions!$G$57*Assumptions!$G$67),'Monthly P and L'!I27)</f>
        <v>26600</v>
      </c>
      <c r="K27" s="107">
        <f>IF(MOD(K5,12)=4,MAX(J27*(1+Assumptions!$G$62),Assumptions!$G$57*Assumptions!$G$67),'Monthly P and L'!J27)</f>
        <v>26600</v>
      </c>
      <c r="L27" s="107">
        <f>IF(MOD(L5,12)=4,MAX(K27*(1+Assumptions!$G$62),Assumptions!$G$57*Assumptions!$G$67),'Monthly P and L'!K27)</f>
        <v>26600</v>
      </c>
      <c r="M27" s="107">
        <f>IF(MOD(M5,12)=4,MAX(L27*(1+Assumptions!$G$62),Assumptions!$G$57*Assumptions!$G$67),'Monthly P and L'!L27)</f>
        <v>26600</v>
      </c>
      <c r="N27" s="107">
        <f>IF(MOD(N5,12)=4,MAX(M27*(1+Assumptions!$G$62),Assumptions!$G$57*Assumptions!$G$67),'Monthly P and L'!M27)</f>
        <v>26600</v>
      </c>
      <c r="O27" s="107">
        <f>IF(MOD(O5,12)=4,MAX(N27*(1+Assumptions!$G$62),Assumptions!$G$57*Assumptions!$G$67),'Monthly P and L'!N27)</f>
        <v>26600</v>
      </c>
      <c r="P27" s="107">
        <f>IF(MOD(P5,12)=4,MAX(O27*(1+Assumptions!$G$62),Assumptions!$G$57*Assumptions!$G$67),'Monthly P and L'!O27)</f>
        <v>26600</v>
      </c>
      <c r="Q27" s="107">
        <f>IF(MOD(Q5,12)=4,MAX(P27*(1+Assumptions!$G$62),Assumptions!$G$57*Assumptions!$G$67),'Monthly P and L'!P27)</f>
        <v>26600</v>
      </c>
      <c r="R27" s="107">
        <f>IF(MOD(R5,12)=4,MAX(Q27*(1+Assumptions!$G$62),Assumptions!$G$57*Assumptions!$G$67),'Monthly P and L'!Q27)</f>
        <v>26600</v>
      </c>
      <c r="S27" s="107">
        <f>IF(MOD(S5,12)=4,MAX(R27*(1+Assumptions!$G$62),Assumptions!$G$57*Assumptions!$G$67),'Monthly P and L'!R27)</f>
        <v>26600</v>
      </c>
      <c r="T27" s="107">
        <f>IF(MOD(T5,12)=4,MAX(S27*(1+Assumptions!$G$62),Assumptions!$G$57*Assumptions!$G$67),'Monthly P and L'!S27)</f>
        <v>28728.000000000004</v>
      </c>
      <c r="U27" s="107">
        <f>IF(MOD(U5,12)=4,MAX(T27*(1+Assumptions!$G$62),Assumptions!$G$57*Assumptions!$G$67),'Monthly P and L'!T27)</f>
        <v>28728.000000000004</v>
      </c>
      <c r="V27" s="107">
        <f>IF(MOD(V5,12)=4,MAX(U27*(1+Assumptions!$G$62),Assumptions!$G$57*Assumptions!$G$67),'Monthly P and L'!U27)</f>
        <v>28728.000000000004</v>
      </c>
      <c r="W27" s="107">
        <f>IF(MOD(W5,12)=4,MAX(V27*(1+Assumptions!$G$62),Assumptions!$G$57*Assumptions!$G$67),'Monthly P and L'!V27)</f>
        <v>28728.000000000004</v>
      </c>
      <c r="X27" s="107">
        <f>IF(MOD(X5,12)=4,MAX(W27*(1+Assumptions!$G$62),Assumptions!$G$57*Assumptions!$G$67),'Monthly P and L'!W27)</f>
        <v>28728.000000000004</v>
      </c>
      <c r="Y27" s="107">
        <f>IF(MOD(Y5,12)=4,MAX(X27*(1+Assumptions!$G$62),Assumptions!$G$57*Assumptions!$G$67),'Monthly P and L'!X27)</f>
        <v>28728.000000000004</v>
      </c>
      <c r="Z27" s="107">
        <f>IF(MOD(Z5,12)=4,MAX(Y27*(1+Assumptions!$G$62),Assumptions!$G$57*Assumptions!$G$67),'Monthly P and L'!Y27)</f>
        <v>28728.000000000004</v>
      </c>
      <c r="AA27" s="107">
        <f>IF(MOD(AA5,12)=4,MAX(Z27*(1+Assumptions!$G$62),Assumptions!$G$57*Assumptions!$G$67),'Monthly P and L'!Z27)</f>
        <v>28728.000000000004</v>
      </c>
      <c r="AB27" s="107">
        <f>IF(MOD(AB5,12)=4,MAX(AA27*(1+Assumptions!$G$62),Assumptions!$G$57*Assumptions!$G$67),'Monthly P and L'!AA27)</f>
        <v>28728.000000000004</v>
      </c>
      <c r="AC27" s="107">
        <f>IF(MOD(AC5,12)=4,MAX(AB27*(1+Assumptions!$G$62),Assumptions!$G$57*Assumptions!$G$67),'Monthly P and L'!AB27)</f>
        <v>28728.000000000004</v>
      </c>
      <c r="AD27" s="107">
        <f>IF(MOD(AD5,12)=4,MAX(AC27*(1+Assumptions!$G$62),Assumptions!$G$57*Assumptions!$G$67),'Monthly P and L'!AC27)</f>
        <v>28728.000000000004</v>
      </c>
      <c r="AE27" s="107">
        <f>IF(MOD(AE5,12)=4,MAX(AD27*(1+Assumptions!$G$62),Assumptions!$G$57*Assumptions!$G$67),'Monthly P and L'!AD27)</f>
        <v>28728.000000000004</v>
      </c>
      <c r="AF27" s="107">
        <f>IF(MOD(AF5,12)=4,MAX(AE27*(1+Assumptions!$G$62),Assumptions!$G$57*Assumptions!$G$67),'Monthly P and L'!AE27)</f>
        <v>31026.240000000005</v>
      </c>
      <c r="AG27" s="107">
        <f>IF(MOD(AG5,12)=4,MAX(AF27*(1+Assumptions!$G$62),Assumptions!$G$57*Assumptions!$G$67),'Monthly P and L'!AF27)</f>
        <v>31026.240000000005</v>
      </c>
      <c r="AH27" s="107">
        <f>IF(MOD(AH5,12)=4,MAX(AG27*(1+Assumptions!$G$62),Assumptions!$G$57*Assumptions!$G$67),'Monthly P and L'!AG27)</f>
        <v>31026.240000000005</v>
      </c>
      <c r="AI27" s="107">
        <f>IF(MOD(AI5,12)=4,MAX(AH27*(1+Assumptions!$G$62),Assumptions!$G$57*Assumptions!$G$67),'Monthly P and L'!AH27)</f>
        <v>31026.240000000005</v>
      </c>
      <c r="AJ27" s="107">
        <f>IF(MOD(AJ5,12)=4,MAX(AI27*(1+Assumptions!$G$62),Assumptions!$G$57*Assumptions!$G$67),'Monthly P and L'!AI27)</f>
        <v>31026.240000000005</v>
      </c>
      <c r="AK27" s="107">
        <f>IF(MOD(AK5,12)=4,MAX(AJ27*(1+Assumptions!$G$62),Assumptions!$G$57*Assumptions!$G$67),'Monthly P and L'!AJ27)</f>
        <v>31026.240000000005</v>
      </c>
      <c r="AL27" s="107">
        <f>IF(MOD(AL5,12)=4,MAX(AK27*(1+Assumptions!$G$62),Assumptions!$G$57*Assumptions!$G$67),'Monthly P and L'!AK27)</f>
        <v>31026.240000000005</v>
      </c>
      <c r="AM27" s="107">
        <f>IF(MOD(AM5,12)=4,MAX(AL27*(1+Assumptions!$G$62),Assumptions!$G$57*Assumptions!$G$67),'Monthly P and L'!AL27)</f>
        <v>31026.240000000005</v>
      </c>
      <c r="AN27" s="107">
        <f>IF(MOD(AN5,12)=4,MAX(AM27*(1+Assumptions!$G$62),Assumptions!$G$57*Assumptions!$G$67),'Monthly P and L'!AM27)</f>
        <v>31026.240000000005</v>
      </c>
    </row>
    <row r="28" spans="1:40" x14ac:dyDescent="0.25">
      <c r="A28" s="230" t="str">
        <f>Assumptions!A58</f>
        <v>Phone and internet (per month)</v>
      </c>
      <c r="E28" s="107">
        <f>IF(MOD(E5,12)=4,MAX(D28*(1+Assumptions!$G$62),Assumptions!$G$58),'Monthly P and L'!D28)</f>
        <v>0</v>
      </c>
      <c r="F28" s="107">
        <f>IF(MOD(F5,12)=4,MAX(E28*(1+Assumptions!$G$62),Assumptions!$G$58),'Monthly P and L'!E28)</f>
        <v>0</v>
      </c>
      <c r="G28" s="107">
        <f>IF(MOD(G5,12)=4,MAX(F28*(1+Assumptions!$G$62),Assumptions!$G$58),'Monthly P and L'!F28)</f>
        <v>0</v>
      </c>
      <c r="H28" s="107">
        <f>IF(MOD(H5,12)=4,MAX(G28*(1+Assumptions!$G$62),Assumptions!$G$58),'Monthly P and L'!G28)</f>
        <v>15000</v>
      </c>
      <c r="I28" s="107">
        <f>IF(MOD(I5,12)=4,MAX(H28*(1+Assumptions!$G$62),Assumptions!$G$58),'Monthly P and L'!H28)</f>
        <v>15000</v>
      </c>
      <c r="J28" s="107">
        <f>IF(MOD(J5,12)=4,MAX(I28*(1+Assumptions!$G$62),Assumptions!$G$58),'Monthly P and L'!I28)</f>
        <v>15000</v>
      </c>
      <c r="K28" s="107">
        <f>IF(MOD(K5,12)=4,MAX(J28*(1+Assumptions!$G$62),Assumptions!$G$58),'Monthly P and L'!J28)</f>
        <v>15000</v>
      </c>
      <c r="L28" s="107">
        <f>IF(MOD(L5,12)=4,MAX(K28*(1+Assumptions!$G$62),Assumptions!$G$58),'Monthly P and L'!K28)</f>
        <v>15000</v>
      </c>
      <c r="M28" s="107">
        <f>IF(MOD(M5,12)=4,MAX(L28*(1+Assumptions!$G$62),Assumptions!$G$58),'Monthly P and L'!L28)</f>
        <v>15000</v>
      </c>
      <c r="N28" s="107">
        <f>IF(MOD(N5,12)=4,MAX(M28*(1+Assumptions!$G$62),Assumptions!$G$58),'Monthly P and L'!M28)</f>
        <v>15000</v>
      </c>
      <c r="O28" s="107">
        <f>IF(MOD(O5,12)=4,MAX(N28*(1+Assumptions!$G$62),Assumptions!$G$58),'Monthly P and L'!N28)</f>
        <v>15000</v>
      </c>
      <c r="P28" s="107">
        <f>IF(MOD(P5,12)=4,MAX(O28*(1+Assumptions!$G$62),Assumptions!$G$58),'Monthly P and L'!O28)</f>
        <v>15000</v>
      </c>
      <c r="Q28" s="107">
        <f>IF(MOD(Q5,12)=4,MAX(P28*(1+Assumptions!$G$62),Assumptions!$G$58),'Monthly P and L'!P28)</f>
        <v>15000</v>
      </c>
      <c r="R28" s="107">
        <f>IF(MOD(R5,12)=4,MAX(Q28*(1+Assumptions!$G$62),Assumptions!$G$58),'Monthly P and L'!Q28)</f>
        <v>15000</v>
      </c>
      <c r="S28" s="107">
        <f>IF(MOD(S5,12)=4,MAX(R28*(1+Assumptions!$G$62),Assumptions!$G$58),'Monthly P and L'!R28)</f>
        <v>15000</v>
      </c>
      <c r="T28" s="107">
        <f>IF(MOD(T5,12)=4,MAX(S28*(1+Assumptions!$G$62),Assumptions!$G$58),'Monthly P and L'!S28)</f>
        <v>16200.000000000002</v>
      </c>
      <c r="U28" s="107">
        <f>IF(MOD(U5,12)=4,MAX(T28*(1+Assumptions!$G$62),Assumptions!$G$58),'Monthly P and L'!T28)</f>
        <v>16200.000000000002</v>
      </c>
      <c r="V28" s="107">
        <f>IF(MOD(V5,12)=4,MAX(U28*(1+Assumptions!$G$62),Assumptions!$G$58),'Monthly P and L'!U28)</f>
        <v>16200.000000000002</v>
      </c>
      <c r="W28" s="107">
        <f>IF(MOD(W5,12)=4,MAX(V28*(1+Assumptions!$G$62),Assumptions!$G$58),'Monthly P and L'!V28)</f>
        <v>16200.000000000002</v>
      </c>
      <c r="X28" s="107">
        <f>IF(MOD(X5,12)=4,MAX(W28*(1+Assumptions!$G$62),Assumptions!$G$58),'Monthly P and L'!W28)</f>
        <v>16200.000000000002</v>
      </c>
      <c r="Y28" s="107">
        <f>IF(MOD(Y5,12)=4,MAX(X28*(1+Assumptions!$G$62),Assumptions!$G$58),'Monthly P and L'!X28)</f>
        <v>16200.000000000002</v>
      </c>
      <c r="Z28" s="107">
        <f>IF(MOD(Z5,12)=4,MAX(Y28*(1+Assumptions!$G$62),Assumptions!$G$58),'Monthly P and L'!Y28)</f>
        <v>16200.000000000002</v>
      </c>
      <c r="AA28" s="107">
        <f>IF(MOD(AA5,12)=4,MAX(Z28*(1+Assumptions!$G$62),Assumptions!$G$58),'Monthly P and L'!Z28)</f>
        <v>16200.000000000002</v>
      </c>
      <c r="AB28" s="107">
        <f>IF(MOD(AB5,12)=4,MAX(AA28*(1+Assumptions!$G$62),Assumptions!$G$58),'Monthly P and L'!AA28)</f>
        <v>16200.000000000002</v>
      </c>
      <c r="AC28" s="107">
        <f>IF(MOD(AC5,12)=4,MAX(AB28*(1+Assumptions!$G$62),Assumptions!$G$58),'Monthly P and L'!AB28)</f>
        <v>16200.000000000002</v>
      </c>
      <c r="AD28" s="107">
        <f>IF(MOD(AD5,12)=4,MAX(AC28*(1+Assumptions!$G$62),Assumptions!$G$58),'Monthly P and L'!AC28)</f>
        <v>16200.000000000002</v>
      </c>
      <c r="AE28" s="107">
        <f>IF(MOD(AE5,12)=4,MAX(AD28*(1+Assumptions!$G$62),Assumptions!$G$58),'Monthly P and L'!AD28)</f>
        <v>16200.000000000002</v>
      </c>
      <c r="AF28" s="107">
        <f>IF(MOD(AF5,12)=4,MAX(AE28*(1+Assumptions!$G$62),Assumptions!$G$58),'Monthly P and L'!AE28)</f>
        <v>17496.000000000004</v>
      </c>
      <c r="AG28" s="107">
        <f>IF(MOD(AG5,12)=4,MAX(AF28*(1+Assumptions!$G$62),Assumptions!$G$58),'Monthly P and L'!AF28)</f>
        <v>17496.000000000004</v>
      </c>
      <c r="AH28" s="107">
        <f>IF(MOD(AH5,12)=4,MAX(AG28*(1+Assumptions!$G$62),Assumptions!$G$58),'Monthly P and L'!AG28)</f>
        <v>17496.000000000004</v>
      </c>
      <c r="AI28" s="107">
        <f>IF(MOD(AI5,12)=4,MAX(AH28*(1+Assumptions!$G$62),Assumptions!$G$58),'Monthly P and L'!AH28)</f>
        <v>17496.000000000004</v>
      </c>
      <c r="AJ28" s="107">
        <f>IF(MOD(AJ5,12)=4,MAX(AI28*(1+Assumptions!$G$62),Assumptions!$G$58),'Monthly P and L'!AI28)</f>
        <v>17496.000000000004</v>
      </c>
      <c r="AK28" s="107">
        <f>IF(MOD(AK5,12)=4,MAX(AJ28*(1+Assumptions!$G$62),Assumptions!$G$58),'Monthly P and L'!AJ28)</f>
        <v>17496.000000000004</v>
      </c>
      <c r="AL28" s="107">
        <f>IF(MOD(AL5,12)=4,MAX(AK28*(1+Assumptions!$G$62),Assumptions!$G$58),'Monthly P and L'!AK28)</f>
        <v>17496.000000000004</v>
      </c>
      <c r="AM28" s="107">
        <f>IF(MOD(AM5,12)=4,MAX(AL28*(1+Assumptions!$G$62),Assumptions!$G$58),'Monthly P and L'!AL28)</f>
        <v>17496.000000000004</v>
      </c>
      <c r="AN28" s="107">
        <f>IF(MOD(AN5,12)=4,MAX(AM28*(1+Assumptions!$G$62),Assumptions!$G$58),'Monthly P and L'!AM28)</f>
        <v>17496.000000000004</v>
      </c>
    </row>
    <row r="29" spans="1:40" x14ac:dyDescent="0.25">
      <c r="A29" s="230" t="str">
        <f>Assumptions!A59</f>
        <v>Housekeeping  &amp; Consumables (% of revenue)</v>
      </c>
      <c r="E29" s="125">
        <f>E11*Assumptions!$G59</f>
        <v>0</v>
      </c>
      <c r="F29" s="125">
        <f>F11*Assumptions!$G59</f>
        <v>0</v>
      </c>
      <c r="G29" s="125">
        <f>G11*Assumptions!$G59</f>
        <v>0</v>
      </c>
      <c r="H29" s="125">
        <f>H11*Assumptions!$G59</f>
        <v>103040</v>
      </c>
      <c r="I29" s="125">
        <f>I11*Assumptions!$G59</f>
        <v>95961.600000000006</v>
      </c>
      <c r="J29" s="125">
        <f>J11*Assumptions!$G59</f>
        <v>102541.82399999999</v>
      </c>
      <c r="K29" s="125">
        <f>K11*Assumptions!$G59</f>
        <v>104592.66048000001</v>
      </c>
      <c r="L29" s="125">
        <f>L11*Assumptions!$G59</f>
        <v>101835.2176128</v>
      </c>
      <c r="M29" s="125">
        <f>M11*Assumptions!$G59</f>
        <v>113764.48596172803</v>
      </c>
      <c r="N29" s="125">
        <f>N11*Assumptions!$G59</f>
        <v>105949.36040435712</v>
      </c>
      <c r="O29" s="125">
        <f>O11*Assumptions!$G59</f>
        <v>102922.23582137549</v>
      </c>
      <c r="P29" s="125">
        <f>P11*Assumptions!$G59</f>
        <v>120727.78261847343</v>
      </c>
      <c r="Q29" s="125">
        <f>Q11*Assumptions!$G59</f>
        <v>117788.32356341496</v>
      </c>
      <c r="R29" s="125">
        <f>R11*Assumptions!$G59</f>
        <v>114682.99503310677</v>
      </c>
      <c r="S29" s="125">
        <f>S11*Assumptions!$G59</f>
        <v>122546.97183537694</v>
      </c>
      <c r="T29" s="125">
        <f>T11*Assumptions!$G59</f>
        <v>131247.80683568868</v>
      </c>
      <c r="U29" s="125">
        <f>U11*Assumptions!$G59</f>
        <v>133872.76297240247</v>
      </c>
      <c r="V29" s="125">
        <f>V11*Assumptions!$G59</f>
        <v>136550.21823185054</v>
      </c>
      <c r="W29" s="125">
        <f>W11*Assumptions!$G59</f>
        <v>132950.25793301081</v>
      </c>
      <c r="X29" s="125">
        <f>X11*Assumptions!$G59</f>
        <v>142066.84704841729</v>
      </c>
      <c r="Y29" s="125">
        <f>Y11*Assumptions!$G59</f>
        <v>151494.91962526678</v>
      </c>
      <c r="Z29" s="125">
        <f>Z11*Assumptions!$G59</f>
        <v>141087.87732057454</v>
      </c>
      <c r="AA29" s="125">
        <f>AA11*Assumptions!$G59</f>
        <v>137056.7951114153</v>
      </c>
      <c r="AB29" s="125">
        <f>AB11*Assumptions!$G59</f>
        <v>160767.62066569013</v>
      </c>
      <c r="AC29" s="125">
        <f>AC11*Assumptions!$G59</f>
        <v>149723.58411561229</v>
      </c>
      <c r="AD29" s="125">
        <f>AD11*Assumptions!$G59</f>
        <v>159990.3441692543</v>
      </c>
      <c r="AE29" s="125">
        <f>AE11*Assumptions!$G59</f>
        <v>163190.15105263938</v>
      </c>
      <c r="AF29" s="125">
        <f>AF11*Assumptions!$G59</f>
        <v>166832.25851476874</v>
      </c>
      <c r="AG29" s="125">
        <f>AG11*Assumptions!$G59</f>
        <v>186375.46594078452</v>
      </c>
      <c r="AH29" s="125">
        <f>AH11*Assumptions!$G59</f>
        <v>181837.62850918277</v>
      </c>
      <c r="AI29" s="125">
        <f>AI11*Assumptions!$G59</f>
        <v>177043.7273939407</v>
      </c>
      <c r="AJ29" s="125">
        <f>AJ11*Assumptions!$G59</f>
        <v>189183.86870095381</v>
      </c>
      <c r="AK29" s="125">
        <f>AK11*Assumptions!$G59</f>
        <v>192967.54607497287</v>
      </c>
      <c r="AL29" s="125">
        <f>AL11*Assumptions!$G59</f>
        <v>196826.89699647232</v>
      </c>
      <c r="AM29" s="125">
        <f>AM11*Assumptions!$G59</f>
        <v>182512.21357854706</v>
      </c>
      <c r="AN29" s="125">
        <f>AN11*Assumptions!$G59</f>
        <v>214086.82652763568</v>
      </c>
    </row>
    <row r="30" spans="1:40" x14ac:dyDescent="0.25">
      <c r="A30" s="230" t="str">
        <f>Assumptions!A60</f>
        <v>Payment Settlement Charges (% or revenue)</v>
      </c>
      <c r="E30" s="125">
        <f>E11*Assumptions!$G$60*Assumptions!$G$61</f>
        <v>0</v>
      </c>
      <c r="F30" s="125">
        <f>F11*Assumptions!$G$60*Assumptions!$G$61</f>
        <v>0</v>
      </c>
      <c r="G30" s="125">
        <f>G11*Assumptions!$G$60*Assumptions!$G$61</f>
        <v>0</v>
      </c>
      <c r="H30" s="125">
        <f>H11*Assumptions!$G$60*Assumptions!$G$61</f>
        <v>38640</v>
      </c>
      <c r="I30" s="125">
        <f>I11*Assumptions!$G$60*Assumptions!$G$61</f>
        <v>35985.599999999999</v>
      </c>
      <c r="J30" s="125">
        <f>J11*Assumptions!$G$60*Assumptions!$G$61</f>
        <v>38453.183999999994</v>
      </c>
      <c r="K30" s="125">
        <f>K11*Assumptions!$G$60*Assumptions!$G$61</f>
        <v>39222.24768</v>
      </c>
      <c r="L30" s="125">
        <f>L11*Assumptions!$G$60*Assumptions!$G$61</f>
        <v>38188.206604799998</v>
      </c>
      <c r="M30" s="125">
        <f>M11*Assumptions!$G$60*Assumptions!$G$61</f>
        <v>42661.682235648004</v>
      </c>
      <c r="N30" s="125">
        <f>N11*Assumptions!$G$60*Assumptions!$G$61</f>
        <v>39731.01015163392</v>
      </c>
      <c r="O30" s="125">
        <f>O11*Assumptions!$G$60*Assumptions!$G$61</f>
        <v>38595.838433015808</v>
      </c>
      <c r="P30" s="125">
        <f>P11*Assumptions!$G$60*Assumptions!$G$61</f>
        <v>45272.918481927532</v>
      </c>
      <c r="Q30" s="125">
        <f>Q11*Assumptions!$G$60*Assumptions!$G$61</f>
        <v>44170.621336280608</v>
      </c>
      <c r="R30" s="125">
        <f>R11*Assumptions!$G$60*Assumptions!$G$61</f>
        <v>43006.123137415037</v>
      </c>
      <c r="S30" s="125">
        <f>S11*Assumptions!$G$60*Assumptions!$G$61</f>
        <v>45955.114438266348</v>
      </c>
      <c r="T30" s="125">
        <f>T11*Assumptions!$G$60*Assumptions!$G$61</f>
        <v>49217.927563383259</v>
      </c>
      <c r="U30" s="125">
        <f>U11*Assumptions!$G$60*Assumptions!$G$61</f>
        <v>50202.286114650924</v>
      </c>
      <c r="V30" s="125">
        <f>V11*Assumptions!$G$60*Assumptions!$G$61</f>
        <v>51206.331836943944</v>
      </c>
      <c r="W30" s="125">
        <f>W11*Assumptions!$G$60*Assumptions!$G$61</f>
        <v>49856.346724879055</v>
      </c>
      <c r="X30" s="125">
        <f>X11*Assumptions!$G$60*Assumptions!$G$61</f>
        <v>53275.067643156479</v>
      </c>
      <c r="Y30" s="125">
        <f>Y11*Assumptions!$G$60*Assumptions!$G$61</f>
        <v>56810.594859475037</v>
      </c>
      <c r="Z30" s="125">
        <f>Z11*Assumptions!$G$60*Assumptions!$G$61</f>
        <v>52907.953995215452</v>
      </c>
      <c r="AA30" s="125">
        <f>AA11*Assumptions!$G$60*Assumptions!$G$61</f>
        <v>51396.298166780733</v>
      </c>
      <c r="AB30" s="125">
        <f>AB11*Assumptions!$G$60*Assumptions!$G$61</f>
        <v>60287.857749633789</v>
      </c>
      <c r="AC30" s="125">
        <f>AC11*Assumptions!$G$60*Assumptions!$G$61</f>
        <v>56146.344043354606</v>
      </c>
      <c r="AD30" s="125">
        <f>AD11*Assumptions!$G$60*Assumptions!$G$61</f>
        <v>59996.379063470355</v>
      </c>
      <c r="AE30" s="125">
        <f>AE11*Assumptions!$G$60*Assumptions!$G$61</f>
        <v>61196.306644739765</v>
      </c>
      <c r="AF30" s="125">
        <f>AF11*Assumptions!$G$60*Assumptions!$G$61</f>
        <v>62562.096943038268</v>
      </c>
      <c r="AG30" s="125">
        <f>AG11*Assumptions!$G$60*Assumptions!$G$61</f>
        <v>69890.79972779419</v>
      </c>
      <c r="AH30" s="125">
        <f>AH11*Assumptions!$G$60*Assumptions!$G$61</f>
        <v>68189.110690943548</v>
      </c>
      <c r="AI30" s="125">
        <f>AI11*Assumptions!$G$60*Assumptions!$G$61</f>
        <v>66391.397772727752</v>
      </c>
      <c r="AJ30" s="125">
        <f>AJ11*Assumptions!$G$60*Assumptions!$G$61</f>
        <v>70943.950762857668</v>
      </c>
      <c r="AK30" s="125">
        <f>AK11*Assumptions!$G$60*Assumptions!$G$61</f>
        <v>72362.829778114814</v>
      </c>
      <c r="AL30" s="125">
        <f>AL11*Assumptions!$G$60*Assumptions!$G$61</f>
        <v>73810.086373677113</v>
      </c>
      <c r="AM30" s="125">
        <f>AM11*Assumptions!$G$60*Assumptions!$G$61</f>
        <v>68442.08009195514</v>
      </c>
      <c r="AN30" s="125">
        <f>AN11*Assumptions!$G$60*Assumptions!$G$61</f>
        <v>80282.559947863381</v>
      </c>
    </row>
    <row r="31" spans="1:40" ht="15.75" thickBot="1" x14ac:dyDescent="0.3">
      <c r="A31" s="229" t="s">
        <v>114</v>
      </c>
      <c r="E31" s="128">
        <f>SUM(E21:E30)</f>
        <v>0</v>
      </c>
      <c r="F31" s="128">
        <f t="shared" ref="F31:AN31" si="4">SUM(F21:F30)</f>
        <v>0</v>
      </c>
      <c r="G31" s="128">
        <f t="shared" si="4"/>
        <v>0</v>
      </c>
      <c r="H31" s="128">
        <f t="shared" si="4"/>
        <v>2646080</v>
      </c>
      <c r="I31" s="128">
        <f t="shared" si="4"/>
        <v>2583259.2000000002</v>
      </c>
      <c r="J31" s="128">
        <f t="shared" si="4"/>
        <v>2641658.6879999996</v>
      </c>
      <c r="K31" s="128">
        <f t="shared" si="4"/>
        <v>2659859.8617600002</v>
      </c>
      <c r="L31" s="128">
        <f t="shared" si="4"/>
        <v>2635387.5563136004</v>
      </c>
      <c r="M31" s="128">
        <f t="shared" si="4"/>
        <v>2741259.8129103361</v>
      </c>
      <c r="N31" s="128">
        <f t="shared" si="4"/>
        <v>2671900.5735886698</v>
      </c>
      <c r="O31" s="128">
        <f t="shared" si="4"/>
        <v>2645034.8429147075</v>
      </c>
      <c r="P31" s="128">
        <f t="shared" si="4"/>
        <v>2803059.0707389517</v>
      </c>
      <c r="Q31" s="128">
        <f t="shared" si="4"/>
        <v>2776971.3716253084</v>
      </c>
      <c r="R31" s="128">
        <f t="shared" si="4"/>
        <v>2749411.5809188224</v>
      </c>
      <c r="S31" s="128">
        <f t="shared" si="4"/>
        <v>2819204.3750389707</v>
      </c>
      <c r="T31" s="128">
        <f t="shared" si="4"/>
        <v>3034952.2856667372</v>
      </c>
      <c r="U31" s="128">
        <f t="shared" si="4"/>
        <v>3058248.7713800715</v>
      </c>
      <c r="V31" s="128">
        <f t="shared" si="4"/>
        <v>3082011.1868076739</v>
      </c>
      <c r="W31" s="128">
        <f t="shared" si="4"/>
        <v>3050061.5391554707</v>
      </c>
      <c r="X31" s="128">
        <f t="shared" si="4"/>
        <v>3130971.2675547032</v>
      </c>
      <c r="Y31" s="128">
        <f t="shared" si="4"/>
        <v>3214645.4116742425</v>
      </c>
      <c r="Z31" s="128">
        <f t="shared" si="4"/>
        <v>3122282.9112200988</v>
      </c>
      <c r="AA31" s="128">
        <f t="shared" si="4"/>
        <v>3086507.0566138108</v>
      </c>
      <c r="AB31" s="128">
        <f t="shared" si="4"/>
        <v>3296940.6334079998</v>
      </c>
      <c r="AC31" s="128">
        <f t="shared" si="4"/>
        <v>3198924.8090260592</v>
      </c>
      <c r="AD31" s="128">
        <f t="shared" si="4"/>
        <v>3290042.3045021319</v>
      </c>
      <c r="AE31" s="128">
        <f t="shared" si="4"/>
        <v>3318440.5905921743</v>
      </c>
      <c r="AF31" s="128">
        <f t="shared" si="4"/>
        <v>3500374.5343185728</v>
      </c>
      <c r="AG31" s="128">
        <f t="shared" si="4"/>
        <v>3673820.5002244632</v>
      </c>
      <c r="AH31" s="128">
        <f t="shared" si="4"/>
        <v>3633547.1930189976</v>
      </c>
      <c r="AI31" s="128">
        <f t="shared" si="4"/>
        <v>3591001.3206212237</v>
      </c>
      <c r="AJ31" s="128">
        <f t="shared" si="4"/>
        <v>3698745.0747209652</v>
      </c>
      <c r="AK31" s="128">
        <f t="shared" si="4"/>
        <v>3732325.2114153844</v>
      </c>
      <c r="AL31" s="128">
        <f t="shared" si="4"/>
        <v>3766576.9508436923</v>
      </c>
      <c r="AM31" s="128">
        <f t="shared" si="4"/>
        <v>3639534.1355096051</v>
      </c>
      <c r="AN31" s="128">
        <f t="shared" si="4"/>
        <v>3919758.8254327672</v>
      </c>
    </row>
    <row r="32" spans="1:40" x14ac:dyDescent="0.25">
      <c r="A32" s="230"/>
      <c r="E32" s="125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26"/>
    </row>
    <row r="33" spans="1:40" x14ac:dyDescent="0.25">
      <c r="A33" s="230" t="s">
        <v>115</v>
      </c>
      <c r="E33" s="125">
        <f>E11-E18-E31</f>
        <v>0</v>
      </c>
      <c r="F33" s="125">
        <f t="shared" ref="F33:AN33" si="5">F11-F18-F31</f>
        <v>0</v>
      </c>
      <c r="G33" s="125">
        <f t="shared" si="5"/>
        <v>0</v>
      </c>
      <c r="H33" s="125">
        <f t="shared" si="5"/>
        <v>-193120</v>
      </c>
      <c r="I33" s="125">
        <f t="shared" si="5"/>
        <v>-366540.80000000028</v>
      </c>
      <c r="J33" s="125">
        <f t="shared" si="5"/>
        <v>-205325.31200000038</v>
      </c>
      <c r="K33" s="125">
        <f t="shared" si="5"/>
        <v>-155079.81823999994</v>
      </c>
      <c r="L33" s="125">
        <f t="shared" si="5"/>
        <v>-222637.16848640051</v>
      </c>
      <c r="M33" s="125">
        <f t="shared" si="5"/>
        <v>69629.906062336639</v>
      </c>
      <c r="N33" s="125">
        <f t="shared" si="5"/>
        <v>-121840.67009325046</v>
      </c>
      <c r="O33" s="125">
        <f t="shared" si="5"/>
        <v>-196005.22237630049</v>
      </c>
      <c r="P33" s="125">
        <f t="shared" si="5"/>
        <v>240230.67415259872</v>
      </c>
      <c r="Q33" s="125">
        <f t="shared" si="5"/>
        <v>168213.92730366578</v>
      </c>
      <c r="R33" s="125">
        <f t="shared" si="5"/>
        <v>92133.378311116248</v>
      </c>
      <c r="S33" s="125">
        <f t="shared" si="5"/>
        <v>284800.80996673461</v>
      </c>
      <c r="T33" s="125">
        <f t="shared" si="5"/>
        <v>280563.26747437241</v>
      </c>
      <c r="U33" s="125">
        <f t="shared" si="5"/>
        <v>344874.69282386079</v>
      </c>
      <c r="V33" s="125">
        <f t="shared" si="5"/>
        <v>410472.34668033756</v>
      </c>
      <c r="W33" s="125">
        <f t="shared" si="5"/>
        <v>322273.31935876561</v>
      </c>
      <c r="X33" s="125">
        <f t="shared" si="5"/>
        <v>545629.75268622348</v>
      </c>
      <c r="Y33" s="125">
        <f t="shared" si="5"/>
        <v>776617.53081903607</v>
      </c>
      <c r="Z33" s="125">
        <f t="shared" si="5"/>
        <v>521644.99435407668</v>
      </c>
      <c r="AA33" s="125">
        <f t="shared" si="5"/>
        <v>422883.48022967484</v>
      </c>
      <c r="AB33" s="125">
        <f t="shared" si="5"/>
        <v>1003798.7063094079</v>
      </c>
      <c r="AC33" s="125">
        <f t="shared" si="5"/>
        <v>733219.81083250092</v>
      </c>
      <c r="AD33" s="125">
        <f t="shared" si="5"/>
        <v>984755.43214672944</v>
      </c>
      <c r="AE33" s="125">
        <f t="shared" si="5"/>
        <v>1063150.7007896653</v>
      </c>
      <c r="AF33" s="125">
        <f t="shared" si="5"/>
        <v>917581.69361183327</v>
      </c>
      <c r="AG33" s="125">
        <f t="shared" si="5"/>
        <v>1396390.2755492204</v>
      </c>
      <c r="AH33" s="125">
        <f t="shared" si="5"/>
        <v>1285213.2584749772</v>
      </c>
      <c r="AI33" s="125">
        <f t="shared" si="5"/>
        <v>1167762.6811515461</v>
      </c>
      <c r="AJ33" s="125">
        <f t="shared" si="5"/>
        <v>1465196.1431733682</v>
      </c>
      <c r="AK33" s="125">
        <f t="shared" si="5"/>
        <v>1557896.2388368347</v>
      </c>
      <c r="AL33" s="125">
        <f t="shared" si="5"/>
        <v>1652450.3364135721</v>
      </c>
      <c r="AM33" s="125">
        <f t="shared" si="5"/>
        <v>1301740.592674403</v>
      </c>
      <c r="AN33" s="125">
        <f t="shared" si="5"/>
        <v>2075318.6099270731</v>
      </c>
    </row>
    <row r="34" spans="1:40" x14ac:dyDescent="0.25">
      <c r="A34" s="230" t="s">
        <v>116</v>
      </c>
      <c r="E34" s="130" t="e">
        <f>E33/E11</f>
        <v>#DIV/0!</v>
      </c>
      <c r="F34" s="130" t="e">
        <f t="shared" ref="F34:AN34" si="6">F33/F11</f>
        <v>#DIV/0!</v>
      </c>
      <c r="G34" s="130" t="e">
        <f t="shared" si="6"/>
        <v>#DIV/0!</v>
      </c>
      <c r="H34" s="130">
        <f>H33/H11</f>
        <v>-3.7484472049689438E-2</v>
      </c>
      <c r="I34" s="130">
        <f t="shared" si="6"/>
        <v>-7.6393223956249229E-2</v>
      </c>
      <c r="J34" s="130">
        <f t="shared" si="6"/>
        <v>-4.0047134718415076E-2</v>
      </c>
      <c r="K34" s="130">
        <f t="shared" si="6"/>
        <v>-2.9654053645504885E-2</v>
      </c>
      <c r="L34" s="130">
        <f t="shared" si="6"/>
        <v>-4.3724985070079825E-2</v>
      </c>
      <c r="M34" s="130">
        <f t="shared" si="6"/>
        <v>1.2241061957729255E-2</v>
      </c>
      <c r="N34" s="130">
        <f t="shared" si="6"/>
        <v>-2.299979341607046E-2</v>
      </c>
      <c r="O34" s="130">
        <f t="shared" si="6"/>
        <v>-3.8088022634190186E-2</v>
      </c>
      <c r="P34" s="130">
        <f t="shared" si="6"/>
        <v>3.979708215329042E-2</v>
      </c>
      <c r="Q34" s="130">
        <f t="shared" si="6"/>
        <v>2.8562071725743283E-2</v>
      </c>
      <c r="R34" s="130">
        <f t="shared" si="6"/>
        <v>1.6067487300016732E-2</v>
      </c>
      <c r="S34" s="130">
        <f t="shared" si="6"/>
        <v>4.6480268863651863E-2</v>
      </c>
      <c r="T34" s="130">
        <f t="shared" si="6"/>
        <v>4.2753212299480821E-2</v>
      </c>
      <c r="U34" s="130">
        <f t="shared" si="6"/>
        <v>5.1522757156353884E-2</v>
      </c>
      <c r="V34" s="130">
        <f t="shared" si="6"/>
        <v>6.0120350153288045E-2</v>
      </c>
      <c r="W34" s="130">
        <f t="shared" si="6"/>
        <v>4.8480284938017697E-2</v>
      </c>
      <c r="X34" s="130">
        <f t="shared" si="6"/>
        <v>7.6813100877824003E-2</v>
      </c>
      <c r="Y34" s="130">
        <f t="shared" si="6"/>
        <v>0.10252720457425947</v>
      </c>
      <c r="Z34" s="130">
        <f t="shared" si="6"/>
        <v>7.3946111354246918E-2</v>
      </c>
      <c r="AA34" s="130">
        <f t="shared" si="6"/>
        <v>6.1709232276430694E-2</v>
      </c>
      <c r="AB34" s="130">
        <f t="shared" si="6"/>
        <v>0.12487573084094682</v>
      </c>
      <c r="AC34" s="130">
        <f t="shared" si="6"/>
        <v>9.7943128353957853E-2</v>
      </c>
      <c r="AD34" s="130">
        <f t="shared" si="6"/>
        <v>0.12310185808525465</v>
      </c>
      <c r="AE34" s="130">
        <f t="shared" si="6"/>
        <v>0.13029593929926941</v>
      </c>
      <c r="AF34" s="130">
        <f t="shared" si="6"/>
        <v>0.11000051210487029</v>
      </c>
      <c r="AG34" s="130">
        <f t="shared" si="6"/>
        <v>0.14984700572047219</v>
      </c>
      <c r="AH34" s="130">
        <f t="shared" si="6"/>
        <v>0.14135833919656229</v>
      </c>
      <c r="AI34" s="130">
        <f t="shared" si="6"/>
        <v>0.13191799543997995</v>
      </c>
      <c r="AJ34" s="130">
        <f t="shared" si="6"/>
        <v>0.15489651979677285</v>
      </c>
      <c r="AK34" s="130">
        <f t="shared" si="6"/>
        <v>0.16146717627134585</v>
      </c>
      <c r="AL34" s="130">
        <f t="shared" si="6"/>
        <v>0.16790899634445677</v>
      </c>
      <c r="AM34" s="130">
        <f t="shared" si="6"/>
        <v>0.14264695684206122</v>
      </c>
      <c r="AN34" s="130">
        <f t="shared" si="6"/>
        <v>0.19387634854395658</v>
      </c>
    </row>
  </sheetData>
  <mergeCells count="1">
    <mergeCell ref="A5:A6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workbookViewId="0">
      <selection activeCell="A13" sqref="A13"/>
    </sheetView>
  </sheetViews>
  <sheetFormatPr defaultRowHeight="15" x14ac:dyDescent="0.25"/>
  <cols>
    <col min="1" max="1" width="12" bestFit="1" customWidth="1"/>
    <col min="2" max="5" width="11" customWidth="1"/>
  </cols>
  <sheetData>
    <row r="2" spans="1:5" x14ac:dyDescent="0.25">
      <c r="A2" s="7"/>
    </row>
    <row r="5" spans="1:5" x14ac:dyDescent="0.25">
      <c r="A5" s="135"/>
      <c r="B5" s="135"/>
      <c r="C5" s="135"/>
      <c r="D5" s="135"/>
      <c r="E5" s="92">
        <v>0</v>
      </c>
    </row>
    <row r="6" spans="1:5" x14ac:dyDescent="0.25">
      <c r="A6" s="136" t="s">
        <v>123</v>
      </c>
      <c r="B6" s="135"/>
      <c r="C6" s="135"/>
      <c r="D6" s="135"/>
      <c r="E6" s="93">
        <v>43951</v>
      </c>
    </row>
    <row r="7" spans="1:5" x14ac:dyDescent="0.25">
      <c r="A7" s="170" t="str">
        <f>Assumptions!A79</f>
        <v>Kitchen Equipments and cutlery</v>
      </c>
      <c r="E7">
        <f>Assumptions!$G$79*Assumptions!$G$70</f>
        <v>3000000</v>
      </c>
    </row>
    <row r="8" spans="1:5" x14ac:dyDescent="0.25">
      <c r="A8" s="170" t="str">
        <f>Assumptions!A80</f>
        <v>Refrigeration Equipments</v>
      </c>
      <c r="E8">
        <f>Assumptions!$G$80*Assumptions!$G$70</f>
        <v>5000000</v>
      </c>
    </row>
    <row r="9" spans="1:5" x14ac:dyDescent="0.25">
      <c r="A9" s="170" t="str">
        <f>Assumptions!A81</f>
        <v>Furniture &amp; Fixtures</v>
      </c>
      <c r="E9">
        <f>Assumptions!$G$81*Assumptions!$G$69</f>
        <v>5100000</v>
      </c>
    </row>
    <row r="10" spans="1:5" x14ac:dyDescent="0.25">
      <c r="A10" s="170" t="str">
        <f>Assumptions!A82</f>
        <v>Restaurants Décor</v>
      </c>
      <c r="E10">
        <f>Assumptions!$G$82*Assumptions!$G$70</f>
        <v>2000000</v>
      </c>
    </row>
    <row r="11" spans="1:5" x14ac:dyDescent="0.25">
      <c r="A11" s="140" t="s">
        <v>54</v>
      </c>
      <c r="B11" s="140"/>
      <c r="C11" s="140"/>
      <c r="D11" s="140"/>
      <c r="E11" s="140">
        <f>SUM(E7:E10)</f>
        <v>15100000</v>
      </c>
    </row>
    <row r="12" spans="1:5" x14ac:dyDescent="0.25">
      <c r="A12" s="7" t="s">
        <v>117</v>
      </c>
      <c r="E12">
        <f>Assumptions!G83</f>
        <v>1000000</v>
      </c>
    </row>
    <row r="13" spans="1:5" x14ac:dyDescent="0.25">
      <c r="A13" s="7" t="s">
        <v>118</v>
      </c>
      <c r="E13">
        <f>Assumptions!G87</f>
        <v>2400000</v>
      </c>
    </row>
    <row r="15" spans="1:5" x14ac:dyDescent="0.25">
      <c r="A15" s="181" t="s">
        <v>119</v>
      </c>
      <c r="B15" s="138"/>
      <c r="C15" s="138"/>
      <c r="D15" s="138"/>
      <c r="E15" s="181">
        <f>SUM(E11:E13)</f>
        <v>18500000</v>
      </c>
    </row>
    <row r="17" spans="1:5" x14ac:dyDescent="0.25">
      <c r="A17" s="7" t="s">
        <v>120</v>
      </c>
    </row>
    <row r="18" spans="1:5" x14ac:dyDescent="0.25">
      <c r="A18" s="170" t="s">
        <v>121</v>
      </c>
      <c r="E18" s="132">
        <f>Assumptions!G100</f>
        <v>1</v>
      </c>
    </row>
    <row r="19" spans="1:5" x14ac:dyDescent="0.25">
      <c r="A19" s="170" t="s">
        <v>122</v>
      </c>
      <c r="E19" s="133">
        <f>100%-Assumptions!G100</f>
        <v>0</v>
      </c>
    </row>
    <row r="20" spans="1:5" ht="15.75" thickBot="1" x14ac:dyDescent="0.3">
      <c r="A20" s="137" t="s">
        <v>124</v>
      </c>
      <c r="B20" s="137"/>
      <c r="C20" s="137"/>
      <c r="D20" s="137"/>
      <c r="E20" s="137">
        <f>E15*(E18+E19)</f>
        <v>18500000</v>
      </c>
    </row>
    <row r="21" spans="1:5" ht="15.75" thickTop="1" x14ac:dyDescent="0.25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3" workbookViewId="0">
      <selection activeCell="D35" sqref="D35"/>
    </sheetView>
  </sheetViews>
  <sheetFormatPr defaultRowHeight="15" x14ac:dyDescent="0.25"/>
  <cols>
    <col min="1" max="3" width="11" customWidth="1"/>
    <col min="4" max="4" width="21.85546875" customWidth="1"/>
    <col min="5" max="7" width="11" style="77" customWidth="1"/>
    <col min="8" max="16384" width="9.140625" style="77"/>
  </cols>
  <sheetData>
    <row r="1" spans="1:7" customFormat="1" x14ac:dyDescent="0.25"/>
    <row r="2" spans="1:7" customFormat="1" x14ac:dyDescent="0.25"/>
    <row r="3" spans="1:7" customFormat="1" ht="23.25" x14ac:dyDescent="0.25">
      <c r="A3" s="146" t="s">
        <v>123</v>
      </c>
      <c r="B3" s="147"/>
      <c r="C3" s="147"/>
      <c r="D3" s="147"/>
      <c r="E3" s="144" t="s">
        <v>97</v>
      </c>
      <c r="F3" s="94" t="s">
        <v>98</v>
      </c>
      <c r="G3" s="94" t="s">
        <v>99</v>
      </c>
    </row>
    <row r="4" spans="1:7" x14ac:dyDescent="0.25">
      <c r="A4" s="147"/>
      <c r="B4" s="147"/>
      <c r="C4" s="147"/>
      <c r="D4" s="147"/>
      <c r="E4" s="145">
        <f>EOMONTH(Assumptions!G3,11)</f>
        <v>44286</v>
      </c>
      <c r="F4" s="95">
        <f>EOMONTH(E4,12)</f>
        <v>44651</v>
      </c>
      <c r="G4" s="95">
        <f>EOMONTH(F4,12)</f>
        <v>45016</v>
      </c>
    </row>
    <row r="5" spans="1:7" x14ac:dyDescent="0.25">
      <c r="A5" s="139" t="s">
        <v>130</v>
      </c>
    </row>
    <row r="6" spans="1:7" x14ac:dyDescent="0.25">
      <c r="A6" t="s">
        <v>125</v>
      </c>
      <c r="E6" s="77">
        <v>0</v>
      </c>
      <c r="F6" s="77">
        <f>E10</f>
        <v>2663424.6575342463</v>
      </c>
      <c r="G6" s="77">
        <f>F10</f>
        <v>2263910.9589041094</v>
      </c>
    </row>
    <row r="7" spans="1:7" x14ac:dyDescent="0.25">
      <c r="A7" t="s">
        <v>126</v>
      </c>
      <c r="E7" s="77">
        <f>'Capital Structure'!E7</f>
        <v>3000000</v>
      </c>
      <c r="F7" s="77">
        <v>0</v>
      </c>
      <c r="G7" s="77">
        <v>0</v>
      </c>
    </row>
    <row r="8" spans="1:7" x14ac:dyDescent="0.25">
      <c r="A8" t="s">
        <v>128</v>
      </c>
      <c r="E8" s="77">
        <v>0</v>
      </c>
      <c r="F8" s="77">
        <v>0</v>
      </c>
      <c r="G8" s="77">
        <v>0</v>
      </c>
    </row>
    <row r="9" spans="1:7" x14ac:dyDescent="0.25">
      <c r="A9" t="s">
        <v>127</v>
      </c>
      <c r="E9" s="77">
        <f>(E6+E7-E8)*Assumptions!$G$96*MIN(365,'Fixed Asset schedule'!E$4-Assumptions!$G$5)/365</f>
        <v>336575.34246575343</v>
      </c>
      <c r="F9" s="77">
        <f>(F6+F7-F8)*Assumptions!$G$96*MIN(365,'Fixed Asset schedule'!F$4-Assumptions!$G$5)/365</f>
        <v>399513.69863013696</v>
      </c>
      <c r="G9" s="77">
        <f>(G6+G7-G8)*Assumptions!$G$96*MIN(365,'Fixed Asset schedule'!G$4-Assumptions!$G$5)/365</f>
        <v>339586.64383561641</v>
      </c>
    </row>
    <row r="10" spans="1:7" ht="15.75" thickBot="1" x14ac:dyDescent="0.3">
      <c r="A10" s="137" t="s">
        <v>129</v>
      </c>
      <c r="B10" s="142"/>
      <c r="C10" s="142"/>
      <c r="D10" s="142"/>
      <c r="E10" s="143">
        <f>E6+E7-E8-E9</f>
        <v>2663424.6575342463</v>
      </c>
      <c r="F10" s="143">
        <f t="shared" ref="F10:G10" si="0">F6+F7-F8-F9</f>
        <v>2263910.9589041094</v>
      </c>
      <c r="G10" s="143">
        <f t="shared" si="0"/>
        <v>1924324.3150684931</v>
      </c>
    </row>
    <row r="11" spans="1:7" ht="15.75" thickTop="1" x14ac:dyDescent="0.25"/>
    <row r="12" spans="1:7" x14ac:dyDescent="0.25">
      <c r="A12" s="139" t="str">
        <f>'Capital Structure'!A8</f>
        <v>Refrigeration Equipments</v>
      </c>
    </row>
    <row r="13" spans="1:7" x14ac:dyDescent="0.25">
      <c r="A13" t="s">
        <v>125</v>
      </c>
      <c r="E13" s="77">
        <v>0</v>
      </c>
      <c r="F13" s="77">
        <f>E17</f>
        <v>4626027.3972602738</v>
      </c>
      <c r="G13" s="77">
        <f>F17</f>
        <v>3932123.2876712326</v>
      </c>
    </row>
    <row r="14" spans="1:7" x14ac:dyDescent="0.25">
      <c r="A14" t="s">
        <v>126</v>
      </c>
      <c r="E14" s="77">
        <f>'Capital Structure'!E8</f>
        <v>5000000</v>
      </c>
      <c r="F14" s="77">
        <v>0</v>
      </c>
      <c r="G14" s="77">
        <v>0</v>
      </c>
    </row>
    <row r="15" spans="1:7" x14ac:dyDescent="0.25">
      <c r="A15" t="s">
        <v>128</v>
      </c>
      <c r="E15" s="77">
        <v>0</v>
      </c>
      <c r="F15" s="77">
        <v>0</v>
      </c>
      <c r="G15" s="77">
        <v>0</v>
      </c>
    </row>
    <row r="16" spans="1:7" x14ac:dyDescent="0.25">
      <c r="A16" t="s">
        <v>127</v>
      </c>
      <c r="E16" s="77">
        <f>(E13+E14-E15)*Assumptions!$G$97*MIN(365,'Fixed Asset schedule'!E$4-Assumptions!$G$5)/365</f>
        <v>373972.60273972602</v>
      </c>
      <c r="F16" s="77">
        <f>(F13+F14-F15)*Assumptions!$G$96*MIN(365,'Fixed Asset schedule'!F$4-Assumptions!$G$5)/365</f>
        <v>693904.10958904109</v>
      </c>
      <c r="G16" s="77">
        <f>(G13+G14-G15)*Assumptions!$G$96*MIN(365,'Fixed Asset schedule'!G$4-Assumptions!$G$5)/365</f>
        <v>589818.49315068487</v>
      </c>
    </row>
    <row r="17" spans="1:7" ht="15.75" thickBot="1" x14ac:dyDescent="0.3">
      <c r="A17" s="137" t="s">
        <v>129</v>
      </c>
      <c r="B17" s="142"/>
      <c r="C17" s="142"/>
      <c r="D17" s="142"/>
      <c r="E17" s="143">
        <f>E13+E14-E15-E16</f>
        <v>4626027.3972602738</v>
      </c>
      <c r="F17" s="143">
        <f t="shared" ref="F17:G17" si="1">F13+F14-F15-F16</f>
        <v>3932123.2876712326</v>
      </c>
      <c r="G17" s="143">
        <f t="shared" si="1"/>
        <v>3342304.7945205476</v>
      </c>
    </row>
    <row r="18" spans="1:7" ht="15.75" thickTop="1" x14ac:dyDescent="0.25"/>
    <row r="19" spans="1:7" x14ac:dyDescent="0.25">
      <c r="A19" s="139" t="str">
        <f>'Capital Structure'!A9</f>
        <v>Furniture &amp; Fixtures</v>
      </c>
      <c r="B19" s="7"/>
    </row>
    <row r="20" spans="1:7" x14ac:dyDescent="0.25">
      <c r="A20" t="s">
        <v>125</v>
      </c>
      <c r="E20" s="77">
        <v>0</v>
      </c>
      <c r="F20" s="77">
        <f>E24</f>
        <v>4718547.9452054799</v>
      </c>
      <c r="G20" s="77">
        <f>F24</f>
        <v>4010765.753424658</v>
      </c>
    </row>
    <row r="21" spans="1:7" x14ac:dyDescent="0.25">
      <c r="A21" t="s">
        <v>126</v>
      </c>
      <c r="E21" s="77">
        <f>'Capital Structure'!E9</f>
        <v>5100000</v>
      </c>
      <c r="F21" s="77">
        <v>0</v>
      </c>
      <c r="G21" s="77">
        <v>0</v>
      </c>
    </row>
    <row r="22" spans="1:7" x14ac:dyDescent="0.25">
      <c r="A22" t="s">
        <v>128</v>
      </c>
      <c r="E22" s="77">
        <v>0</v>
      </c>
      <c r="F22" s="77">
        <v>0</v>
      </c>
      <c r="G22" s="77">
        <v>0</v>
      </c>
    </row>
    <row r="23" spans="1:7" x14ac:dyDescent="0.25">
      <c r="A23" t="s">
        <v>127</v>
      </c>
      <c r="E23" s="77">
        <f>(E20+E21-E22)*Assumptions!$G$97*MIN(365,'Fixed Asset schedule'!E$4-Assumptions!$G$5)/365</f>
        <v>381452.05479452055</v>
      </c>
      <c r="F23" s="77">
        <f>(F20+F21-F22)*Assumptions!$G$96*MIN(365,'Fixed Asset schedule'!F$4-Assumptions!$G$5)/365</f>
        <v>707782.191780822</v>
      </c>
      <c r="G23" s="77">
        <f>(G20+G21-G22)*Assumptions!$G$96*MIN(365,'Fixed Asset schedule'!G$4-Assumptions!$G$5)/365</f>
        <v>601614.86301369872</v>
      </c>
    </row>
    <row r="24" spans="1:7" ht="15.75" thickBot="1" x14ac:dyDescent="0.3">
      <c r="A24" s="137" t="s">
        <v>129</v>
      </c>
      <c r="B24" s="142"/>
      <c r="C24" s="142"/>
      <c r="D24" s="142"/>
      <c r="E24" s="143">
        <f>E20+E21-E22-E23</f>
        <v>4718547.9452054799</v>
      </c>
      <c r="F24" s="143">
        <f t="shared" ref="F24:G24" si="2">F20+F21-F22-F23</f>
        <v>4010765.753424658</v>
      </c>
      <c r="G24" s="143">
        <f t="shared" si="2"/>
        <v>3409150.8904109593</v>
      </c>
    </row>
    <row r="25" spans="1:7" ht="15.75" thickTop="1" x14ac:dyDescent="0.25"/>
    <row r="26" spans="1:7" x14ac:dyDescent="0.25">
      <c r="A26" s="139" t="str">
        <f>'Capital Structure'!A10</f>
        <v>Restaurants Décor</v>
      </c>
    </row>
    <row r="27" spans="1:7" x14ac:dyDescent="0.25">
      <c r="A27" t="s">
        <v>125</v>
      </c>
      <c r="E27" s="77">
        <v>0</v>
      </c>
      <c r="F27" s="77">
        <f>E31</f>
        <v>1850410.9589041097</v>
      </c>
      <c r="G27" s="77">
        <f>F31</f>
        <v>1572849.3150684931</v>
      </c>
    </row>
    <row r="28" spans="1:7" x14ac:dyDescent="0.25">
      <c r="A28" t="s">
        <v>126</v>
      </c>
      <c r="E28" s="77">
        <f>'Capital Structure'!E10</f>
        <v>2000000</v>
      </c>
      <c r="F28" s="77">
        <v>0</v>
      </c>
      <c r="G28" s="77">
        <v>0</v>
      </c>
    </row>
    <row r="29" spans="1:7" x14ac:dyDescent="0.25">
      <c r="A29" t="s">
        <v>128</v>
      </c>
      <c r="E29" s="77">
        <v>0</v>
      </c>
      <c r="F29" s="77">
        <v>0</v>
      </c>
      <c r="G29" s="77">
        <v>0</v>
      </c>
    </row>
    <row r="30" spans="1:7" x14ac:dyDescent="0.25">
      <c r="A30" t="s">
        <v>127</v>
      </c>
      <c r="E30" s="77">
        <f>(E27+E28-E29)*Assumptions!$G$97*MIN(365,'Fixed Asset schedule'!E$4-Assumptions!$G$5)/365</f>
        <v>149589.04109589042</v>
      </c>
      <c r="F30" s="77">
        <f>(F27+F28-F29)*Assumptions!$G$96*MIN(365,'Fixed Asset schedule'!F$4-Assumptions!$G$5)/365</f>
        <v>277561.64383561641</v>
      </c>
      <c r="G30" s="77">
        <f>(G27+G28-G29)*Assumptions!$G$96*MIN(365,'Fixed Asset schedule'!G$4-Assumptions!$G$5)/365</f>
        <v>235927.39726027398</v>
      </c>
    </row>
    <row r="31" spans="1:7" ht="15.75" thickBot="1" x14ac:dyDescent="0.3">
      <c r="A31" s="137" t="s">
        <v>129</v>
      </c>
      <c r="B31" s="142"/>
      <c r="C31" s="142"/>
      <c r="D31" s="142"/>
      <c r="E31" s="143">
        <f>E27+E28-E29-E30</f>
        <v>1850410.9589041097</v>
      </c>
      <c r="F31" s="143">
        <f t="shared" ref="F31:G31" si="3">F27+F28-F29-F30</f>
        <v>1572849.3150684931</v>
      </c>
      <c r="G31" s="143">
        <f t="shared" si="3"/>
        <v>1336921.9178082191</v>
      </c>
    </row>
    <row r="32" spans="1:7" ht="15.75" thickTop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I16" sqref="I16"/>
    </sheetView>
  </sheetViews>
  <sheetFormatPr defaultRowHeight="15" x14ac:dyDescent="0.25"/>
  <cols>
    <col min="1" max="1" width="37.28515625" bestFit="1" customWidth="1"/>
    <col min="2" max="4" width="17.42578125" customWidth="1"/>
    <col min="5" max="7" width="11" style="77" customWidth="1"/>
    <col min="8" max="16384" width="9.140625" style="77"/>
  </cols>
  <sheetData>
    <row r="1" spans="1:7" customFormat="1" x14ac:dyDescent="0.25"/>
    <row r="2" spans="1:7" customFormat="1" x14ac:dyDescent="0.25"/>
    <row r="3" spans="1:7" customFormat="1" ht="26.25" x14ac:dyDescent="0.25">
      <c r="A3" s="148" t="s">
        <v>123</v>
      </c>
      <c r="B3" s="148"/>
      <c r="C3" s="148"/>
      <c r="D3" s="149"/>
      <c r="E3" s="94" t="s">
        <v>97</v>
      </c>
      <c r="F3" s="94" t="s">
        <v>98</v>
      </c>
      <c r="G3" s="94" t="s">
        <v>99</v>
      </c>
    </row>
    <row r="4" spans="1:7" ht="26.25" x14ac:dyDescent="0.25">
      <c r="A4" s="150"/>
      <c r="B4" s="150"/>
      <c r="C4" s="150"/>
      <c r="D4" s="151"/>
      <c r="E4" s="95">
        <f>EOMONTH(Assumptions!G3,11)</f>
        <v>44286</v>
      </c>
      <c r="F4" s="95">
        <f>EOMONTH(E4,12)</f>
        <v>44651</v>
      </c>
      <c r="G4" s="95">
        <f>EOMONTH(F4,12)</f>
        <v>45016</v>
      </c>
    </row>
    <row r="5" spans="1:7" x14ac:dyDescent="0.25">
      <c r="A5" s="139" t="s">
        <v>131</v>
      </c>
    </row>
    <row r="6" spans="1:7" x14ac:dyDescent="0.25">
      <c r="A6" t="s">
        <v>132</v>
      </c>
    </row>
    <row r="7" spans="1:7" x14ac:dyDescent="0.25">
      <c r="A7" s="97" t="str">
        <f>'Monthly P and L'!A8</f>
        <v>Alcoholic Beverages</v>
      </c>
      <c r="E7" s="77">
        <f>('Monthly P and L'!P14/'Monthly Revenue'!P7)*30</f>
        <v>744812.52986396907</v>
      </c>
      <c r="F7" s="77">
        <f>('Monthly P and L'!AB8/'Monthly Revenue'!$AB$7)*Assumptions!G89</f>
        <v>2833807.138462049</v>
      </c>
      <c r="G7" s="77">
        <f>('Monthly P and L'!AN14/'Monthly Revenue'!AN7)*30</f>
        <v>1320777.5991422685</v>
      </c>
    </row>
    <row r="8" spans="1:7" x14ac:dyDescent="0.25">
      <c r="A8" s="97" t="str">
        <f>'Monthly P and L'!A9</f>
        <v>Non Alcoholic Beverages</v>
      </c>
      <c r="E8" s="77">
        <f>('Monthly P and L'!P15/'Monthly Revenue'!$P$7)*15</f>
        <v>166904.76859696792</v>
      </c>
      <c r="F8" s="77">
        <f>('Monthly P and L'!AB9/'Monthly Revenue'!$AB$7)*Assumptions!G90</f>
        <v>555648.45852197055</v>
      </c>
      <c r="G8" s="77">
        <f>('Monthly P and L'!AN15/'Monthly Revenue'!AN8)*30</f>
        <v>797839.10507193417</v>
      </c>
    </row>
    <row r="9" spans="1:7" x14ac:dyDescent="0.25">
      <c r="A9" s="97" t="str">
        <f>'Monthly P and L'!A10</f>
        <v>Food</v>
      </c>
      <c r="E9" s="77">
        <f>('Monthly P and L'!P16/'Monthly Revenue'!$P$7)*5</f>
        <v>143955.36291488481</v>
      </c>
      <c r="F9" s="77">
        <f>('Monthly P and L'!AB10/'Monthly Revenue'!$AB$7)*5</f>
        <v>638995.72730026604</v>
      </c>
      <c r="G9" s="77">
        <f>('Monthly P and L'!AN16/'Monthly Revenue'!AN7)*5</f>
        <v>255276.34269136284</v>
      </c>
    </row>
    <row r="10" spans="1:7" x14ac:dyDescent="0.25">
      <c r="A10" s="121" t="s">
        <v>135</v>
      </c>
      <c r="B10" s="7"/>
      <c r="C10" s="7"/>
      <c r="D10" s="7"/>
      <c r="E10" s="154">
        <f>SUM(E7:E9)</f>
        <v>1055672.6613758218</v>
      </c>
      <c r="F10" s="154">
        <f t="shared" ref="F10:G10" si="0">SUM(F7:F9)</f>
        <v>4028451.3242842853</v>
      </c>
      <c r="G10" s="154">
        <f t="shared" si="0"/>
        <v>2373893.0469055655</v>
      </c>
    </row>
    <row r="11" spans="1:7" x14ac:dyDescent="0.25">
      <c r="A11" s="139" t="s">
        <v>133</v>
      </c>
    </row>
    <row r="12" spans="1:7" x14ac:dyDescent="0.25">
      <c r="A12" t="str">
        <f>Assumptions!A92</f>
        <v>Creditor For Raw material</v>
      </c>
      <c r="E12" s="77">
        <f>SUMIF('Monthly P and L'!$E$6:$AN$6,'Working Capital'!E4,'Monthly P and L'!$E$31:$AN$31)*Assumptions!$G$92/30</f>
        <v>2803059.0707389517</v>
      </c>
      <c r="F12" s="77">
        <f>SUMIF('Monthly P and L'!$E$6:$AN$6,'Working Capital'!F4,'Monthly P and L'!$E$31:$AN$31)*Assumptions!$G$92/30</f>
        <v>3296940.6334079998</v>
      </c>
      <c r="G12" s="77">
        <f>SUMIF('Monthly P and L'!$E$6:$AN$6,'Working Capital'!G4,'Monthly P and L'!$E$31:$AN$31)*Assumptions!$G$92/30</f>
        <v>3919758.8254327672</v>
      </c>
    </row>
    <row r="13" spans="1:7" x14ac:dyDescent="0.25">
      <c r="A13" t="str">
        <f>Assumptions!A93</f>
        <v>Creditor For Expenses</v>
      </c>
    </row>
    <row r="14" spans="1:7" x14ac:dyDescent="0.25">
      <c r="A14" s="97" t="str">
        <f>'Monthly P and L'!A14</f>
        <v>Alcoholic Beverage cost (% of revenue)</v>
      </c>
      <c r="E14" s="77">
        <f>SUMIF('Monthly P and L'!$E$6:$AN$6,'Working Capital'!E4,'Monthly P and L'!$E$14:$AN$14)*Assumptions!$G$92/30</f>
        <v>769639.61419276812</v>
      </c>
      <c r="F14" s="77">
        <f>SUMIF('Monthly P and L'!$E$6:$AN$6,'Working Capital'!F4,'Monthly P and L'!$E$14:$AN$14)*Assumptions!$G$92/30</f>
        <v>1024893.5817437744</v>
      </c>
      <c r="G14" s="77">
        <f>SUMIF('Monthly P and L'!$E$6:$AN$6,'Working Capital'!G4,'Monthly P and L'!$E$14:$AN$14)*Assumptions!$G$92/30</f>
        <v>1364803.5191136773</v>
      </c>
    </row>
    <row r="15" spans="1:7" x14ac:dyDescent="0.25">
      <c r="A15" s="97" t="str">
        <f>'Monthly P and L'!A15</f>
        <v>Non Alcoholic Beverages (% of revenue)</v>
      </c>
      <c r="E15" s="77">
        <f>SUMIF('Monthly P and L'!$E$6:$AN$6,'Working Capital'!E4,'Monthly P and L'!$E$15:$AN$15)*Assumptions!$G$92/30</f>
        <v>344936.52176706702</v>
      </c>
      <c r="F15" s="77">
        <f>SUMIF('Monthly P and L'!$E$6:$AN$6,'Working Capital'!F4,'Monthly P and L'!$E$15:$AN$15)*Assumptions!$G$92/30</f>
        <v>459336.05904482893</v>
      </c>
      <c r="G15" s="77">
        <f>SUMIF('Monthly P and L'!$E$6:$AN$6,'Working Capital'!G4,'Monthly P and L'!$E$15:$AN$15)*Assumptions!$G$92/30</f>
        <v>611676.64722181624</v>
      </c>
    </row>
    <row r="16" spans="1:7" x14ac:dyDescent="0.25">
      <c r="A16" s="97" t="str">
        <f>'Monthly P and L'!A16</f>
        <v>Food (% of revenue)</v>
      </c>
      <c r="E16" s="77">
        <f>SUMIF('Monthly P and L'!$E$6:$AN$6,'Working Capital'!E4,'Monthly P and L'!$E$16:$AN$16)*Assumptions!$G$92/30</f>
        <v>892523.25007228577</v>
      </c>
      <c r="F16" s="77">
        <f>SUMIF('Monthly P and L'!$E$6:$AN$6,'Working Capital'!F4,'Monthly P and L'!$E$16:$AN$16)*Assumptions!$G$92/30</f>
        <v>1188532.0527784948</v>
      </c>
      <c r="G16" s="77">
        <f>SUMIF('Monthly P and L'!$E$6:$AN$6,'Working Capital'!G4,'Monthly P and L'!$E$16:$AN$16)*Assumptions!$G$92/30</f>
        <v>1582713.3246864497</v>
      </c>
    </row>
    <row r="17" spans="1:7" x14ac:dyDescent="0.25">
      <c r="A17" s="7" t="s">
        <v>134</v>
      </c>
      <c r="B17" s="7"/>
      <c r="C17" s="7"/>
      <c r="D17" s="7"/>
      <c r="E17" s="154">
        <f>SUM(E14:E16)</f>
        <v>2007099.386032121</v>
      </c>
      <c r="F17" s="154">
        <f t="shared" ref="F17" si="1">SUM(F14:F16)</f>
        <v>2672761.6935670981</v>
      </c>
      <c r="G17" s="154">
        <f t="shared" ref="G17" si="2">SUM(G14:G16)</f>
        <v>3559193.4910219433</v>
      </c>
    </row>
    <row r="18" spans="1:7" ht="15.75" thickBot="1" x14ac:dyDescent="0.3">
      <c r="A18" s="157" t="s">
        <v>136</v>
      </c>
      <c r="B18" s="157"/>
      <c r="C18" s="157"/>
      <c r="D18" s="157"/>
      <c r="E18" s="158">
        <f>E10-E17</f>
        <v>-951426.72465629922</v>
      </c>
      <c r="F18" s="158">
        <f t="shared" ref="F18:G18" si="3">F10-F17</f>
        <v>1355689.6307171872</v>
      </c>
      <c r="G18" s="158">
        <f t="shared" si="3"/>
        <v>-1185300.4441163777</v>
      </c>
    </row>
    <row r="19" spans="1:7" ht="15.75" thickBot="1" x14ac:dyDescent="0.3">
      <c r="A19" s="155" t="s">
        <v>137</v>
      </c>
      <c r="B19" s="155"/>
      <c r="C19" s="155"/>
      <c r="D19" s="155"/>
      <c r="E19" s="156">
        <f>-(E18-D18)</f>
        <v>951426.72465629922</v>
      </c>
      <c r="F19" s="156">
        <f t="shared" ref="F19:G19" si="4">-(F18-E18)</f>
        <v>-2307116.3553734864</v>
      </c>
      <c r="G19" s="156">
        <f t="shared" si="4"/>
        <v>2540990.0748335649</v>
      </c>
    </row>
    <row r="20" spans="1:7" ht="15.75" thickTop="1" x14ac:dyDescent="0.25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E33" sqref="E33:G35"/>
    </sheetView>
  </sheetViews>
  <sheetFormatPr defaultRowHeight="15" x14ac:dyDescent="0.25"/>
  <cols>
    <col min="1" max="1" width="36.140625" customWidth="1"/>
    <col min="2" max="2" width="7.28515625" hidden="1" customWidth="1"/>
    <col min="3" max="3" width="3.85546875" hidden="1" customWidth="1"/>
    <col min="4" max="4" width="8.5703125" hidden="1" customWidth="1"/>
    <col min="5" max="6" width="11.85546875" style="77" customWidth="1"/>
    <col min="7" max="7" width="12" style="77" bestFit="1" customWidth="1"/>
    <col min="8" max="16384" width="9.140625" style="77"/>
  </cols>
  <sheetData>
    <row r="1" spans="1:7" customFormat="1" x14ac:dyDescent="0.25"/>
    <row r="2" spans="1:7" customFormat="1" x14ac:dyDescent="0.25">
      <c r="A2" s="228" t="s">
        <v>123</v>
      </c>
      <c r="D2" s="134"/>
      <c r="E2" s="94" t="s">
        <v>97</v>
      </c>
      <c r="F2" s="94" t="s">
        <v>98</v>
      </c>
      <c r="G2" s="94" t="s">
        <v>99</v>
      </c>
    </row>
    <row r="3" spans="1:7" customFormat="1" x14ac:dyDescent="0.25">
      <c r="A3" s="228"/>
      <c r="D3" s="159">
        <f>Assumptions!$G$3</f>
        <v>43922</v>
      </c>
      <c r="E3" s="95">
        <f>EOMONTH(Assumptions!G3,11)</f>
        <v>44286</v>
      </c>
      <c r="F3" s="95">
        <f>EOMONTH(E3,12)</f>
        <v>44651</v>
      </c>
      <c r="G3" s="95">
        <f>EOMONTH(F3,12)</f>
        <v>45016</v>
      </c>
    </row>
    <row r="4" spans="1:7" x14ac:dyDescent="0.25">
      <c r="A4" s="160" t="str">
        <f>'Monthly P and L'!A7</f>
        <v>Revenue</v>
      </c>
    </row>
    <row r="5" spans="1:7" x14ac:dyDescent="0.25">
      <c r="A5" s="97" t="str">
        <f>'Monthly P and L'!A8</f>
        <v>Alcoholic Beverages</v>
      </c>
      <c r="E5" s="77">
        <f>SUMIFS('Monthly P and L'!$E8:$AN8, 'Monthly P and L'!$E$6:$AN$6,"&gt;"&amp; 'Annual Pand L'!D$3, 'Monthly P and L'!$E$6:$AN$6,"&lt;="&amp;'Annual Pand L'!E$3)</f>
        <v>17327890.539941229</v>
      </c>
      <c r="F5" s="77">
        <f>SUMIFS('Monthly P and L'!$E8:$AN8, 'Monthly P and L'!$E$6:$AN$6,"&gt;"&amp; 'Annual Pand L'!E$3, 'Monthly P and L'!$E$6:$AN$6,"&lt;="&amp;'Annual Pand L'!F$3)</f>
        <v>29545636.858923912</v>
      </c>
      <c r="G5" s="77">
        <f>SUMIFS('Monthly P and L'!$E8:$AN8, 'Monthly P and L'!$E$6:$AN$6,"&gt;"&amp; 'Annual Pand L'!F$3, 'Monthly P and L'!$E$6:$AN$6,"&lt;="&amp;'Annual Pand L'!G$3)</f>
        <v>39353248.603683211</v>
      </c>
    </row>
    <row r="6" spans="1:7" x14ac:dyDescent="0.25">
      <c r="A6" s="97" t="str">
        <f>'Monthly P and L'!A9</f>
        <v>Non Alcoholic Beverages</v>
      </c>
      <c r="E6" s="77">
        <f>SUMIFS('Monthly P and L'!$E9:$AN9, 'Monthly P and L'!$E$6:$AN$6,"&gt;"&amp; 'Annual Pand L'!D$3, 'Monthly P and L'!$E$6:$AN$6,"&lt;="&amp;'Annual Pand L'!E$3)</f>
        <v>6795251.1921338141</v>
      </c>
      <c r="F6" s="77">
        <f>SUMIFS('Monthly P and L'!$E9:$AN9, 'Monthly P and L'!$E$6:$AN$6,"&gt;"&amp; 'Annual Pand L'!E$3, 'Monthly P and L'!$E$6:$AN$6,"&lt;="&amp;'Annual Pand L'!F$3)</f>
        <v>11586524.258401537</v>
      </c>
      <c r="G6" s="77">
        <f>SUMIFS('Monthly P and L'!$E9:$AN9, 'Monthly P and L'!$E$6:$AN$6,"&gt;"&amp; 'Annual Pand L'!F$3, 'Monthly P and L'!$E$6:$AN$6,"&lt;="&amp;'Annual Pand L'!G$3)</f>
        <v>15432646.511248317</v>
      </c>
    </row>
    <row r="7" spans="1:7" x14ac:dyDescent="0.25">
      <c r="A7" s="97" t="str">
        <f>'Monthly P and L'!A10</f>
        <v>Food</v>
      </c>
      <c r="E7" s="77">
        <f>SUMIFS('Monthly P and L'!$E10:$AN10, 'Monthly P and L'!$E$6:$AN$6,"&gt;"&amp; 'Annual Pand L'!D$3, 'Monthly P and L'!$E$6:$AN$6,"&lt;="&amp;'Annual Pand L'!E$3)</f>
        <v>23443616.612861663</v>
      </c>
      <c r="F7" s="77">
        <f>SUMIFS('Monthly P and L'!$E10:$AN10, 'Monthly P and L'!$E$6:$AN$6,"&gt;"&amp; 'Annual Pand L'!E$3, 'Monthly P and L'!$E$6:$AN$6,"&lt;="&amp;'Annual Pand L'!F$3)</f>
        <v>39973508.691485308</v>
      </c>
      <c r="G7" s="77">
        <f>SUMIFS('Monthly P and L'!$E10:$AN10, 'Monthly P and L'!$E$6:$AN$6,"&gt;"&amp; 'Annual Pand L'!F$3, 'Monthly P and L'!$E$6:$AN$6,"&lt;="&amp;'Annual Pand L'!G$3)</f>
        <v>53242630.463806696</v>
      </c>
    </row>
    <row r="8" spans="1:7" ht="15.75" thickBot="1" x14ac:dyDescent="0.3">
      <c r="A8" s="161" t="str">
        <f>'Monthly P and L'!A11</f>
        <v>Total</v>
      </c>
      <c r="B8" s="157"/>
      <c r="C8" s="157"/>
      <c r="D8" s="157"/>
      <c r="E8" s="158">
        <f>SUMIFS('Monthly P and L'!$E11:$AN11, 'Monthly P and L'!$E$6:$AN$6,"&gt;"&amp; 'Annual Pand L'!D$3, 'Monthly P and L'!$E$6:$AN$6,"&lt;="&amp;'Annual Pand L'!E$3)</f>
        <v>47566758.344936706</v>
      </c>
      <c r="F8" s="158">
        <f>SUMIFS('Monthly P and L'!$E11:$AN11, 'Monthly P and L'!$E$6:$AN$6,"&gt;"&amp; 'Annual Pand L'!E$3, 'Monthly P and L'!$E$6:$AN$6,"&lt;="&amp;'Annual Pand L'!F$3)</f>
        <v>81105669.808810756</v>
      </c>
      <c r="G8" s="158">
        <f>SUMIFS('Monthly P and L'!$E11:$AN11, 'Monthly P and L'!$E$6:$AN$6,"&gt;"&amp; 'Annual Pand L'!F$3, 'Monthly P and L'!$E$6:$AN$6,"&lt;="&amp;'Annual Pand L'!G$3)</f>
        <v>108028525.57873821</v>
      </c>
    </row>
    <row r="9" spans="1:7" x14ac:dyDescent="0.25">
      <c r="A9" s="97"/>
      <c r="E9" s="77">
        <f>SUMIFS('Monthly P and L'!$E12:$AN12, 'Monthly P and L'!$E$6:$AN$6,"&gt;"&amp; 'Annual Pand L'!D$3, 'Monthly P and L'!$E$6:$AN$6,"&lt;="&amp;'Annual Pand L'!E$3)</f>
        <v>0</v>
      </c>
      <c r="F9" s="77">
        <f>SUMIFS('Monthly P and L'!$E12:$AN12, 'Monthly P and L'!$E$6:$AN$6,"&gt;"&amp; 'Annual Pand L'!E$3, 'Monthly P and L'!$E$6:$AN$6,"&lt;="&amp;'Annual Pand L'!F$3)</f>
        <v>0</v>
      </c>
      <c r="G9" s="77">
        <f>SUMIFS('Monthly P and L'!$E12:$AN12, 'Monthly P and L'!$E$6:$AN$6,"&gt;"&amp; 'Annual Pand L'!F$3, 'Monthly P and L'!$E$6:$AN$6,"&lt;="&amp;'Annual Pand L'!G$3)</f>
        <v>0</v>
      </c>
    </row>
    <row r="10" spans="1:7" x14ac:dyDescent="0.25">
      <c r="A10" s="160" t="str">
        <f>'Monthly P and L'!A13</f>
        <v>Less: Direct Expenses</v>
      </c>
      <c r="E10" s="77">
        <f>SUMIFS('Monthly P and L'!$E13:$AN13, 'Monthly P and L'!$E$6:$AN$6,"&gt;"&amp; 'Annual Pand L'!D$3, 'Monthly P and L'!$E$6:$AN$6,"&lt;="&amp;'Annual Pand L'!E$3)</f>
        <v>0</v>
      </c>
      <c r="F10" s="77">
        <f>SUMIFS('Monthly P and L'!$E13:$AN13, 'Monthly P and L'!$E$6:$AN$6,"&gt;"&amp; 'Annual Pand L'!E$3, 'Monthly P and L'!$E$6:$AN$6,"&lt;="&amp;'Annual Pand L'!F$3)</f>
        <v>0</v>
      </c>
      <c r="G10" s="77">
        <f>SUMIFS('Monthly P and L'!$E13:$AN13, 'Monthly P and L'!$E$6:$AN$6,"&gt;"&amp; 'Annual Pand L'!F$3, 'Monthly P and L'!$E$6:$AN$6,"&lt;="&amp;'Annual Pand L'!G$3)</f>
        <v>0</v>
      </c>
    </row>
    <row r="11" spans="1:7" x14ac:dyDescent="0.25">
      <c r="A11" s="97" t="str">
        <f>'Monthly P and L'!A14</f>
        <v>Alcoholic Beverage cost (% of revenue)</v>
      </c>
      <c r="E11" s="77">
        <f>SUMIFS('Monthly P and L'!$E14:$AN14, 'Monthly P and L'!$E$6:$AN$6,"&gt;"&amp; 'Annual Pand L'!D$3, 'Monthly P and L'!$E$6:$AN$6,"&lt;="&amp;'Annual Pand L'!E$3)</f>
        <v>6064761.6889794292</v>
      </c>
      <c r="F11" s="77">
        <f>SUMIFS('Monthly P and L'!$E14:$AN14, 'Monthly P and L'!$E$6:$AN$6,"&gt;"&amp; 'Annual Pand L'!E$3, 'Monthly P and L'!$E$6:$AN$6,"&lt;="&amp;'Annual Pand L'!F$3)</f>
        <v>10340972.900623372</v>
      </c>
      <c r="G11" s="77">
        <f>SUMIFS('Monthly P and L'!$E14:$AN14, 'Monthly P and L'!$E$6:$AN$6,"&gt;"&amp; 'Annual Pand L'!F$3, 'Monthly P and L'!$E$6:$AN$6,"&lt;="&amp;'Annual Pand L'!G$3)</f>
        <v>13773637.01128912</v>
      </c>
    </row>
    <row r="12" spans="1:7" x14ac:dyDescent="0.25">
      <c r="A12" s="97" t="str">
        <f>'Monthly P and L'!A15</f>
        <v>Non Alcoholic Beverages (% of revenue)</v>
      </c>
      <c r="E12" s="77">
        <f>SUMIFS('Monthly P and L'!$E15:$AN15, 'Monthly P and L'!$E$6:$AN$6,"&gt;"&amp; 'Annual Pand L'!D$3, 'Monthly P and L'!$E$6:$AN$6,"&lt;="&amp;'Annual Pand L'!E$3)</f>
        <v>2718100.4768535262</v>
      </c>
      <c r="F12" s="77">
        <f>SUMIFS('Monthly P and L'!$E15:$AN15, 'Monthly P and L'!$E$6:$AN$6,"&gt;"&amp; 'Annual Pand L'!E$3, 'Monthly P and L'!$E$6:$AN$6,"&lt;="&amp;'Annual Pand L'!F$3)</f>
        <v>4634609.7033606153</v>
      </c>
      <c r="G12" s="77">
        <f>SUMIFS('Monthly P and L'!$E15:$AN15, 'Monthly P and L'!$E$6:$AN$6,"&gt;"&amp; 'Annual Pand L'!F$3, 'Monthly P and L'!$E$6:$AN$6,"&lt;="&amp;'Annual Pand L'!G$3)</f>
        <v>6173058.604499327</v>
      </c>
    </row>
    <row r="13" spans="1:7" x14ac:dyDescent="0.25">
      <c r="A13" s="97" t="str">
        <f>'Monthly P and L'!A16</f>
        <v>Food (% of revenue)</v>
      </c>
      <c r="E13" s="77">
        <f>SUMIFS('Monthly P and L'!$E16:$AN16, 'Monthly P and L'!$E$6:$AN$6,"&gt;"&amp; 'Annual Pand L'!D$3, 'Monthly P and L'!$E$6:$AN$6,"&lt;="&amp;'Annual Pand L'!E$3)</f>
        <v>7033084.9838584978</v>
      </c>
      <c r="F13" s="77">
        <f>SUMIFS('Monthly P and L'!$E16:$AN16, 'Monthly P and L'!$E$6:$AN$6,"&gt;"&amp; 'Annual Pand L'!E$3, 'Monthly P and L'!$E$6:$AN$6,"&lt;="&amp;'Annual Pand L'!F$3)</f>
        <v>11992052.607445592</v>
      </c>
      <c r="G13" s="77">
        <f>SUMIFS('Monthly P and L'!$E16:$AN16, 'Monthly P and L'!$E$6:$AN$6,"&gt;"&amp; 'Annual Pand L'!F$3, 'Monthly P and L'!$E$6:$AN$6,"&lt;="&amp;'Annual Pand L'!G$3)</f>
        <v>15972789.139142005</v>
      </c>
    </row>
    <row r="14" spans="1:7" x14ac:dyDescent="0.25">
      <c r="A14" s="97" t="str">
        <f>'Monthly P and L'!A17</f>
        <v>Staff Salary</v>
      </c>
      <c r="E14" s="77">
        <f>SUMIFS('Monthly P and L'!$E17:$AN17, 'Monthly P and L'!$E$6:$AN$6,"&gt;"&amp; 'Annual Pand L'!D$3, 'Monthly P and L'!$E$6:$AN$6,"&lt;="&amp;'Annual Pand L'!E$3)</f>
        <v>8874000</v>
      </c>
      <c r="F14" s="77">
        <f>SUMIFS('Monthly P and L'!$E17:$AN17, 'Monthly P and L'!$E$6:$AN$6,"&gt;"&amp; 'Annual Pand L'!E$3, 'Monthly P and L'!$E$6:$AN$6,"&lt;="&amp;'Annual Pand L'!F$3)</f>
        <v>12541920</v>
      </c>
      <c r="G14" s="77">
        <f>SUMIFS('Monthly P and L'!$E17:$AN17, 'Monthly P and L'!$E$6:$AN$6,"&gt;"&amp; 'Annual Pand L'!F$3, 'Monthly P and L'!$E$6:$AN$6,"&lt;="&amp;'Annual Pand L'!G$3)</f>
        <v>13545273.600000003</v>
      </c>
    </row>
    <row r="15" spans="1:7" ht="15.75" thickBot="1" x14ac:dyDescent="0.3">
      <c r="A15" s="161" t="str">
        <f>'Monthly P and L'!A18</f>
        <v>Total Direct Expenses</v>
      </c>
      <c r="B15" s="157"/>
      <c r="C15" s="157"/>
      <c r="D15" s="157"/>
      <c r="E15" s="158">
        <f>SUMIFS('Monthly P and L'!$E18:$AN18, 'Monthly P and L'!$E$6:$AN$6,"&gt;"&amp; 'Annual Pand L'!D$3, 'Monthly P and L'!$E$6:$AN$6,"&lt;="&amp;'Annual Pand L'!E$3)</f>
        <v>24689947.149691455</v>
      </c>
      <c r="F15" s="158">
        <f>SUMIFS('Monthly P and L'!$E18:$AN18, 'Monthly P and L'!$E$6:$AN$6,"&gt;"&amp; 'Annual Pand L'!E$3, 'Monthly P and L'!$E$6:$AN$6,"&lt;="&amp;'Annual Pand L'!F$3)</f>
        <v>39509555.211429574</v>
      </c>
      <c r="G15" s="158">
        <f>SUMIFS('Monthly P and L'!$E18:$AN18, 'Monthly P and L'!$E$6:$AN$6,"&gt;"&amp; 'Annual Pand L'!F$3, 'Monthly P and L'!$E$6:$AN$6,"&lt;="&amp;'Annual Pand L'!G$3)</f>
        <v>49464758.35493046</v>
      </c>
    </row>
    <row r="16" spans="1:7" x14ac:dyDescent="0.25">
      <c r="A16" s="97"/>
      <c r="E16" s="77">
        <f>SUMIFS('Monthly P and L'!$E19:$AN19, 'Monthly P and L'!$E$6:$AN$6,"&gt;"&amp; 'Annual Pand L'!D$3, 'Monthly P and L'!$E$6:$AN$6,"&lt;="&amp;'Annual Pand L'!E$3)</f>
        <v>0</v>
      </c>
      <c r="F16" s="77">
        <f>SUMIFS('Monthly P and L'!$E19:$AN19, 'Monthly P and L'!$E$6:$AN$6,"&gt;"&amp; 'Annual Pand L'!E$3, 'Monthly P and L'!$E$6:$AN$6,"&lt;="&amp;'Annual Pand L'!F$3)</f>
        <v>0</v>
      </c>
      <c r="G16" s="77">
        <f>SUMIFS('Monthly P and L'!$E19:$AN19, 'Monthly P and L'!$E$6:$AN$6,"&gt;"&amp; 'Annual Pand L'!F$3, 'Monthly P and L'!$E$6:$AN$6,"&lt;="&amp;'Annual Pand L'!G$3)</f>
        <v>0</v>
      </c>
    </row>
    <row r="17" spans="1:7" x14ac:dyDescent="0.25">
      <c r="A17" s="160" t="str">
        <f>'Monthly P and L'!A20</f>
        <v>Less: Indirect Expence</v>
      </c>
      <c r="B17" s="7"/>
      <c r="C17" s="7"/>
      <c r="D17" s="7"/>
      <c r="E17" s="154">
        <f>SUMIFS('Monthly P and L'!$E20:$AN20, 'Monthly P and L'!$E$6:$AN$6,"&gt;"&amp; 'Annual Pand L'!D$3, 'Monthly P and L'!$E$6:$AN$6,"&lt;="&amp;'Annual Pand L'!E$3)</f>
        <v>0</v>
      </c>
      <c r="F17" s="154">
        <f>SUMIFS('Monthly P and L'!$E20:$AN20, 'Monthly P and L'!$E$6:$AN$6,"&gt;"&amp; 'Annual Pand L'!E$3, 'Monthly P and L'!$E$6:$AN$6,"&lt;="&amp;'Annual Pand L'!F$3)</f>
        <v>0</v>
      </c>
      <c r="G17" s="154">
        <f>SUMIFS('Monthly P and L'!$E20:$AN20, 'Monthly P and L'!$E$6:$AN$6,"&gt;"&amp; 'Annual Pand L'!F$3, 'Monthly P and L'!$E$6:$AN$6,"&lt;="&amp;'Annual Pand L'!G$3)</f>
        <v>0</v>
      </c>
    </row>
    <row r="18" spans="1:7" x14ac:dyDescent="0.25">
      <c r="A18" s="97" t="str">
        <f>'Monthly P and L'!A21</f>
        <v>Other staff Salaries</v>
      </c>
      <c r="E18" s="77">
        <f>SUMIFS('Monthly P and L'!$E21:$AN21, 'Monthly P and L'!$E$6:$AN$6,"&gt;"&amp; 'Annual Pand L'!D$3, 'Monthly P and L'!$E$6:$AN$6,"&lt;="&amp;'Annual Pand L'!E$3)</f>
        <v>3420000</v>
      </c>
      <c r="F18" s="77">
        <f>SUMIFS('Monthly P and L'!$E21:$AN21, 'Monthly P and L'!$E$6:$AN$6,"&gt;"&amp; 'Annual Pand L'!E$3, 'Monthly P and L'!$E$6:$AN$6,"&lt;="&amp;'Annual Pand L'!F$3)</f>
        <v>4833600</v>
      </c>
      <c r="G18" s="77">
        <f>SUMIFS('Monthly P and L'!$E21:$AN21, 'Monthly P and L'!$E$6:$AN$6,"&gt;"&amp; 'Annual Pand L'!F$3, 'Monthly P and L'!$E$6:$AN$6,"&lt;="&amp;'Annual Pand L'!G$3)</f>
        <v>5220288</v>
      </c>
    </row>
    <row r="19" spans="1:7" x14ac:dyDescent="0.25">
      <c r="A19" s="97" t="str">
        <f>'Monthly P and L'!A22</f>
        <v>Rotalty to brand (% Of Revenue)</v>
      </c>
      <c r="E19" s="77">
        <f>SUMIFS('Monthly P and L'!$E22:$AN22, 'Monthly P and L'!$E$6:$AN$6,"&gt;"&amp; 'Annual Pand L'!D$3, 'Monthly P and L'!$E$6:$AN$6,"&lt;="&amp;'Annual Pand L'!E$3)</f>
        <v>2378337.9172468353</v>
      </c>
      <c r="F19" s="77">
        <f>SUMIFS('Monthly P and L'!$E22:$AN22, 'Monthly P and L'!$E$6:$AN$6,"&gt;"&amp; 'Annual Pand L'!E$3, 'Monthly P and L'!$E$6:$AN$6,"&lt;="&amp;'Annual Pand L'!F$3)</f>
        <v>4055283.4904405391</v>
      </c>
      <c r="G19" s="77">
        <f>SUMIFS('Monthly P and L'!$E22:$AN22, 'Monthly P and L'!$E$6:$AN$6,"&gt;"&amp; 'Annual Pand L'!F$3, 'Monthly P and L'!$E$6:$AN$6,"&lt;="&amp;'Annual Pand L'!G$3)</f>
        <v>5401426.2789369114</v>
      </c>
    </row>
    <row r="20" spans="1:7" x14ac:dyDescent="0.25">
      <c r="A20" s="97" t="str">
        <f>'Monthly P and L'!A23</f>
        <v>Rent (as per contract) (% of revenue)</v>
      </c>
      <c r="E20" s="77">
        <f>SUMIFS('Monthly P and L'!$E23:$AN23, 'Monthly P and L'!$E$6:$AN$6,"&gt;"&amp; 'Annual Pand L'!D$3, 'Monthly P and L'!$E$6:$AN$6,"&lt;="&amp;'Annual Pand L'!E$3)</f>
        <v>4756675.8344936706</v>
      </c>
      <c r="F20" s="77">
        <f>SUMIFS('Monthly P and L'!$E23:$AN23, 'Monthly P and L'!$E$6:$AN$6,"&gt;"&amp; 'Annual Pand L'!E$3, 'Monthly P and L'!$E$6:$AN$6,"&lt;="&amp;'Annual Pand L'!F$3)</f>
        <v>8110566.9808810782</v>
      </c>
      <c r="G20" s="77">
        <f>SUMIFS('Monthly P and L'!$E23:$AN23, 'Monthly P and L'!$E$6:$AN$6,"&gt;"&amp; 'Annual Pand L'!F$3, 'Monthly P and L'!$E$6:$AN$6,"&lt;="&amp;'Annual Pand L'!G$3)</f>
        <v>10802852.557873823</v>
      </c>
    </row>
    <row r="21" spans="1:7" x14ac:dyDescent="0.25">
      <c r="A21" s="97" t="str">
        <f>'Monthly P and L'!A24</f>
        <v>Water Cost (per month)</v>
      </c>
      <c r="E21" s="77">
        <f>SUMIFS('Monthly P and L'!$E24:$AN24, 'Monthly P and L'!$E$6:$AN$6,"&gt;"&amp; 'Annual Pand L'!D$3, 'Monthly P and L'!$E$6:$AN$6,"&lt;="&amp;'Annual Pand L'!E$3)</f>
        <v>90000</v>
      </c>
      <c r="F21" s="77">
        <f>SUMIFS('Monthly P and L'!$E24:$AN24, 'Monthly P and L'!$E$6:$AN$6,"&gt;"&amp; 'Annual Pand L'!E$3, 'Monthly P and L'!$E$6:$AN$6,"&lt;="&amp;'Annual Pand L'!F$3)</f>
        <v>127200</v>
      </c>
      <c r="G21" s="77">
        <f>SUMIFS('Monthly P and L'!$E24:$AN24, 'Monthly P and L'!$E$6:$AN$6,"&gt;"&amp; 'Annual Pand L'!F$3, 'Monthly P and L'!$E$6:$AN$6,"&lt;="&amp;'Annual Pand L'!G$3)</f>
        <v>137376</v>
      </c>
    </row>
    <row r="22" spans="1:7" x14ac:dyDescent="0.25">
      <c r="A22" s="97" t="str">
        <f>'Monthly P and L'!A25</f>
        <v>Maintenance (per month)</v>
      </c>
      <c r="E22" s="77">
        <f>SUMIFS('Monthly P and L'!$E25:$AN25, 'Monthly P and L'!$E$6:$AN$6,"&gt;"&amp; 'Annual Pand L'!D$3, 'Monthly P and L'!$E$6:$AN$6,"&lt;="&amp;'Annual Pand L'!E$3)</f>
        <v>450000</v>
      </c>
      <c r="F22" s="77">
        <f>SUMIFS('Monthly P and L'!$E25:$AN25, 'Monthly P and L'!$E$6:$AN$6,"&gt;"&amp; 'Annual Pand L'!E$3, 'Monthly P and L'!$E$6:$AN$6,"&lt;="&amp;'Annual Pand L'!F$3)</f>
        <v>636000</v>
      </c>
      <c r="G22" s="77">
        <f>SUMIFS('Monthly P and L'!$E25:$AN25, 'Monthly P and L'!$E$6:$AN$6,"&gt;"&amp; 'Annual Pand L'!F$3, 'Monthly P and L'!$E$6:$AN$6,"&lt;="&amp;'Annual Pand L'!G$3)</f>
        <v>686880</v>
      </c>
    </row>
    <row r="23" spans="1:7" x14ac:dyDescent="0.25">
      <c r="A23" s="97" t="str">
        <f>'Monthly P and L'!A26</f>
        <v>Marketing cost (per month)</v>
      </c>
      <c r="E23" s="77">
        <f>SUMIFS('Monthly P and L'!$E26:$AN26, 'Monthly P and L'!$E$6:$AN$6,"&gt;"&amp; 'Annual Pand L'!D$3, 'Monthly P and L'!$E$6:$AN$6,"&lt;="&amp;'Annual Pand L'!E$3)</f>
        <v>11250000</v>
      </c>
      <c r="F23" s="77">
        <f>SUMIFS('Monthly P and L'!$E26:$AN26, 'Monthly P and L'!$E$6:$AN$6,"&gt;"&amp; 'Annual Pand L'!E$3, 'Monthly P and L'!$E$6:$AN$6,"&lt;="&amp;'Annual Pand L'!F$3)</f>
        <v>15900000</v>
      </c>
      <c r="G23" s="77">
        <f>SUMIFS('Monthly P and L'!$E26:$AN26, 'Monthly P and L'!$E$6:$AN$6,"&gt;"&amp; 'Annual Pand L'!F$3, 'Monthly P and L'!$E$6:$AN$6,"&lt;="&amp;'Annual Pand L'!G$3)</f>
        <v>17172000</v>
      </c>
    </row>
    <row r="24" spans="1:7" x14ac:dyDescent="0.25">
      <c r="A24" s="97" t="str">
        <f>'Monthly P and L'!A27</f>
        <v>Electricity (Based on area Rs./sq. Ft.)</v>
      </c>
      <c r="E24" s="77">
        <f>SUMIFS('Monthly P and L'!$E27:$AN27, 'Monthly P and L'!$E$6:$AN$6,"&gt;"&amp; 'Annual Pand L'!D$3, 'Monthly P and L'!$E$6:$AN$6,"&lt;="&amp;'Annual Pand L'!E$3)</f>
        <v>239400</v>
      </c>
      <c r="F24" s="77">
        <f>SUMIFS('Monthly P and L'!$E27:$AN27, 'Monthly P and L'!$E$6:$AN$6,"&gt;"&amp; 'Annual Pand L'!E$3, 'Monthly P and L'!$E$6:$AN$6,"&lt;="&amp;'Annual Pand L'!F$3)</f>
        <v>338352</v>
      </c>
      <c r="G24" s="77">
        <f>SUMIFS('Monthly P and L'!$E27:$AN27, 'Monthly P and L'!$E$6:$AN$6,"&gt;"&amp; 'Annual Pand L'!F$3, 'Monthly P and L'!$E$6:$AN$6,"&lt;="&amp;'Annual Pand L'!G$3)</f>
        <v>365420.16</v>
      </c>
    </row>
    <row r="25" spans="1:7" x14ac:dyDescent="0.25">
      <c r="A25" s="97" t="str">
        <f>'Monthly P and L'!A28</f>
        <v>Phone and internet (per month)</v>
      </c>
      <c r="E25" s="77">
        <f>SUMIFS('Monthly P and L'!$E28:$AN28, 'Monthly P and L'!$E$6:$AN$6,"&gt;"&amp; 'Annual Pand L'!D$3, 'Monthly P and L'!$E$6:$AN$6,"&lt;="&amp;'Annual Pand L'!E$3)</f>
        <v>135000</v>
      </c>
      <c r="F25" s="77">
        <f>SUMIFS('Monthly P and L'!$E28:$AN28, 'Monthly P and L'!$E$6:$AN$6,"&gt;"&amp; 'Annual Pand L'!E$3, 'Monthly P and L'!$E$6:$AN$6,"&lt;="&amp;'Annual Pand L'!F$3)</f>
        <v>190800</v>
      </c>
      <c r="G25" s="77">
        <f>SUMIFS('Monthly P and L'!$E28:$AN28, 'Monthly P and L'!$E$6:$AN$6,"&gt;"&amp; 'Annual Pand L'!F$3, 'Monthly P and L'!$E$6:$AN$6,"&lt;="&amp;'Annual Pand L'!G$3)</f>
        <v>206064.00000000003</v>
      </c>
    </row>
    <row r="26" spans="1:7" x14ac:dyDescent="0.25">
      <c r="A26" s="97" t="str">
        <f>'Monthly P and L'!A29</f>
        <v>Housekeeping  &amp; Consumables (% of revenue)</v>
      </c>
      <c r="E26" s="77">
        <f>SUMIFS('Monthly P and L'!$E29:$AN29, 'Monthly P and L'!$E$6:$AN$6,"&gt;"&amp; 'Annual Pand L'!D$3, 'Monthly P and L'!$E$6:$AN$6,"&lt;="&amp;'Annual Pand L'!E$3)</f>
        <v>951335.16689873405</v>
      </c>
      <c r="F26" s="77">
        <f>SUMIFS('Monthly P and L'!$E29:$AN29, 'Monthly P and L'!$E$6:$AN$6,"&gt;"&amp; 'Annual Pand L'!E$3, 'Monthly P and L'!$E$6:$AN$6,"&lt;="&amp;'Annual Pand L'!F$3)</f>
        <v>1622113.3961762153</v>
      </c>
      <c r="G26" s="77">
        <f>SUMIFS('Monthly P and L'!$E29:$AN29, 'Monthly P and L'!$E$6:$AN$6,"&gt;"&amp; 'Annual Pand L'!F$3, 'Monthly P and L'!$E$6:$AN$6,"&lt;="&amp;'Annual Pand L'!G$3)</f>
        <v>2160570.5115747647</v>
      </c>
    </row>
    <row r="27" spans="1:7" x14ac:dyDescent="0.25">
      <c r="A27" s="97" t="str">
        <f>'Monthly P and L'!A30</f>
        <v>Payment Settlement Charges (% or revenue)</v>
      </c>
      <c r="E27" s="77">
        <f>SUMIFS('Monthly P and L'!$E30:$AN30, 'Monthly P and L'!$E$6:$AN$6,"&gt;"&amp; 'Annual Pand L'!D$3, 'Monthly P and L'!$E$6:$AN$6,"&lt;="&amp;'Annual Pand L'!E$3)</f>
        <v>356750.68758702528</v>
      </c>
      <c r="F27" s="77">
        <f>SUMIFS('Monthly P and L'!$E30:$AN30, 'Monthly P and L'!$E$6:$AN$6,"&gt;"&amp; 'Annual Pand L'!E$3, 'Monthly P and L'!$E$6:$AN$6,"&lt;="&amp;'Annual Pand L'!F$3)</f>
        <v>608292.52356608072</v>
      </c>
      <c r="G27" s="77">
        <f>SUMIFS('Monthly P and L'!$E30:$AN30, 'Monthly P and L'!$E$6:$AN$6,"&gt;"&amp; 'Annual Pand L'!F$3, 'Monthly P and L'!$E$6:$AN$6,"&lt;="&amp;'Annual Pand L'!G$3)</f>
        <v>810213.94184053666</v>
      </c>
    </row>
    <row r="28" spans="1:7" ht="15.75" thickBot="1" x14ac:dyDescent="0.3">
      <c r="A28" s="161" t="str">
        <f>'Monthly P and L'!A31</f>
        <v>Total indirect Expenses</v>
      </c>
      <c r="B28" s="157"/>
      <c r="C28" s="157"/>
      <c r="D28" s="157"/>
      <c r="E28" s="158">
        <f>SUMIFS('Monthly P and L'!$E31:$AN31, 'Monthly P and L'!$E$6:$AN$6,"&gt;"&amp; 'Annual Pand L'!D$3, 'Monthly P and L'!$E$6:$AN$6,"&lt;="&amp;'Annual Pand L'!E$3)</f>
        <v>24027499.606226265</v>
      </c>
      <c r="F28" s="158">
        <f>SUMIFS('Monthly P and L'!$E31:$AN31, 'Monthly P and L'!$E$6:$AN$6,"&gt;"&amp; 'Annual Pand L'!E$3, 'Monthly P and L'!$E$6:$AN$6,"&lt;="&amp;'Annual Pand L'!F$3)</f>
        <v>36422208.391063914</v>
      </c>
      <c r="G28" s="158">
        <f>SUMIFS('Monthly P and L'!$E31:$AN31, 'Monthly P and L'!$E$6:$AN$6,"&gt;"&amp; 'Annual Pand L'!F$3, 'Monthly P and L'!$E$6:$AN$6,"&lt;="&amp;'Annual Pand L'!G$3)</f>
        <v>42963091.450226039</v>
      </c>
    </row>
    <row r="29" spans="1:7" x14ac:dyDescent="0.25">
      <c r="A29" s="97"/>
      <c r="E29" s="77">
        <f>SUMIFS('Monthly P and L'!$E32:$AN32, 'Monthly P and L'!$E$6:$AN$6,"&gt;"&amp; 'Annual Pand L'!D$3, 'Monthly P and L'!$E$6:$AN$6,"&lt;="&amp;'Annual Pand L'!E$3)</f>
        <v>0</v>
      </c>
      <c r="F29" s="77">
        <f>SUMIFS('Monthly P and L'!$E32:$AN32, 'Monthly P and L'!$E$6:$AN$6,"&gt;"&amp; 'Annual Pand L'!E$3, 'Monthly P and L'!$E$6:$AN$6,"&lt;="&amp;'Annual Pand L'!F$3)</f>
        <v>0</v>
      </c>
      <c r="G29" s="77">
        <f>SUMIFS('Monthly P and L'!$E32:$AN32, 'Monthly P and L'!$E$6:$AN$6,"&gt;"&amp; 'Annual Pand L'!F$3, 'Monthly P and L'!$E$6:$AN$6,"&lt;="&amp;'Annual Pand L'!G$3)</f>
        <v>0</v>
      </c>
    </row>
    <row r="30" spans="1:7" x14ac:dyDescent="0.25">
      <c r="A30" s="163" t="str">
        <f>'Monthly P and L'!A33</f>
        <v>EBITDA</v>
      </c>
      <c r="B30" s="164"/>
      <c r="C30" s="164"/>
      <c r="D30" s="164"/>
      <c r="E30" s="165">
        <f>SUMIFS('Monthly P and L'!$E33:$AN33, 'Monthly P and L'!$E$6:$AN$6,"&gt;"&amp; 'Annual Pand L'!D$3, 'Monthly P and L'!$E$6:$AN$6,"&lt;="&amp;'Annual Pand L'!E$3)</f>
        <v>-1150688.4109810167</v>
      </c>
      <c r="F30" s="165">
        <f>SUMIFS('Monthly P and L'!$E33:$AN33, 'Monthly P and L'!$E$6:$AN$6,"&gt;"&amp; 'Annual Pand L'!E$3, 'Monthly P and L'!$E$6:$AN$6,"&lt;="&amp;'Annual Pand L'!F$3)</f>
        <v>5173906.206317272</v>
      </c>
      <c r="G30" s="165">
        <f>SUMIFS('Monthly P and L'!$E33:$AN33, 'Monthly P and L'!$E$6:$AN$6,"&gt;"&amp; 'Annual Pand L'!F$3, 'Monthly P and L'!$E$6:$AN$6,"&lt;="&amp;'Annual Pand L'!G$3)</f>
        <v>15600675.773581723</v>
      </c>
    </row>
    <row r="31" spans="1:7" x14ac:dyDescent="0.25">
      <c r="A31" s="121" t="s">
        <v>138</v>
      </c>
      <c r="E31" s="77">
        <f>'Fixed Asset schedule'!E9+'Fixed Asset schedule'!E16+'Fixed Asset schedule'!E23+'Fixed Asset schedule'!E30</f>
        <v>1241589.0410958903</v>
      </c>
      <c r="F31" s="77">
        <f>'Fixed Asset schedule'!F9+'Fixed Asset schedule'!F16+'Fixed Asset schedule'!F23+'Fixed Asset schedule'!F30</f>
        <v>2078761.6438356163</v>
      </c>
      <c r="G31" s="77">
        <f>'Fixed Asset schedule'!G9+'Fixed Asset schedule'!G16+'Fixed Asset schedule'!G23+'Fixed Asset schedule'!G30</f>
        <v>1766947.397260274</v>
      </c>
    </row>
    <row r="32" spans="1:7" x14ac:dyDescent="0.25">
      <c r="A32" s="160" t="s">
        <v>139</v>
      </c>
      <c r="E32" s="77">
        <f>E30-E31</f>
        <v>-2392277.4520769073</v>
      </c>
      <c r="F32" s="77">
        <f t="shared" ref="F32:G32" si="0">F30-F31</f>
        <v>3095144.5624816557</v>
      </c>
      <c r="G32" s="77">
        <f t="shared" si="0"/>
        <v>13833728.376321448</v>
      </c>
    </row>
    <row r="33" spans="1:7" x14ac:dyDescent="0.25">
      <c r="A33" s="121" t="s">
        <v>140</v>
      </c>
      <c r="E33" s="77">
        <v>0</v>
      </c>
      <c r="F33" s="77">
        <v>0</v>
      </c>
      <c r="G33" s="77">
        <v>0</v>
      </c>
    </row>
    <row r="34" spans="1:7" x14ac:dyDescent="0.25">
      <c r="A34" s="121" t="s">
        <v>141</v>
      </c>
      <c r="E34" s="77">
        <v>0</v>
      </c>
      <c r="F34" s="77">
        <v>0</v>
      </c>
      <c r="G34" s="77">
        <v>0</v>
      </c>
    </row>
    <row r="35" spans="1:7" ht="15.75" thickBot="1" x14ac:dyDescent="0.3">
      <c r="A35" s="162" t="s">
        <v>142</v>
      </c>
      <c r="B35" s="152"/>
      <c r="C35" s="152"/>
      <c r="D35" s="152"/>
      <c r="E35" s="153">
        <f>E32</f>
        <v>-2392277.4520769073</v>
      </c>
      <c r="F35" s="153">
        <f t="shared" ref="F35:G35" si="1">F32</f>
        <v>3095144.5624816557</v>
      </c>
      <c r="G35" s="153">
        <f t="shared" si="1"/>
        <v>13833728.376321448</v>
      </c>
    </row>
    <row r="36" spans="1:7" ht="15.75" thickTop="1" x14ac:dyDescent="0.25"/>
  </sheetData>
  <mergeCells count="1">
    <mergeCell ref="A2:A3"/>
  </mergeCells>
  <pageMargins left="0.7" right="0.7" top="0.75" bottom="0.75" header="0.3" footer="0.3"/>
  <ignoredErrors>
    <ignoredError sqref="E31:G31 A31:A32 E32:G32 A33:D33 A35:D35 A34:E34 E33:G33 E35:G35 F34:G34" calculatedColumn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17" sqref="G17"/>
    </sheetView>
  </sheetViews>
  <sheetFormatPr defaultRowHeight="15" x14ac:dyDescent="0.25"/>
  <cols>
    <col min="1" max="1" width="48.140625" bestFit="1" customWidth="1"/>
    <col min="2" max="2" width="7.28515625" hidden="1" customWidth="1"/>
    <col min="3" max="4" width="0" hidden="1" customWidth="1"/>
    <col min="5" max="5" width="11.7109375" style="77" bestFit="1" customWidth="1"/>
    <col min="6" max="6" width="11" style="77" customWidth="1"/>
    <col min="7" max="7" width="11" style="77" bestFit="1" customWidth="1"/>
    <col min="8" max="13" width="9.140625" style="77"/>
    <col min="14" max="14" width="2.28515625" style="77" bestFit="1" customWidth="1"/>
    <col min="15" max="16384" width="9.140625" style="77"/>
  </cols>
  <sheetData>
    <row r="1" spans="1:14" customFormat="1" x14ac:dyDescent="0.25"/>
    <row r="2" spans="1:14" customFormat="1" x14ac:dyDescent="0.25"/>
    <row r="3" spans="1:14" customFormat="1" x14ac:dyDescent="0.25">
      <c r="A3" s="141" t="s">
        <v>123</v>
      </c>
      <c r="E3" s="94" t="s">
        <v>97</v>
      </c>
      <c r="F3" s="94" t="s">
        <v>98</v>
      </c>
      <c r="G3" s="94" t="s">
        <v>99</v>
      </c>
    </row>
    <row r="4" spans="1:14" x14ac:dyDescent="0.25">
      <c r="A4" s="166"/>
      <c r="E4" s="95">
        <f>EOMONTH(Assumptions!G3,11)</f>
        <v>44286</v>
      </c>
      <c r="F4" s="95">
        <f>EOMONTH(E4,12)</f>
        <v>44651</v>
      </c>
      <c r="G4" s="95">
        <f>EOMONTH(F4,12)</f>
        <v>45016</v>
      </c>
    </row>
    <row r="5" spans="1:14" x14ac:dyDescent="0.25">
      <c r="A5" s="139" t="s">
        <v>144</v>
      </c>
    </row>
    <row r="6" spans="1:14" x14ac:dyDescent="0.25">
      <c r="A6" s="170" t="s">
        <v>147</v>
      </c>
      <c r="E6" s="77">
        <f>'Annual Pand L'!E32</f>
        <v>-2392277.4520769073</v>
      </c>
      <c r="F6" s="77">
        <f>'Annual Pand L'!F32</f>
        <v>3095144.5624816557</v>
      </c>
      <c r="G6" s="77">
        <f>'Annual Pand L'!G32</f>
        <v>13833728.376321448</v>
      </c>
    </row>
    <row r="7" spans="1:14" x14ac:dyDescent="0.25">
      <c r="A7" s="170" t="s">
        <v>148</v>
      </c>
      <c r="E7" s="77">
        <f>'Annual Pand L'!E31</f>
        <v>1241589.0410958903</v>
      </c>
      <c r="F7" s="77">
        <f>'Annual Pand L'!F31</f>
        <v>2078761.6438356163</v>
      </c>
      <c r="G7" s="77">
        <f>'Annual Pand L'!G31</f>
        <v>1766947.397260274</v>
      </c>
    </row>
    <row r="8" spans="1:14" x14ac:dyDescent="0.25">
      <c r="A8" s="7" t="s">
        <v>149</v>
      </c>
      <c r="E8" s="77">
        <f>SUM(E6:E7)</f>
        <v>-1150688.4109810169</v>
      </c>
      <c r="F8" s="77">
        <f t="shared" ref="F8:G8" si="0">SUM(F6:F7)</f>
        <v>5173906.206317272</v>
      </c>
      <c r="G8" s="77">
        <f t="shared" si="0"/>
        <v>15600675.773581723</v>
      </c>
    </row>
    <row r="9" spans="1:14" x14ac:dyDescent="0.25">
      <c r="A9" s="170" t="s">
        <v>63</v>
      </c>
      <c r="E9" s="77">
        <f>'Working Capital'!E19</f>
        <v>951426.72465629922</v>
      </c>
      <c r="F9" s="77">
        <f>'Working Capital'!F19</f>
        <v>-2307116.3553734864</v>
      </c>
      <c r="G9" s="77">
        <f>'Working Capital'!G19</f>
        <v>2540990.0748335649</v>
      </c>
    </row>
    <row r="10" spans="1:14" x14ac:dyDescent="0.25">
      <c r="A10" s="7" t="s">
        <v>150</v>
      </c>
      <c r="E10" s="77">
        <f>E8+E9</f>
        <v>-199261.68632471771</v>
      </c>
      <c r="F10" s="77">
        <f t="shared" ref="F10:G10" si="1">SUM(F8:F9)</f>
        <v>2866789.8509437856</v>
      </c>
      <c r="G10" s="77">
        <f t="shared" si="1"/>
        <v>18141665.848415289</v>
      </c>
    </row>
    <row r="11" spans="1:14" x14ac:dyDescent="0.25">
      <c r="A11" s="139" t="s">
        <v>145</v>
      </c>
    </row>
    <row r="12" spans="1:14" x14ac:dyDescent="0.25">
      <c r="A12" s="170" t="s">
        <v>151</v>
      </c>
      <c r="E12" s="77">
        <f>-Table3[[#This Row],[Column5]]</f>
        <v>-1000000</v>
      </c>
      <c r="F12" s="77">
        <v>0</v>
      </c>
      <c r="G12" s="77">
        <v>0</v>
      </c>
    </row>
    <row r="13" spans="1:14" x14ac:dyDescent="0.25">
      <c r="A13" s="170" t="s">
        <v>152</v>
      </c>
      <c r="E13" s="77">
        <f>-Table3[[#This Row],[Column5]]</f>
        <v>-2400000</v>
      </c>
      <c r="F13" s="77">
        <v>0</v>
      </c>
      <c r="G13" s="77">
        <v>0</v>
      </c>
    </row>
    <row r="14" spans="1:14" x14ac:dyDescent="0.25">
      <c r="A14" s="7" t="s">
        <v>153</v>
      </c>
      <c r="E14" s="77">
        <f>SUM(E12:E13)</f>
        <v>-3400000</v>
      </c>
      <c r="F14" s="77">
        <f t="shared" ref="F14:G14" si="2">SUM(F12:F13)</f>
        <v>0</v>
      </c>
      <c r="G14" s="77">
        <f t="shared" si="2"/>
        <v>0</v>
      </c>
    </row>
    <row r="15" spans="1:14" x14ac:dyDescent="0.25">
      <c r="A15" s="139" t="s">
        <v>146</v>
      </c>
    </row>
    <row r="16" spans="1:14" x14ac:dyDescent="0.25">
      <c r="A16" s="170" t="s">
        <v>154</v>
      </c>
      <c r="E16" s="77">
        <f>Table3[[#This Row],[Column5]]</f>
        <v>0</v>
      </c>
      <c r="F16" s="77">
        <v>0</v>
      </c>
      <c r="G16" s="77">
        <v>0</v>
      </c>
      <c r="N16" s="77" t="s">
        <v>143</v>
      </c>
    </row>
    <row r="17" spans="1:7" x14ac:dyDescent="0.25">
      <c r="A17" s="170" t="s">
        <v>156</v>
      </c>
      <c r="E17" s="77">
        <f>E16</f>
        <v>0</v>
      </c>
      <c r="F17" s="77">
        <f t="shared" ref="F17:G17" si="3">F16</f>
        <v>0</v>
      </c>
      <c r="G17" s="77">
        <f t="shared" si="3"/>
        <v>0</v>
      </c>
    </row>
    <row r="18" spans="1:7" x14ac:dyDescent="0.25">
      <c r="A18" s="7" t="s">
        <v>155</v>
      </c>
      <c r="E18" s="77">
        <f>E17+E14+E10</f>
        <v>-3599261.6863247175</v>
      </c>
      <c r="F18" s="77">
        <f t="shared" ref="F18:G18" si="4">F17+F14+F10</f>
        <v>2866789.8509437856</v>
      </c>
      <c r="G18" s="77">
        <f t="shared" si="4"/>
        <v>18141665.848415289</v>
      </c>
    </row>
    <row r="19" spans="1:7" x14ac:dyDescent="0.25">
      <c r="A19" s="7" t="s">
        <v>157</v>
      </c>
      <c r="E19" s="77">
        <v>0</v>
      </c>
      <c r="F19" s="77">
        <f>E20</f>
        <v>-3599261.6863247175</v>
      </c>
      <c r="G19" s="77">
        <f>F20</f>
        <v>-732471.83538093185</v>
      </c>
    </row>
    <row r="20" spans="1:7" ht="15.75" thickBot="1" x14ac:dyDescent="0.3">
      <c r="A20" s="169" t="s">
        <v>158</v>
      </c>
      <c r="B20" s="167"/>
      <c r="C20" s="167"/>
      <c r="D20" s="167"/>
      <c r="E20" s="168">
        <f>E18+E19</f>
        <v>-3599261.6863247175</v>
      </c>
      <c r="F20" s="168">
        <f>F18+F19</f>
        <v>-732471.83538093185</v>
      </c>
      <c r="G20" s="168">
        <f t="shared" ref="G20" si="5">G18+G19</f>
        <v>17409194.013034359</v>
      </c>
    </row>
    <row r="21" spans="1:7" ht="15.75" thickTop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TWSS</vt:lpstr>
      <vt:lpstr>Assumptions</vt:lpstr>
      <vt:lpstr>Monthly Revenue</vt:lpstr>
      <vt:lpstr>Monthly P and L</vt:lpstr>
      <vt:lpstr>Capital Structure</vt:lpstr>
      <vt:lpstr>Fixed Asset schedule</vt:lpstr>
      <vt:lpstr>Working Capital</vt:lpstr>
      <vt:lpstr>Annual Pand L</vt:lpstr>
      <vt:lpstr>Cash Flow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2015-06-05T18:17:20Z</dcterms:created>
  <dcterms:modified xsi:type="dcterms:W3CDTF">2023-08-04T06:15:28Z</dcterms:modified>
</cp:coreProperties>
</file>