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calcChain.xml><?xml version="1.0" encoding="utf-8"?>
<calcChain xmlns="http://schemas.openxmlformats.org/spreadsheetml/2006/main">
  <c r="I27" i="5" l="1"/>
  <c r="J27" i="5"/>
  <c r="I28" i="5"/>
  <c r="J28" i="5"/>
  <c r="I29" i="5"/>
  <c r="J29" i="5"/>
  <c r="I30" i="5"/>
  <c r="J30" i="5"/>
  <c r="I31" i="5"/>
  <c r="J31" i="5"/>
  <c r="I32" i="5"/>
  <c r="J32" i="5"/>
  <c r="I33" i="5"/>
  <c r="J33" i="5"/>
  <c r="I34" i="5"/>
  <c r="J34" i="5"/>
  <c r="I35" i="5"/>
  <c r="J35" i="5"/>
  <c r="I36" i="5"/>
  <c r="J36" i="5"/>
  <c r="I37" i="5"/>
  <c r="J37" i="5"/>
  <c r="I38" i="5"/>
  <c r="J38" i="5"/>
  <c r="I39" i="5"/>
  <c r="J39" i="5"/>
  <c r="I40" i="5"/>
  <c r="J40" i="5"/>
  <c r="I41" i="5"/>
  <c r="J41" i="5"/>
  <c r="F44" i="5"/>
  <c r="E57" i="3"/>
  <c r="E58" i="3"/>
  <c r="E66" i="3"/>
  <c r="N143" i="3" s="1"/>
  <c r="E67" i="3"/>
  <c r="E68" i="3"/>
  <c r="F84" i="3"/>
  <c r="Q84" i="3" s="1"/>
  <c r="M84" i="3"/>
  <c r="F85" i="3"/>
  <c r="Q85" i="3" s="1"/>
  <c r="F86" i="3"/>
  <c r="Q86" i="3" s="1"/>
  <c r="G95" i="3"/>
  <c r="T100" i="3" s="1"/>
  <c r="T131" i="3" s="1"/>
  <c r="G96" i="3"/>
  <c r="G99" i="3"/>
  <c r="R85" i="3" s="1"/>
  <c r="G100" i="3"/>
  <c r="M100" i="3"/>
  <c r="S100" i="3"/>
  <c r="M102" i="3"/>
  <c r="G103" i="3"/>
  <c r="R86" i="3" s="1"/>
  <c r="G104" i="3"/>
  <c r="M104" i="3"/>
  <c r="D87" i="7"/>
  <c r="L63" i="7" a="1"/>
  <c r="L63" i="7" s="1"/>
  <c r="K63" i="7" a="1"/>
  <c r="K63" i="7" s="1"/>
  <c r="N63" i="7" s="1"/>
  <c r="F63" i="7"/>
  <c r="G63" i="7" s="1"/>
  <c r="L62" i="7" a="1"/>
  <c r="L62" i="7" s="1"/>
  <c r="K62" i="7" a="1"/>
  <c r="K62" i="7" s="1"/>
  <c r="N62" i="7" s="1"/>
  <c r="G62" i="7"/>
  <c r="F62" i="7"/>
  <c r="L61" i="7" a="1"/>
  <c r="L61" i="7" s="1"/>
  <c r="K61" i="7" a="1"/>
  <c r="K61" i="7" s="1"/>
  <c r="N61" i="7" s="1"/>
  <c r="F61" i="7"/>
  <c r="G61" i="7" s="1"/>
  <c r="L60" i="7" a="1"/>
  <c r="L60" i="7" s="1"/>
  <c r="K60" i="7" a="1"/>
  <c r="K60" i="7" s="1"/>
  <c r="G60" i="7"/>
  <c r="F60" i="7"/>
  <c r="L59" i="7" a="1"/>
  <c r="L59" i="7" s="1"/>
  <c r="K59" i="7"/>
  <c r="N59" i="7" s="1"/>
  <c r="K59" i="7" a="1"/>
  <c r="F59" i="7"/>
  <c r="G59" i="7" s="1"/>
  <c r="L58" i="7" a="1"/>
  <c r="L58" i="7" s="1"/>
  <c r="K58" i="7" a="1"/>
  <c r="K58" i="7" s="1"/>
  <c r="F58" i="7"/>
  <c r="G58" i="7" s="1"/>
  <c r="L57" i="7" a="1"/>
  <c r="L57" i="7" s="1"/>
  <c r="K57" i="7" a="1"/>
  <c r="K57" i="7" s="1"/>
  <c r="F57" i="7"/>
  <c r="G57" i="7" s="1"/>
  <c r="L56" i="7" a="1"/>
  <c r="L56" i="7" s="1"/>
  <c r="K56" i="7" a="1"/>
  <c r="K56" i="7" s="1"/>
  <c r="F56" i="7"/>
  <c r="G56" i="7" s="1"/>
  <c r="L55" i="7" a="1"/>
  <c r="L55" i="7" s="1"/>
  <c r="K55" i="7" a="1"/>
  <c r="K55" i="7" s="1"/>
  <c r="F55" i="7"/>
  <c r="G55" i="7" s="1"/>
  <c r="L54" i="7" a="1"/>
  <c r="L54" i="7" s="1"/>
  <c r="K54" i="7" a="1"/>
  <c r="K54" i="7" s="1"/>
  <c r="F54" i="7"/>
  <c r="G54" i="7" s="1"/>
  <c r="L53" i="7" a="1"/>
  <c r="L53" i="7" s="1"/>
  <c r="K53" i="7" a="1"/>
  <c r="K53" i="7" s="1"/>
  <c r="F53" i="7"/>
  <c r="G53" i="7" s="1"/>
  <c r="L52" i="7" a="1"/>
  <c r="L52" i="7" s="1"/>
  <c r="K52" i="7" a="1"/>
  <c r="K52" i="7" s="1"/>
  <c r="F52" i="7"/>
  <c r="G52" i="7" s="1"/>
  <c r="L51" i="7" a="1"/>
  <c r="L51" i="7" s="1"/>
  <c r="K51" i="7" a="1"/>
  <c r="K51" i="7" s="1"/>
  <c r="F51" i="7"/>
  <c r="G51" i="7" s="1"/>
  <c r="L50" i="7" a="1"/>
  <c r="L50" i="7" s="1"/>
  <c r="K50" i="7" a="1"/>
  <c r="K50" i="7" s="1"/>
  <c r="F50" i="7"/>
  <c r="G50" i="7" s="1"/>
  <c r="L49" i="7" a="1"/>
  <c r="L49" i="7" s="1"/>
  <c r="K49" i="7" a="1"/>
  <c r="K49" i="7" s="1"/>
  <c r="F49" i="7"/>
  <c r="G74" i="7" s="1"/>
  <c r="H36" i="7"/>
  <c r="K29" i="7"/>
  <c r="F29" i="7"/>
  <c r="C29" i="7"/>
  <c r="C28" i="7"/>
  <c r="E16" i="7" s="1"/>
  <c r="D23" i="6"/>
  <c r="E23" i="6" s="1"/>
  <c r="F23" i="6" s="1"/>
  <c r="E22" i="6"/>
  <c r="F22" i="6" s="1"/>
  <c r="D22" i="6"/>
  <c r="D21" i="6"/>
  <c r="E21" i="6" s="1"/>
  <c r="G10" i="6"/>
  <c r="P85" i="4"/>
  <c r="N104" i="4" s="1"/>
  <c r="Q65" i="4"/>
  <c r="Q64" i="4"/>
  <c r="S49" i="4"/>
  <c r="K49" i="4"/>
  <c r="P82" i="4" s="1"/>
  <c r="K47" i="4"/>
  <c r="I122" i="2"/>
  <c r="G109" i="2"/>
  <c r="G10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S133" i="3" l="1"/>
  <c r="S131" i="3"/>
  <c r="N133" i="3"/>
  <c r="S86" i="3"/>
  <c r="S84" i="3"/>
  <c r="T102" i="3"/>
  <c r="T133" i="3" s="1"/>
  <c r="S85" i="3"/>
  <c r="S87" i="3" s="1"/>
  <c r="S119" i="3"/>
  <c r="S102" i="3"/>
  <c r="S118" i="3"/>
  <c r="N91" i="3"/>
  <c r="N146" i="3" s="1"/>
  <c r="R84" i="3"/>
  <c r="S117" i="3"/>
  <c r="T101" i="3"/>
  <c r="T132" i="3" s="1"/>
  <c r="U131" i="3"/>
  <c r="U100" i="3"/>
  <c r="S132" i="3"/>
  <c r="G49" i="7"/>
  <c r="E102" i="7" s="1"/>
  <c r="N54" i="7"/>
  <c r="E15" i="7"/>
  <c r="N49" i="7"/>
  <c r="N51" i="7"/>
  <c r="N53" i="7"/>
  <c r="N55" i="7"/>
  <c r="N57" i="7"/>
  <c r="F51" i="5"/>
  <c r="I45" i="5"/>
  <c r="I44" i="5"/>
  <c r="F52" i="5" s="1"/>
  <c r="F53" i="5" s="1"/>
  <c r="E60" i="5"/>
  <c r="E63" i="5" s="1"/>
  <c r="E64" i="5" s="1"/>
  <c r="Q67" i="4"/>
  <c r="N148" i="3"/>
  <c r="N150" i="3"/>
  <c r="N109" i="3"/>
  <c r="M159" i="3" s="1"/>
  <c r="M161" i="3"/>
  <c r="S101" i="3"/>
  <c r="E11" i="7"/>
  <c r="E12" i="7"/>
  <c r="N56" i="7"/>
  <c r="N50" i="7"/>
  <c r="N58" i="7"/>
  <c r="N52" i="7"/>
  <c r="N60" i="7"/>
  <c r="E13" i="7"/>
  <c r="E14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C26" i="6"/>
  <c r="G22" i="6" s="1"/>
  <c r="F21" i="6"/>
  <c r="G21" i="6" s="1"/>
  <c r="J55" i="4"/>
  <c r="L58" i="4" s="1"/>
  <c r="L88" i="4"/>
  <c r="J110" i="4" s="1"/>
  <c r="Q100" i="4"/>
  <c r="L101" i="4" s="1"/>
  <c r="J112" i="4" s="1"/>
  <c r="K67" i="4"/>
  <c r="M69" i="4" s="1"/>
  <c r="O119" i="2"/>
  <c r="O124" i="2"/>
  <c r="O120" i="2"/>
  <c r="O125" i="2"/>
  <c r="O127" i="2"/>
  <c r="O126" i="2"/>
  <c r="O121" i="2"/>
  <c r="F130" i="2"/>
  <c r="O122" i="2"/>
  <c r="O118" i="2"/>
  <c r="O123" i="2"/>
  <c r="S120" i="3" l="1"/>
  <c r="N123" i="3" s="1"/>
  <c r="M157" i="3"/>
  <c r="U133" i="3"/>
  <c r="U101" i="3"/>
  <c r="N127" i="3"/>
  <c r="U132" i="3"/>
  <c r="U134" i="3" s="1"/>
  <c r="N125" i="3"/>
  <c r="U102" i="3"/>
  <c r="F28" i="7"/>
  <c r="K28" i="7"/>
  <c r="C27" i="6"/>
  <c r="G23" i="6"/>
  <c r="G24" i="6" s="1"/>
  <c r="F26" i="6" s="1"/>
  <c r="C29" i="6" s="1"/>
  <c r="C30" i="6" s="1"/>
  <c r="J108" i="4"/>
  <c r="J109" i="4" s="1"/>
  <c r="J121" i="2"/>
  <c r="F121" i="2" s="1"/>
  <c r="U103" i="3" l="1"/>
  <c r="D34" i="6"/>
  <c r="C34" i="6"/>
  <c r="F141" i="2"/>
  <c r="F158" i="2"/>
  <c r="F156" i="2"/>
</calcChain>
</file>

<file path=xl/sharedStrings.xml><?xml version="1.0" encoding="utf-8"?>
<sst xmlns="http://schemas.openxmlformats.org/spreadsheetml/2006/main" count="364" uniqueCount="299">
  <si>
    <t>Student</t>
  </si>
  <si>
    <t>Name</t>
  </si>
  <si>
    <t>Height(y)</t>
  </si>
  <si>
    <t xml:space="preserve">(yi-Y.bar)^2 </t>
  </si>
  <si>
    <t>a) calculate the population mean (Y.bar) and varince (sigma.square) and mean square error(s.square)</t>
  </si>
  <si>
    <t>Alom</t>
  </si>
  <si>
    <t>b) Enumaret all possible samples of size two by using SRSWOR</t>
  </si>
  <si>
    <t>Asad</t>
  </si>
  <si>
    <t xml:space="preserve">         i)  Show that sample mean give an unbiased estimate of population mean and find its sampling variance </t>
  </si>
  <si>
    <t>Momin</t>
  </si>
  <si>
    <t xml:space="preserve">        ii) Show that sample varince sample varince is an unbiased estimate of population variance </t>
  </si>
  <si>
    <t>Ali</t>
  </si>
  <si>
    <t xml:space="preserve">        iii) </t>
  </si>
  <si>
    <t>Ripon</t>
  </si>
  <si>
    <t>c) comments on your finding</t>
  </si>
  <si>
    <t>Kalam</t>
  </si>
  <si>
    <t>a)</t>
  </si>
  <si>
    <t>Population mean</t>
  </si>
  <si>
    <t>Population variance</t>
  </si>
  <si>
    <t>Mean  square error</t>
  </si>
  <si>
    <t>Y.bar</t>
  </si>
  <si>
    <t>cm</t>
  </si>
  <si>
    <t>Sigma.E</t>
  </si>
  <si>
    <t>cm^2</t>
  </si>
  <si>
    <t>MSE</t>
  </si>
  <si>
    <t xml:space="preserve">cm^2 </t>
  </si>
  <si>
    <t>b)</t>
  </si>
  <si>
    <t xml:space="preserve">No. of all possible samples by using SRSWOR will be, </t>
  </si>
  <si>
    <t>=</t>
  </si>
  <si>
    <t>for sample size n=2 ,which is drawn by using SRSWOR from a population of size 6</t>
  </si>
  <si>
    <t>Sample mean</t>
  </si>
  <si>
    <t>Sample variance</t>
  </si>
  <si>
    <t>Now, all the possible samples of size 2 and other related statitics are given below:</t>
  </si>
  <si>
    <t>sample unit</t>
  </si>
  <si>
    <t>SL</t>
  </si>
  <si>
    <t>Sample Unit</t>
  </si>
  <si>
    <t>Height(cm),yi</t>
  </si>
  <si>
    <t>y.bar</t>
  </si>
  <si>
    <t>s.square</t>
  </si>
  <si>
    <t>Height</t>
  </si>
  <si>
    <t>(1,2)</t>
  </si>
  <si>
    <t>(1,3)</t>
  </si>
  <si>
    <t>(1,4)</t>
  </si>
  <si>
    <t>(1,5)</t>
  </si>
  <si>
    <t>(1,6)</t>
  </si>
  <si>
    <t>(2,3)</t>
  </si>
  <si>
    <t>(2,4)</t>
  </si>
  <si>
    <t>(2,5)</t>
  </si>
  <si>
    <t>(2,6)</t>
  </si>
  <si>
    <t>(3,4)</t>
  </si>
  <si>
    <t>(3,5)</t>
  </si>
  <si>
    <t>(3,6)</t>
  </si>
  <si>
    <t>(4,5)</t>
  </si>
  <si>
    <t>(4,6)</t>
  </si>
  <si>
    <t>(5,6)</t>
  </si>
  <si>
    <t xml:space="preserve">i) </t>
  </si>
  <si>
    <t xml:space="preserve">we have to show that </t>
  </si>
  <si>
    <t xml:space="preserve">here </t>
  </si>
  <si>
    <t xml:space="preserve">we obtain in (a) that population mean </t>
  </si>
  <si>
    <t>;</t>
  </si>
  <si>
    <t>hence, we can say sample mean gives unbiased estimate of population mean</t>
  </si>
  <si>
    <t xml:space="preserve">and sampling variance is </t>
  </si>
  <si>
    <t>ii)</t>
  </si>
  <si>
    <t>here</t>
  </si>
  <si>
    <t>Since,</t>
  </si>
  <si>
    <t xml:space="preserve">hence we can say Sampling varience is an unbiased estimate of population variance </t>
  </si>
  <si>
    <t>iii)</t>
  </si>
  <si>
    <t xml:space="preserve">Here ,  unbiased estimator is, </t>
  </si>
  <si>
    <t xml:space="preserve">we obtail in (i) sampling variance </t>
  </si>
  <si>
    <t>Now</t>
  </si>
  <si>
    <t>therefore,</t>
  </si>
  <si>
    <t>(showed)</t>
  </si>
  <si>
    <t xml:space="preserve">SI </t>
  </si>
  <si>
    <t>Area</t>
  </si>
  <si>
    <t>a) Select a SRSWOR sample of size n=10</t>
  </si>
  <si>
    <t xml:space="preserve">b) Estimate the average net area sown per year from the selected samples </t>
  </si>
  <si>
    <t>c) Estimate the variance of the estimate of the average  net area sown</t>
  </si>
  <si>
    <t>d) Estimate the total area sown during the study period</t>
  </si>
  <si>
    <t xml:space="preserve">e) Estimate the variance of the estimate of total area </t>
  </si>
  <si>
    <t>f) Find 95% CI of the average net area sown</t>
  </si>
  <si>
    <t>g) Comment on your overall finding</t>
  </si>
  <si>
    <t>Taking a sample by using SRSWOR of size, n=10</t>
  </si>
  <si>
    <t>SI</t>
  </si>
  <si>
    <t>Rand</t>
  </si>
  <si>
    <t xml:space="preserve">these are the SRSOWR samples of size 10 </t>
  </si>
  <si>
    <t>for our given problem</t>
  </si>
  <si>
    <t>the estimate of th avearge net area sown per year from our selected sample is :</t>
  </si>
  <si>
    <t>(in hect)</t>
  </si>
  <si>
    <t>c)</t>
  </si>
  <si>
    <t>Estimate the variance of the estimator,</t>
  </si>
  <si>
    <t xml:space="preserve">here, </t>
  </si>
  <si>
    <t>Where,</t>
  </si>
  <si>
    <t>(yi-y.bar)^2</t>
  </si>
  <si>
    <t>(in hect)^2</t>
  </si>
  <si>
    <t xml:space="preserve">(in hect)^2 </t>
  </si>
  <si>
    <t>d)</t>
  </si>
  <si>
    <t xml:space="preserve">Estimate the total area sown is given by </t>
  </si>
  <si>
    <t>e)</t>
  </si>
  <si>
    <t>Estimate the variance of the estimate of total area sown is given by :</t>
  </si>
  <si>
    <t>f)</t>
  </si>
  <si>
    <t>95% CI for the average net area sown is given by:</t>
  </si>
  <si>
    <t>(-)  a</t>
  </si>
  <si>
    <t>(+)  b</t>
  </si>
  <si>
    <t xml:space="preserve">Table: Expediture (in '00 rupes) on insectisides used </t>
  </si>
  <si>
    <t>Larger Farm</t>
  </si>
  <si>
    <t>Medium farm</t>
  </si>
  <si>
    <t>Small Farm</t>
  </si>
  <si>
    <t>a) Compute the overall population mean and population mean square (S^2)</t>
  </si>
  <si>
    <t>b)Calculate a stratified sample of size 24 farmers by using</t>
  </si>
  <si>
    <t xml:space="preserve">   i) equal allocation</t>
  </si>
  <si>
    <t xml:space="preserve">  ii) Propotional Allocation</t>
  </si>
  <si>
    <t xml:space="preserve">  ii) Neyman allocation </t>
  </si>
  <si>
    <t xml:space="preserve">work out the relative efficiency of stratified sample mean based on each of the avobe mentioned </t>
  </si>
  <si>
    <t xml:space="preserve"> allocation with respect to the SRS mean for the sam esample size. Assume that the sampling is WOR</t>
  </si>
  <si>
    <t>According to given problem :</t>
  </si>
  <si>
    <t xml:space="preserve">Population mean </t>
  </si>
  <si>
    <t>in'00 rupes</t>
  </si>
  <si>
    <t xml:space="preserve">Population mean square </t>
  </si>
  <si>
    <t>(in'00 rupes)^2</t>
  </si>
  <si>
    <t xml:space="preserve">for the given problem we have </t>
  </si>
  <si>
    <t>N</t>
  </si>
  <si>
    <t>n</t>
  </si>
  <si>
    <t>N1</t>
  </si>
  <si>
    <t>N2</t>
  </si>
  <si>
    <t xml:space="preserve">N3 </t>
  </si>
  <si>
    <t>h</t>
  </si>
  <si>
    <t xml:space="preserve">Population proportion for hth stratum </t>
  </si>
  <si>
    <t>i)</t>
  </si>
  <si>
    <t>For equal Allocation</t>
  </si>
  <si>
    <t>Nh</t>
  </si>
  <si>
    <t>nh</t>
  </si>
  <si>
    <t>Wh</t>
  </si>
  <si>
    <t>Sh^2</t>
  </si>
  <si>
    <t>Calculation</t>
  </si>
  <si>
    <t>Total</t>
  </si>
  <si>
    <t>Variance</t>
  </si>
  <si>
    <t>population variance for hth stratum</t>
  </si>
  <si>
    <t xml:space="preserve">ii) </t>
  </si>
  <si>
    <t>Proportional allocation</t>
  </si>
  <si>
    <t>According to proportional allocation we know,</t>
  </si>
  <si>
    <t>S^2h</t>
  </si>
  <si>
    <t>Neyman allocation</t>
  </si>
  <si>
    <t xml:space="preserve">According to proportional allocation </t>
  </si>
  <si>
    <t xml:space="preserve">Percent relative efficiency </t>
  </si>
  <si>
    <t>Variance for SRS</t>
  </si>
  <si>
    <t>RE for equal allocation compared to SRS</t>
  </si>
  <si>
    <t>&gt;1</t>
  </si>
  <si>
    <t>RE for Proportional allocation compared to SRS</t>
  </si>
  <si>
    <t>RE for neyman allocation compared to SRS</t>
  </si>
  <si>
    <t>Gain in efficiency as compared to SRS</t>
  </si>
  <si>
    <t>GE fo equal allocation</t>
  </si>
  <si>
    <t>Ge for proportional allocation</t>
  </si>
  <si>
    <t>GE for Neyman allocation</t>
  </si>
  <si>
    <t>SI of Village</t>
  </si>
  <si>
    <t>y</t>
  </si>
  <si>
    <t>x</t>
  </si>
  <si>
    <t>a) Estimate the land area cultivate for jute using ratio and regression methods of estimation</t>
  </si>
  <si>
    <t>b) Estimate the variance of your estimators using avobe two methods</t>
  </si>
  <si>
    <t xml:space="preserve">c) Calculate the gain in efficiency of ration and regression estimators compared to simple estimator </t>
  </si>
  <si>
    <t>d) comment on your finding</t>
  </si>
  <si>
    <t xml:space="preserve">we are given </t>
  </si>
  <si>
    <t>auxiliary information =X=</t>
  </si>
  <si>
    <t>population mean of auxiliary variable is ,</t>
  </si>
  <si>
    <t>Sample mean for cultivate jute is,</t>
  </si>
  <si>
    <t>Sample mean for jute growers</t>
  </si>
  <si>
    <t>Ratio Method</t>
  </si>
  <si>
    <t xml:space="preserve">the estimate mean of area cultiavte for jute is </t>
  </si>
  <si>
    <t>Estimate Total land area cultivate for jute ,</t>
  </si>
  <si>
    <t>acres</t>
  </si>
  <si>
    <t xml:space="preserve">Regression method </t>
  </si>
  <si>
    <t>the estimate mean of area cultivate for jute is:</t>
  </si>
  <si>
    <t>where,</t>
  </si>
  <si>
    <t xml:space="preserve">estimate total land area for jute is </t>
  </si>
  <si>
    <t>Ratio method</t>
  </si>
  <si>
    <t>estimate the variance of the estimator</t>
  </si>
  <si>
    <t>Regression method</t>
  </si>
  <si>
    <t>where</t>
  </si>
  <si>
    <t>Gain in efficiency</t>
  </si>
  <si>
    <t xml:space="preserve">Variance of simple  estimator </t>
  </si>
  <si>
    <t>RE of Ratio</t>
  </si>
  <si>
    <t xml:space="preserve">gain in efficiency of ratio estimator </t>
  </si>
  <si>
    <t xml:space="preserve">gain in efficiency of regression estimator </t>
  </si>
  <si>
    <t>Cluster</t>
  </si>
  <si>
    <t>1st tree</t>
  </si>
  <si>
    <t>yi bar</t>
  </si>
  <si>
    <t>yi var</t>
  </si>
  <si>
    <t>Sb^2</t>
  </si>
  <si>
    <t>M</t>
  </si>
  <si>
    <t>Sw^2</t>
  </si>
  <si>
    <t>ybar_cl</t>
  </si>
  <si>
    <t>var(ybar_cl)</t>
  </si>
  <si>
    <t>SE</t>
  </si>
  <si>
    <t>S^2 hat</t>
  </si>
  <si>
    <t>E hat</t>
  </si>
  <si>
    <t>p hat</t>
  </si>
  <si>
    <t>Cluster 1</t>
  </si>
  <si>
    <t>Cluster 2</t>
  </si>
  <si>
    <t>Cluster 3</t>
  </si>
  <si>
    <t>M1</t>
  </si>
  <si>
    <t>M2</t>
  </si>
  <si>
    <t>M3</t>
  </si>
  <si>
    <t>M bar</t>
  </si>
  <si>
    <t>M0</t>
  </si>
  <si>
    <t>A</t>
  </si>
  <si>
    <t>i</t>
  </si>
  <si>
    <t>Mi</t>
  </si>
  <si>
    <t>Mi yi bar</t>
  </si>
  <si>
    <t>Mi yi bar / Mbar</t>
  </si>
  <si>
    <t>(A - ybar cl *)^2</t>
  </si>
  <si>
    <t>Sum</t>
  </si>
  <si>
    <t>ybar cl*</t>
  </si>
  <si>
    <t>Sb^2 *</t>
  </si>
  <si>
    <t>yhat cl*</t>
  </si>
  <si>
    <t>variance</t>
  </si>
  <si>
    <t>CI</t>
  </si>
  <si>
    <r>
      <t>E(v(y ̅ ))=V</t>
    </r>
    <r>
      <rPr>
        <sz val="10.5"/>
        <color rgb="FF000000"/>
        <rFont val="Cambria Math"/>
        <family val="1"/>
      </rPr>
      <t>(y ̅ )</t>
    </r>
  </si>
  <si>
    <t>E(v(y ̅ ))=V(y ̅ )</t>
  </si>
  <si>
    <t xml:space="preserve">  </t>
  </si>
  <si>
    <t>𝐸(𝑠^2 )=𝑆^2</t>
  </si>
  <si>
    <t>E(s^2 )=</t>
  </si>
  <si>
    <t>E(V(y ̅ ))=E[(N-n)/(N.n).S^2 ]</t>
  </si>
  <si>
    <t>=(6-2)/6.2×E[S^2 ]</t>
  </si>
  <si>
    <t>E(V(y ̅ ))=11.46666 cm^2</t>
  </si>
  <si>
    <t>E(V(y ̅ ))=V(y ̅ )=11.46666 cm^2</t>
  </si>
  <si>
    <t>N_(C_n )</t>
  </si>
  <si>
    <t>6_(C_2 )</t>
  </si>
  <si>
    <t>V(y ̅ )=11.46666 cm^2</t>
  </si>
  <si>
    <t>y ̅</t>
  </si>
  <si>
    <t>E(s^2 )=S^2=34.4 cm^2</t>
  </si>
  <si>
    <t>V(y ̅ )=(N-n)/Nn.S^2</t>
  </si>
  <si>
    <t>V(y ̅ )=</t>
  </si>
  <si>
    <t>V ̂(y ̅ )=(N-n)/(N∗n).S^2</t>
  </si>
  <si>
    <t>V ̂(y ̅ )=</t>
  </si>
  <si>
    <t>Y ̂=N∗y ̅</t>
  </si>
  <si>
    <t>V ̂(y ̂ )=V ̂(N.y ̅ )=N^2.V ̂(y ̅ )</t>
  </si>
  <si>
    <t>C.I=y ̅±Z_(α/2) √(V ̂(y ̅ ) )</t>
  </si>
  <si>
    <t xml:space="preserve">        =y ̅±Z_(α/2) √(V ̂(y ̅ ) )</t>
  </si>
  <si>
    <t>V ̂(y ̅)</t>
  </si>
  <si>
    <t>Y ̅=</t>
  </si>
  <si>
    <t>S^2=</t>
  </si>
  <si>
    <t>n_h=24/3=</t>
  </si>
  <si>
    <t>X ̅=</t>
  </si>
  <si>
    <t>(y_R ) ̅=</t>
  </si>
  <si>
    <t>(y_R ) ̅  ̂</t>
  </si>
  <si>
    <t xml:space="preserve">x ̅=1/30 ∑_(i=1)^30▒x_i </t>
  </si>
  <si>
    <t>(y_R ) ̅=y ̅/x ̅  X ̅</t>
  </si>
  <si>
    <t>y ̅_ir=y ̅+b(X ̅-x ̅)</t>
  </si>
  <si>
    <t>y ̅_ir=</t>
  </si>
  <si>
    <t>S_xy</t>
  </si>
  <si>
    <t>S_x^2</t>
  </si>
  <si>
    <t>b=S_xy/(S_x^2 )</t>
  </si>
  <si>
    <t>(y_R ) ̅</t>
  </si>
  <si>
    <t>V((y_R ) ̂ )=N^2.V ̂((y_R ) ̅)</t>
  </si>
  <si>
    <t xml:space="preserve">=N^2∗(N-n)/Nn(S_y^2+R ̂^2 S_x^2-2R ̂S_xy) </t>
  </si>
  <si>
    <t>V((y_R ) ̂ )=</t>
  </si>
  <si>
    <t xml:space="preserve">R ̂=y ̅/x ̅ </t>
  </si>
  <si>
    <t>S_y^2</t>
  </si>
  <si>
    <t>(y_lr ) ̅</t>
  </si>
  <si>
    <t>V((y_lr ) ̂ )=N^2.(N-n)/Nn (1-ρ ̅ )^2</t>
  </si>
  <si>
    <t>ρ ̅=S_yx/(S_x S_y )</t>
  </si>
  <si>
    <t>V(y ̂)=N^2.(N-n)/Nn S_y^2</t>
  </si>
  <si>
    <t>e_hat=(S_hat^2)/(MS_b hat^2)</t>
  </si>
  <si>
    <t>S_hat2=MN−11​[N(m−1)Sw2​+(N−1)MSb2​]</t>
  </si>
  <si>
    <t>Sw2​=N(m−1)1​i=1∑N​j=1∑m​(yij​−yˉ​i​)2</t>
  </si>
  <si>
    <t>A pilot sample survey for study of cultivation practices and yield of guava was conducted by IASRI in India. From Umerpur Neerna village, out of a total of 412 bearing trees, 15 clusters of size 4 trees each were selected and yield(in kg) recorded as given below:</t>
  </si>
  <si>
    <t>a)Estimate the average yield (in kg) per tree of guava in the Umerpur Neerna village along with standard error.</t>
  </si>
  <si>
    <t>b) Estimate the intra cluster correlation coefficient between trees within clusters and efficiency of cluster sampling as compared to SRS sampling.</t>
  </si>
  <si>
    <t>c) Comments on your findings.</t>
  </si>
  <si>
    <r>
      <t>2</t>
    </r>
    <r>
      <rPr>
        <b/>
        <vertAlign val="superscript"/>
        <sz val="11"/>
        <color theme="1"/>
        <rFont val="Times New Roman"/>
        <family val="1"/>
      </rPr>
      <t>nd</t>
    </r>
    <r>
      <rPr>
        <b/>
        <sz val="11"/>
        <color theme="1"/>
        <rFont val="Times New Roman"/>
        <family val="1"/>
      </rPr>
      <t xml:space="preserve"> tree</t>
    </r>
  </si>
  <si>
    <r>
      <t>3</t>
    </r>
    <r>
      <rPr>
        <b/>
        <vertAlign val="superscript"/>
        <sz val="11"/>
        <color theme="1"/>
        <rFont val="Times New Roman"/>
        <family val="1"/>
      </rPr>
      <t>rd</t>
    </r>
    <r>
      <rPr>
        <b/>
        <sz val="11"/>
        <color theme="1"/>
        <rFont val="Times New Roman"/>
        <family val="1"/>
      </rPr>
      <t xml:space="preserve">  tree</t>
    </r>
  </si>
  <si>
    <r>
      <t>4</t>
    </r>
    <r>
      <rPr>
        <b/>
        <vertAlign val="superscript"/>
        <sz val="11"/>
        <color theme="1"/>
        <rFont val="Times New Roman"/>
        <family val="1"/>
      </rPr>
      <t>th</t>
    </r>
    <r>
      <rPr>
        <b/>
        <sz val="11"/>
        <color theme="1"/>
        <rFont val="Times New Roman"/>
        <family val="1"/>
      </rPr>
      <t xml:space="preserve"> tree</t>
    </r>
  </si>
  <si>
    <t>Wh=N_h/N</t>
  </si>
  <si>
    <t>W_1=</t>
  </si>
  <si>
    <t>W_2=</t>
  </si>
  <si>
    <t>W_3=</t>
  </si>
  <si>
    <t>n_h=n/h</t>
  </si>
  <si>
    <t>n_1=n_2=n_3=8</t>
  </si>
  <si>
    <t>S_3^2=1/(N_3-1) [∑_(i=1)^(N_3)〖y_3i^2  -N_3 (〖(y_3 ) ̅) 〗^2   〗]</t>
  </si>
  <si>
    <t>S_2^2=1/(N_2-1) [∑_(i=1)^(N_2)〖y_2i^2  -N_2 (〖(y_2 ) ̅) 〗^2   〗]</t>
  </si>
  <si>
    <t>V(y ̅ )_prp=∑_(h=1)^3[W_h^2 ] ((N_h-n_h)/(N_h n_h )) S_h^2</t>
  </si>
  <si>
    <t>n_h=n/(∑〖N_h S_h 〗)∗N_h S_h</t>
  </si>
  <si>
    <t xml:space="preserve">Y ̅=1/N ∑_(i=1)^80 y_i =1/80 ∑_(i=1)^80 y_i </t>
  </si>
  <si>
    <t>∑_(i=1)^30 x_i =</t>
  </si>
  <si>
    <t xml:space="preserve">y ̅=1/30 ∑_(i=1)^30 y_i </t>
  </si>
  <si>
    <t xml:space="preserve">S^2=1/(n-1) ∑_(i=1)^n (y_i-y ̅ )^2 </t>
  </si>
  <si>
    <t xml:space="preserve">y ̅=1/n ∑_(i=1)^n y_i ⇒y ̅=1/10 ∑_(i=1)^10 y_i </t>
  </si>
  <si>
    <t>E(s^2 )=∑_(i=1)^15 s^2  .p(s^2)</t>
  </si>
  <si>
    <t>E(y ̅ )=∑_(i=1)^15 [〖y ̅_i.p(y ̅_i)]</t>
  </si>
  <si>
    <t>E(y ̅ )=1/15 ∑_(i=1)^15〖[(y ̅_1+y ̅_2+…+y ̅_15)]</t>
  </si>
  <si>
    <t>E(s^2 )=1/15  ∑_(i=1)^15[s^2  ]</t>
  </si>
  <si>
    <t xml:space="preserve">S_n^2=1/(N_n-1) ∑_(i=1)^(N_n) (y_(n_i )-(Y_n ) ̅  )^2 </t>
  </si>
  <si>
    <t>S_1^2=1/(N_1-1) [∑_(i=1)^(N_1)〖y_1i^2  -N_1 ([〖(y_1 ) ̅) 〗^2   ]]</t>
  </si>
  <si>
    <t>V(y ̅ )_eq=∑_(h=1)^3 W_h^2  ((N_h-n_h)/(N_h n_h )) S_h^2</t>
  </si>
  <si>
    <t>S^2=1/(N-1 ) [∑_(i=1)^N y_i^2 -1/N (∑_(i=1)^N[[y_i  ])^2 ]</t>
  </si>
  <si>
    <t xml:space="preserve">(y ̅ )=1/2 ∑_(i=1)^2 y_i </t>
  </si>
  <si>
    <t xml:space="preserve">s^2=1/(2-1) ∑_(i=1)^2 (y_i-Y ̅ )^2 </t>
  </si>
  <si>
    <t xml:space="preserve">(Y ̅ )=1/N ∑_(i=1)^N y_i </t>
  </si>
  <si>
    <t xml:space="preserve">σ^2=1/N ∑_(i=1)^N (y_i-Y ̅ )^2    </t>
  </si>
  <si>
    <t>S^2=1/(N-1) ∑_(i=1)^N (y_i-Y ̅ )^2 =N/(N-1) σ^2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</si>
</sst>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mbria Math"/>
      <family val="1"/>
    </font>
    <font>
      <sz val="10.5"/>
      <color rgb="FF000000"/>
      <name val="Cambria Math"/>
      <family val="1"/>
    </font>
    <font>
      <sz val="11"/>
      <color theme="1"/>
      <name val="Cambria Math"/>
      <family val="1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Fill="1" applyBorder="1"/>
    <xf numFmtId="0" fontId="0" fillId="0" borderId="0" xfId="0" applyNumberFormat="1" applyFill="1"/>
    <xf numFmtId="0" fontId="4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/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left"/>
    </xf>
    <xf numFmtId="0" fontId="11" fillId="0" borderId="0" xfId="0" applyFont="1"/>
    <xf numFmtId="0" fontId="3" fillId="0" borderId="0" xfId="0" applyNumberFormat="1" applyFont="1" applyFill="1" applyAlignment="1">
      <alignment vertical="center"/>
    </xf>
    <xf numFmtId="0" fontId="9" fillId="0" borderId="0" xfId="0" applyNumberFormat="1" applyFont="1"/>
    <xf numFmtId="0" fontId="5" fillId="0" borderId="0" xfId="0" applyNumberFormat="1" applyFont="1" applyFill="1" applyAlignment="1">
      <alignment vertical="center"/>
    </xf>
    <xf numFmtId="0" fontId="6" fillId="0" borderId="0" xfId="0" applyNumberFormat="1" applyFont="1" applyFill="1"/>
    <xf numFmtId="0" fontId="0" fillId="0" borderId="0" xfId="0" applyNumberFormat="1" applyFill="1" applyAlignment="1">
      <alignment horizontal="right"/>
    </xf>
    <xf numFmtId="0" fontId="7" fillId="0" borderId="0" xfId="0" applyNumberFormat="1" applyFont="1" applyFill="1"/>
    <xf numFmtId="0" fontId="8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8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 wrapText="1"/>
    </xf>
    <xf numFmtId="0" fontId="7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1" applyNumberFormat="1" applyFont="1" applyFill="1"/>
    <xf numFmtId="0" fontId="13" fillId="0" borderId="0" xfId="0" applyNumberFormat="1" applyFont="1" applyFill="1" applyAlignment="1">
      <alignment horizontal="center" vertical="center"/>
    </xf>
    <xf numFmtId="0" fontId="16" fillId="0" borderId="0" xfId="0" applyFont="1" applyFill="1" applyBorder="1"/>
    <xf numFmtId="0" fontId="14" fillId="0" borderId="0" xfId="0" applyFont="1" applyFill="1" applyBorder="1" applyAlignment="1">
      <alignment vertical="center" wrapText="1"/>
    </xf>
    <xf numFmtId="0" fontId="17" fillId="0" borderId="0" xfId="0" applyFont="1" applyBorder="1"/>
    <xf numFmtId="0" fontId="16" fillId="0" borderId="0" xfId="0" applyFont="1" applyFill="1" applyBorder="1" applyAlignment="1">
      <alignment vertical="center" wrapText="1"/>
    </xf>
    <xf numFmtId="0" fontId="18" fillId="0" borderId="0" xfId="0" applyFont="1" applyFill="1" applyBorder="1"/>
    <xf numFmtId="0" fontId="0" fillId="0" borderId="0" xfId="0" applyFill="1" applyBorder="1" applyAlignment="1"/>
    <xf numFmtId="0" fontId="7" fillId="0" borderId="0" xfId="0" applyFont="1" applyFill="1" applyBorder="1" applyAlignment="1">
      <alignment horizontal="center"/>
    </xf>
    <xf numFmtId="0" fontId="0" fillId="0" borderId="0" xfId="0" applyNumberForma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/>
    <xf numFmtId="0" fontId="6" fillId="0" borderId="0" xfId="0" applyFont="1" applyFill="1" applyBorder="1" applyAlignment="1">
      <alignment vertical="center"/>
    </xf>
    <xf numFmtId="9" fontId="0" fillId="0" borderId="0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7</xdr:row>
      <xdr:rowOff>180975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540A4C40-4263-439A-8EE6-A41A018760F6}"/>
            </a:ext>
          </a:extLst>
        </xdr:cNvPr>
        <xdr:cNvSpPr txBox="1"/>
      </xdr:nvSpPr>
      <xdr:spPr>
        <a:xfrm>
          <a:off x="6759575" y="1470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28575</xdr:colOff>
      <xdr:row>67</xdr:row>
      <xdr:rowOff>15875</xdr:rowOff>
    </xdr:from>
    <xdr:ext cx="596189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xmlns="" id="{A5931110-8AF4-488B-BC8E-551345A43289}"/>
                </a:ext>
              </a:extLst>
            </xdr:cNvPr>
            <xdr:cNvSpPr txBox="1"/>
          </xdr:nvSpPr>
          <xdr:spPr>
            <a:xfrm>
              <a:off x="2771775" y="13433425"/>
              <a:ext cx="59618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xmlns:a14="http://schemas.microsoft.com/office/drawing/2010/main" xmlns="" id="{A5931110-8AF4-488B-BC8E-551345A43289}"/>
                </a:ext>
              </a:extLst>
            </xdr:cNvPr>
            <xdr:cNvSpPr txBox="1"/>
          </xdr:nvSpPr>
          <xdr:spPr>
            <a:xfrm>
              <a:off x="2771775" y="13433425"/>
              <a:ext cx="59618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𝐸</a:t>
              </a:r>
              <a:r>
                <a:rPr lang="en-US" sz="1100" b="0" i="0">
                  <a:latin typeface="Cambria Math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en-US" sz="1100" b="0" i="0">
                  <a:latin typeface="Cambria Math"/>
                </a:rPr>
                <a:t> ̅ )</a:t>
              </a:r>
              <a:r>
                <a:rPr lang="en-US" sz="1100" b="0" i="0">
                  <a:latin typeface="Cambria Math" panose="02040503050406030204" pitchFamily="18" charset="0"/>
                </a:rPr>
                <a:t>=𝑌</a:t>
              </a:r>
              <a:r>
                <a:rPr lang="en-US" sz="1100" b="0" i="0">
                  <a:latin typeface="Cambria Math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146050</xdr:colOff>
      <xdr:row>76</xdr:row>
      <xdr:rowOff>19050</xdr:rowOff>
    </xdr:from>
    <xdr:ext cx="538417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xmlns="" id="{5B5BCA06-2160-4E06-B558-D99FA263FD79}"/>
                </a:ext>
              </a:extLst>
            </xdr:cNvPr>
            <xdr:cNvSpPr txBox="1"/>
          </xdr:nvSpPr>
          <xdr:spPr>
            <a:xfrm>
              <a:off x="3714750" y="15093950"/>
              <a:ext cx="5384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latin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=174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xmlns:a14="http://schemas.microsoft.com/office/drawing/2010/main" xmlns="" id="{5B5BCA06-2160-4E06-B558-D99FA263FD79}"/>
                </a:ext>
              </a:extLst>
            </xdr:cNvPr>
            <xdr:cNvSpPr txBox="1"/>
          </xdr:nvSpPr>
          <xdr:spPr>
            <a:xfrm>
              <a:off x="3714750" y="15093950"/>
              <a:ext cx="5384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en-US" sz="1100" b="0" i="0">
                  <a:latin typeface="Cambria Math"/>
                </a:rPr>
                <a:t> ̅</a:t>
              </a:r>
              <a:r>
                <a:rPr lang="en-US" sz="1100" b="0" i="0">
                  <a:latin typeface="Cambria Math" panose="02040503050406030204" pitchFamily="18" charset="0"/>
                </a:rPr>
                <a:t>=174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196850</xdr:colOff>
      <xdr:row>76</xdr:row>
      <xdr:rowOff>19050</xdr:rowOff>
    </xdr:from>
    <xdr:ext cx="1014252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xmlns="" id="{BC706C54-3DDE-4BF8-AE64-C6BFB57E47C2}"/>
                </a:ext>
              </a:extLst>
            </xdr:cNvPr>
            <xdr:cNvSpPr txBox="1"/>
          </xdr:nvSpPr>
          <xdr:spPr>
            <a:xfrm>
              <a:off x="4591050" y="15093950"/>
              <a:ext cx="1014252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=174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BC706C54-3DDE-4BF8-AE64-C6BFB57E47C2}"/>
                </a:ext>
              </a:extLst>
            </xdr:cNvPr>
            <xdr:cNvSpPr txBox="1"/>
          </xdr:nvSpPr>
          <xdr:spPr>
            <a:xfrm>
              <a:off x="4591050" y="15093950"/>
              <a:ext cx="1014252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𝐸</a:t>
              </a:r>
              <a:r>
                <a:rPr lang="en-US" sz="1100" b="0" i="0">
                  <a:latin typeface="Cambria Math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en-US" sz="1100" b="0" i="0">
                  <a:latin typeface="Cambria Math"/>
                </a:rPr>
                <a:t> ̅ )</a:t>
              </a:r>
              <a:r>
                <a:rPr lang="en-US" sz="1100" b="0" i="0">
                  <a:latin typeface="Cambria Math" panose="02040503050406030204" pitchFamily="18" charset="0"/>
                </a:rPr>
                <a:t>=𝑌</a:t>
              </a:r>
              <a:r>
                <a:rPr lang="en-US" sz="1100" b="0" i="0">
                  <a:latin typeface="Cambria Math"/>
                </a:rPr>
                <a:t> ̅</a:t>
              </a:r>
              <a:r>
                <a:rPr lang="en-US" sz="1100" b="0" i="0">
                  <a:latin typeface="Cambria Math" panose="02040503050406030204" pitchFamily="18" charset="0"/>
                </a:rPr>
                <a:t>=174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119</xdr:row>
      <xdr:rowOff>98425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B2E0B44D-E86D-49CC-A05B-0DBD21CB3D99}"/>
            </a:ext>
          </a:extLst>
        </xdr:cNvPr>
        <xdr:cNvSpPr txBox="1"/>
      </xdr:nvSpPr>
      <xdr:spPr>
        <a:xfrm>
          <a:off x="2486025" y="25225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27191</xdr:colOff>
      <xdr:row>95</xdr:row>
      <xdr:rowOff>149305</xdr:rowOff>
    </xdr:from>
    <xdr:ext cx="663323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xmlns="" id="{7DD259A0-D84F-4471-83EC-4CCD6C5E6E08}"/>
                </a:ext>
              </a:extLst>
            </xdr:cNvPr>
            <xdr:cNvSpPr txBox="1"/>
          </xdr:nvSpPr>
          <xdr:spPr>
            <a:xfrm>
              <a:off x="10491991" y="20443905"/>
              <a:ext cx="663323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xmlns:a14="http://schemas.microsoft.com/office/drawing/2010/main" xmlns="" id="{7DD259A0-D84F-4471-83EC-4CCD6C5E6E08}"/>
                </a:ext>
              </a:extLst>
            </xdr:cNvPr>
            <xdr:cNvSpPr txBox="1"/>
          </xdr:nvSpPr>
          <xdr:spPr>
            <a:xfrm>
              <a:off x="10491991" y="20443905"/>
              <a:ext cx="663323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ℎ=𝑛</a:t>
              </a:r>
              <a:r>
                <a:rPr lang="en-US" sz="1100" b="0" i="0">
                  <a:latin typeface="Cambria Math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r>
                <a:rPr lang="en-US" sz="1100" b="0" i="0">
                  <a:latin typeface="Cambria Math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99</xdr:row>
      <xdr:rowOff>0</xdr:rowOff>
    </xdr:from>
    <xdr:ext cx="3195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xmlns="" id="{002D06AB-DAC1-459F-95CD-185AB59E8429}"/>
                </a:ext>
              </a:extLst>
            </xdr:cNvPr>
            <xdr:cNvSpPr txBox="1"/>
          </xdr:nvSpPr>
          <xdr:spPr>
            <a:xfrm>
              <a:off x="7740650" y="21037550"/>
              <a:ext cx="3195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xmlns:a14="http://schemas.microsoft.com/office/drawing/2010/main" xmlns="" id="{002D06AB-DAC1-459F-95CD-185AB59E8429}"/>
                </a:ext>
              </a:extLst>
            </xdr:cNvPr>
            <xdr:cNvSpPr txBox="1"/>
          </xdr:nvSpPr>
          <xdr:spPr>
            <a:xfrm>
              <a:off x="7740650" y="21037550"/>
              <a:ext cx="3195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24049</xdr:colOff>
      <xdr:row>100</xdr:row>
      <xdr:rowOff>159155</xdr:rowOff>
    </xdr:from>
    <xdr:ext cx="3227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xmlns="" id="{C51C9659-1F72-46E7-906C-9BE43707EE1E}"/>
                </a:ext>
              </a:extLst>
            </xdr:cNvPr>
            <xdr:cNvSpPr txBox="1"/>
          </xdr:nvSpPr>
          <xdr:spPr>
            <a:xfrm>
              <a:off x="7764699" y="21380855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xmlns:a14="http://schemas.microsoft.com/office/drawing/2010/main" xmlns="" id="{C51C9659-1F72-46E7-906C-9BE43707EE1E}"/>
                </a:ext>
              </a:extLst>
            </xdr:cNvPr>
            <xdr:cNvSpPr txBox="1"/>
          </xdr:nvSpPr>
          <xdr:spPr>
            <a:xfrm>
              <a:off x="7764699" y="21380855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34587</xdr:colOff>
      <xdr:row>102</xdr:row>
      <xdr:rowOff>162939</xdr:rowOff>
    </xdr:from>
    <xdr:ext cx="3227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xmlns="" id="{5766AC59-63DD-4CBE-A1FD-C9C1D04561E2}"/>
                </a:ext>
              </a:extLst>
            </xdr:cNvPr>
            <xdr:cNvSpPr txBox="1"/>
          </xdr:nvSpPr>
          <xdr:spPr>
            <a:xfrm>
              <a:off x="7775237" y="21759289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xmlns:a14="http://schemas.microsoft.com/office/drawing/2010/main" xmlns="" id="{5766AC59-63DD-4CBE-A1FD-C9C1D04561E2}"/>
                </a:ext>
              </a:extLst>
            </xdr:cNvPr>
            <xdr:cNvSpPr txBox="1"/>
          </xdr:nvSpPr>
          <xdr:spPr>
            <a:xfrm>
              <a:off x="7775237" y="21759289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122</xdr:row>
      <xdr:rowOff>0</xdr:rowOff>
    </xdr:from>
    <xdr:ext cx="3195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xmlns="" id="{8B996A01-A3B8-4FE3-BC7B-030C91A67879}"/>
                </a:ext>
              </a:extLst>
            </xdr:cNvPr>
            <xdr:cNvSpPr txBox="1"/>
          </xdr:nvSpPr>
          <xdr:spPr>
            <a:xfrm>
              <a:off x="8959850" y="25298400"/>
              <a:ext cx="3195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xmlns:a14="http://schemas.microsoft.com/office/drawing/2010/main" xmlns="" id="{8B996A01-A3B8-4FE3-BC7B-030C91A67879}"/>
                </a:ext>
              </a:extLst>
            </xdr:cNvPr>
            <xdr:cNvSpPr txBox="1"/>
          </xdr:nvSpPr>
          <xdr:spPr>
            <a:xfrm>
              <a:off x="8959850" y="25298400"/>
              <a:ext cx="3195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124</xdr:row>
      <xdr:rowOff>0</xdr:rowOff>
    </xdr:from>
    <xdr:ext cx="3227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xmlns="" id="{3CB341E2-B6EC-4BC8-8EDA-23FA83E4FDB8}"/>
                </a:ext>
              </a:extLst>
            </xdr:cNvPr>
            <xdr:cNvSpPr txBox="1"/>
          </xdr:nvSpPr>
          <xdr:spPr>
            <a:xfrm>
              <a:off x="8959850" y="25673050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xmlns:a14="http://schemas.microsoft.com/office/drawing/2010/main" xmlns="" id="{3CB341E2-B6EC-4BC8-8EDA-23FA83E4FDB8}"/>
                </a:ext>
              </a:extLst>
            </xdr:cNvPr>
            <xdr:cNvSpPr txBox="1"/>
          </xdr:nvSpPr>
          <xdr:spPr>
            <a:xfrm>
              <a:off x="8959850" y="25673050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126</xdr:row>
      <xdr:rowOff>0</xdr:rowOff>
    </xdr:from>
    <xdr:ext cx="3227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xmlns="" id="{C8858C9E-D714-4596-A43F-982F60E8F610}"/>
                </a:ext>
              </a:extLst>
            </xdr:cNvPr>
            <xdr:cNvSpPr txBox="1"/>
          </xdr:nvSpPr>
          <xdr:spPr>
            <a:xfrm>
              <a:off x="8959850" y="26047700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xmlns:a14="http://schemas.microsoft.com/office/drawing/2010/main" xmlns="" id="{C8858C9E-D714-4596-A43F-982F60E8F610}"/>
                </a:ext>
              </a:extLst>
            </xdr:cNvPr>
            <xdr:cNvSpPr txBox="1"/>
          </xdr:nvSpPr>
          <xdr:spPr>
            <a:xfrm>
              <a:off x="8959850" y="26047700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122775</xdr:colOff>
      <xdr:row>116</xdr:row>
      <xdr:rowOff>4125</xdr:rowOff>
    </xdr:from>
    <xdr:ext cx="3161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xmlns="" id="{3001BF20-5E1E-4A5E-BD0A-D4ED38E76085}"/>
                </a:ext>
              </a:extLst>
            </xdr:cNvPr>
            <xdr:cNvSpPr txBox="1"/>
          </xdr:nvSpPr>
          <xdr:spPr>
            <a:xfrm>
              <a:off x="12416375" y="24184925"/>
              <a:ext cx="316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xmlns:a14="http://schemas.microsoft.com/office/drawing/2010/main" xmlns="" id="{3001BF20-5E1E-4A5E-BD0A-D4ED38E76085}"/>
                </a:ext>
              </a:extLst>
            </xdr:cNvPr>
            <xdr:cNvSpPr txBox="1"/>
          </xdr:nvSpPr>
          <xdr:spPr>
            <a:xfrm>
              <a:off x="12416375" y="24184925"/>
              <a:ext cx="316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106293</xdr:colOff>
      <xdr:row>117</xdr:row>
      <xdr:rowOff>7908</xdr:rowOff>
    </xdr:from>
    <xdr:ext cx="3226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xmlns="" id="{8EB7B762-CBFC-4027-9576-EBB1883F0CDA}"/>
                </a:ext>
              </a:extLst>
            </xdr:cNvPr>
            <xdr:cNvSpPr txBox="1"/>
          </xdr:nvSpPr>
          <xdr:spPr>
            <a:xfrm>
              <a:off x="12399893" y="24379208"/>
              <a:ext cx="322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xmlns:a14="http://schemas.microsoft.com/office/drawing/2010/main" xmlns="" id="{8EB7B762-CBFC-4027-9576-EBB1883F0CDA}"/>
                </a:ext>
              </a:extLst>
            </xdr:cNvPr>
            <xdr:cNvSpPr txBox="1"/>
          </xdr:nvSpPr>
          <xdr:spPr>
            <a:xfrm>
              <a:off x="12399893" y="24379208"/>
              <a:ext cx="322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121597</xdr:colOff>
      <xdr:row>118</xdr:row>
      <xdr:rowOff>13511</xdr:rowOff>
    </xdr:from>
    <xdr:ext cx="3226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xmlns="" id="{6E08FD42-663C-4CCB-BDAE-D1DE890895DB}"/>
                </a:ext>
              </a:extLst>
            </xdr:cNvPr>
            <xdr:cNvSpPr txBox="1"/>
          </xdr:nvSpPr>
          <xdr:spPr>
            <a:xfrm>
              <a:off x="12415197" y="24568961"/>
              <a:ext cx="322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xmlns:a14="http://schemas.microsoft.com/office/drawing/2010/main" xmlns="" id="{6E08FD42-663C-4CCB-BDAE-D1DE890895DB}"/>
                </a:ext>
              </a:extLst>
            </xdr:cNvPr>
            <xdr:cNvSpPr txBox="1"/>
          </xdr:nvSpPr>
          <xdr:spPr>
            <a:xfrm>
              <a:off x="12415197" y="24568961"/>
              <a:ext cx="322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555115</xdr:colOff>
      <xdr:row>118</xdr:row>
      <xdr:rowOff>182393</xdr:rowOff>
    </xdr:from>
    <xdr:ext cx="547329" cy="351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xmlns="" id="{2D003096-1A47-4D3E-AB23-19D02060F385}"/>
                </a:ext>
              </a:extLst>
            </xdr:cNvPr>
            <xdr:cNvSpPr txBox="1"/>
          </xdr:nvSpPr>
          <xdr:spPr>
            <a:xfrm>
              <a:off x="12239115" y="24737843"/>
              <a:ext cx="547329" cy="351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b>
                            <m:r>
                              <a:rPr lang="en-US" sz="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</m:t>
                            </m:r>
                          </m:sub>
                        </m:sSub>
                        <m:sSub>
                          <m:sSubPr>
                            <m:ctrlPr>
                              <a:rPr lang="en-US" sz="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n-US" sz="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6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xmlns:a14="http://schemas.microsoft.com/office/drawing/2010/main" xmlns="" id="{2D003096-1A47-4D3E-AB23-19D02060F385}"/>
                </a:ext>
              </a:extLst>
            </xdr:cNvPr>
            <xdr:cNvSpPr txBox="1"/>
          </xdr:nvSpPr>
          <xdr:spPr>
            <a:xfrm>
              <a:off x="12239115" y="24737843"/>
              <a:ext cx="547329" cy="351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∑▒〖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</a:t>
              </a:r>
              <a:endParaRPr lang="en-US" sz="6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166687</xdr:colOff>
      <xdr:row>93</xdr:row>
      <xdr:rowOff>174626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:a14="http://schemas.microsoft.com/office/drawing/2010/main" xmlns:mc="http://schemas.openxmlformats.org/markup-compatibility/2006" xmlns="" id="{8788CDE9-AFA7-4722-BFB0-DBEAC7AC7AE0}"/>
            </a:ext>
          </a:extLst>
        </xdr:cNvPr>
        <xdr:cNvSpPr txBox="1"/>
      </xdr:nvSpPr>
      <xdr:spPr>
        <a:xfrm>
          <a:off x="7227887" y="200882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abSelected="1" zoomScaleNormal="100" workbookViewId="0">
      <selection activeCell="D6" sqref="D6"/>
    </sheetView>
  </sheetViews>
  <sheetFormatPr defaultRowHeight="14.5" x14ac:dyDescent="0.35"/>
  <cols>
    <col min="1" max="2" width="8.7265625" style="2"/>
    <col min="3" max="3" width="10" style="2" customWidth="1"/>
    <col min="4" max="5" width="11.81640625" style="2" bestFit="1" customWidth="1"/>
    <col min="6" max="6" width="11.81640625" style="2" customWidth="1"/>
    <col min="7" max="7" width="8.7265625" style="2"/>
    <col min="8" max="8" width="8" style="2" customWidth="1"/>
    <col min="9" max="16384" width="8.7265625" style="2"/>
  </cols>
  <sheetData>
    <row r="1" spans="1:18" ht="14.5" customHeight="1" x14ac:dyDescent="0.35">
      <c r="A1" s="11"/>
      <c r="B1" s="11"/>
      <c r="C1" s="11"/>
      <c r="D1" s="11"/>
      <c r="E1" s="11"/>
    </row>
    <row r="2" spans="1:18" ht="14.5" customHeight="1" x14ac:dyDescent="0.35">
      <c r="A2" s="11"/>
      <c r="B2" s="11"/>
      <c r="C2" s="11"/>
      <c r="D2" s="11"/>
      <c r="E2" s="11"/>
    </row>
    <row r="4" spans="1:18" ht="14.5" customHeight="1" x14ac:dyDescent="4.8499999999999996">
      <c r="A4" s="3"/>
      <c r="B4" s="3"/>
      <c r="C4" s="3"/>
      <c r="D4" s="3"/>
      <c r="E4" s="3"/>
      <c r="F4" s="3"/>
      <c r="G4" s="3"/>
      <c r="H4" s="3"/>
      <c r="R4" s="12" t="s">
        <v>215</v>
      </c>
    </row>
    <row r="5" spans="1:18" ht="14.5" customHeight="1" x14ac:dyDescent="0.35">
      <c r="A5" s="3"/>
      <c r="B5" s="3"/>
      <c r="C5" s="3"/>
      <c r="D5" s="3"/>
      <c r="E5" s="3"/>
      <c r="F5" s="3"/>
      <c r="G5" s="3"/>
      <c r="H5" s="3"/>
    </row>
    <row r="6" spans="1:18" ht="14.5" customHeight="1" x14ac:dyDescent="0.35">
      <c r="A6" s="3"/>
      <c r="B6" s="3"/>
      <c r="C6" s="3"/>
      <c r="D6" s="3"/>
      <c r="E6" s="3"/>
      <c r="F6" s="3"/>
      <c r="G6" s="3"/>
      <c r="H6" s="3"/>
    </row>
    <row r="7" spans="1:18" ht="14.5" customHeight="1" x14ac:dyDescent="0.35">
      <c r="A7" s="3"/>
      <c r="B7" s="3"/>
      <c r="C7" s="3"/>
      <c r="D7" s="3"/>
      <c r="E7" s="3"/>
      <c r="F7" s="3"/>
      <c r="G7" s="3"/>
      <c r="H7" s="3"/>
    </row>
    <row r="10" spans="1:18" x14ac:dyDescent="0.35">
      <c r="B10" s="2" t="s">
        <v>0</v>
      </c>
      <c r="C10" s="2" t="s">
        <v>1</v>
      </c>
      <c r="D10" s="2" t="s">
        <v>2</v>
      </c>
      <c r="E10" s="2" t="s">
        <v>3</v>
      </c>
      <c r="G10" s="4" t="s">
        <v>4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8" x14ac:dyDescent="0.35">
      <c r="B11" s="7">
        <v>1</v>
      </c>
      <c r="C11" s="7" t="s">
        <v>5</v>
      </c>
      <c r="D11" s="7">
        <v>168</v>
      </c>
      <c r="E11" s="2">
        <f t="shared" ref="E11:E16" si="0">(D11-$C$28)^2</f>
        <v>36</v>
      </c>
      <c r="G11" s="4" t="s">
        <v>6</v>
      </c>
      <c r="H11" s="4"/>
      <c r="I11" s="4"/>
      <c r="J11" s="4"/>
      <c r="K11" s="4"/>
      <c r="L11" s="4"/>
      <c r="M11" s="4"/>
    </row>
    <row r="12" spans="1:18" x14ac:dyDescent="0.35">
      <c r="B12" s="7">
        <v>2</v>
      </c>
      <c r="C12" s="7" t="s">
        <v>7</v>
      </c>
      <c r="D12" s="7">
        <v>175</v>
      </c>
      <c r="E12" s="2">
        <f t="shared" si="0"/>
        <v>1</v>
      </c>
      <c r="G12" s="5" t="s">
        <v>8</v>
      </c>
      <c r="H12" s="5"/>
      <c r="I12" s="5"/>
      <c r="J12" s="5"/>
      <c r="K12" s="5"/>
      <c r="L12" s="5"/>
      <c r="M12" s="5"/>
      <c r="N12" s="5"/>
      <c r="O12" s="5"/>
      <c r="P12" s="5"/>
    </row>
    <row r="13" spans="1:18" x14ac:dyDescent="0.35">
      <c r="B13" s="7">
        <v>3</v>
      </c>
      <c r="C13" s="7" t="s">
        <v>9</v>
      </c>
      <c r="D13" s="7">
        <v>185</v>
      </c>
      <c r="E13" s="2">
        <f t="shared" si="0"/>
        <v>121</v>
      </c>
      <c r="G13" s="4" t="s">
        <v>10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x14ac:dyDescent="0.35">
      <c r="B14" s="7">
        <v>4</v>
      </c>
      <c r="C14" s="7" t="s">
        <v>11</v>
      </c>
      <c r="D14" s="7">
        <v>173</v>
      </c>
      <c r="E14" s="2">
        <f t="shared" si="0"/>
        <v>1</v>
      </c>
      <c r="G14" s="5" t="s">
        <v>12</v>
      </c>
      <c r="H14" s="5" t="s">
        <v>216</v>
      </c>
      <c r="I14" s="5"/>
      <c r="J14" s="5"/>
      <c r="K14" s="5"/>
      <c r="L14" s="5"/>
      <c r="M14" s="5"/>
      <c r="N14" s="5"/>
      <c r="O14" s="5"/>
      <c r="P14" s="5"/>
      <c r="Q14" s="5"/>
    </row>
    <row r="15" spans="1:18" x14ac:dyDescent="0.35">
      <c r="B15" s="7">
        <v>5</v>
      </c>
      <c r="C15" s="7" t="s">
        <v>13</v>
      </c>
      <c r="D15" s="7">
        <v>171</v>
      </c>
      <c r="E15" s="2">
        <f t="shared" si="0"/>
        <v>9</v>
      </c>
      <c r="G15" s="5" t="s">
        <v>14</v>
      </c>
      <c r="H15" s="5"/>
      <c r="I15" s="5"/>
      <c r="J15" s="5"/>
    </row>
    <row r="16" spans="1:18" x14ac:dyDescent="0.35">
      <c r="B16" s="7">
        <v>6</v>
      </c>
      <c r="C16" s="7" t="s">
        <v>15</v>
      </c>
      <c r="D16" s="7">
        <v>172</v>
      </c>
      <c r="E16" s="2">
        <f t="shared" si="0"/>
        <v>4</v>
      </c>
    </row>
    <row r="19" spans="2:12" ht="18.5" x14ac:dyDescent="0.45">
      <c r="B19" s="14" t="s">
        <v>16</v>
      </c>
    </row>
    <row r="21" spans="2:12" x14ac:dyDescent="0.35">
      <c r="B21" s="4" t="s">
        <v>17</v>
      </c>
      <c r="C21" s="4"/>
      <c r="E21" s="5" t="s">
        <v>18</v>
      </c>
      <c r="F21" s="5"/>
      <c r="G21" s="5"/>
      <c r="J21" s="5" t="s">
        <v>19</v>
      </c>
      <c r="K21" s="5"/>
      <c r="L21" s="5"/>
    </row>
    <row r="22" spans="2:12" x14ac:dyDescent="0.35">
      <c r="B22" s="2" t="s">
        <v>296</v>
      </c>
      <c r="E22" s="2" t="s">
        <v>297</v>
      </c>
      <c r="J22" s="2" t="s">
        <v>298</v>
      </c>
    </row>
    <row r="23" spans="2:12" x14ac:dyDescent="0.35">
      <c r="J23" s="2" t="s">
        <v>217</v>
      </c>
    </row>
    <row r="25" spans="2:12" x14ac:dyDescent="0.35">
      <c r="D25" s="15"/>
      <c r="E25" s="6"/>
      <c r="F25" s="6"/>
    </row>
    <row r="28" spans="2:12" x14ac:dyDescent="0.35">
      <c r="B28" s="15" t="s">
        <v>20</v>
      </c>
      <c r="C28" s="7">
        <f>1/6*(SUM(D11:D16))</f>
        <v>174</v>
      </c>
      <c r="D28" s="2" t="s">
        <v>21</v>
      </c>
      <c r="E28" s="9" t="s">
        <v>22</v>
      </c>
      <c r="F28" s="6">
        <f>(1/6)*(SUM(E11:E16))</f>
        <v>28.666666666666664</v>
      </c>
      <c r="G28" s="2" t="s">
        <v>23</v>
      </c>
      <c r="J28" s="2" t="s">
        <v>24</v>
      </c>
      <c r="K28" s="7">
        <f>(1/5)*(SUM(E11:E16))</f>
        <v>34.4</v>
      </c>
      <c r="L28" s="2" t="s">
        <v>25</v>
      </c>
    </row>
    <row r="29" spans="2:12" x14ac:dyDescent="0.35">
      <c r="C29" s="2">
        <f>AVERAGE(D11:D16)</f>
        <v>174</v>
      </c>
      <c r="F29" s="2">
        <f>_xlfn.VAR.P(D11:D16)</f>
        <v>28.666666666666668</v>
      </c>
      <c r="K29" s="2">
        <f>_xlfn.VAR.S(D11:D16)</f>
        <v>34.4</v>
      </c>
    </row>
    <row r="30" spans="2:12" ht="15.5" x14ac:dyDescent="0.35">
      <c r="B30" s="16"/>
    </row>
    <row r="33" spans="2:14" ht="18.5" x14ac:dyDescent="0.45">
      <c r="B33" s="14" t="s">
        <v>26</v>
      </c>
    </row>
    <row r="35" spans="2:14" x14ac:dyDescent="0.35">
      <c r="B35" s="5" t="s">
        <v>27</v>
      </c>
      <c r="C35" s="5"/>
      <c r="D35" s="5"/>
      <c r="E35" s="5"/>
      <c r="F35" s="5" t="s">
        <v>224</v>
      </c>
      <c r="G35" s="8" t="s">
        <v>28</v>
      </c>
      <c r="H35" s="2" t="s">
        <v>225</v>
      </c>
      <c r="I35" s="6" t="s">
        <v>28</v>
      </c>
      <c r="J35" s="9">
        <v>15</v>
      </c>
    </row>
    <row r="36" spans="2:14" x14ac:dyDescent="0.35">
      <c r="H36" s="2">
        <f>COMBIN(6, 2)</f>
        <v>15</v>
      </c>
    </row>
    <row r="37" spans="2:14" x14ac:dyDescent="0.35">
      <c r="B37" s="5" t="s">
        <v>29</v>
      </c>
      <c r="C37" s="5"/>
      <c r="D37" s="5"/>
      <c r="E37" s="5"/>
      <c r="F37" s="5"/>
      <c r="G37" s="5"/>
      <c r="H37" s="5"/>
    </row>
    <row r="39" spans="2:14" x14ac:dyDescent="0.35">
      <c r="C39" s="5" t="s">
        <v>30</v>
      </c>
      <c r="D39" s="5"/>
      <c r="E39" s="2" t="s">
        <v>294</v>
      </c>
      <c r="H39" s="2" t="s">
        <v>294</v>
      </c>
    </row>
    <row r="42" spans="2:14" x14ac:dyDescent="0.35">
      <c r="C42" s="5" t="s">
        <v>31</v>
      </c>
      <c r="D42" s="5"/>
      <c r="E42" s="2" t="s">
        <v>295</v>
      </c>
    </row>
    <row r="45" spans="2:14" x14ac:dyDescent="0.35">
      <c r="B45" s="5" t="s">
        <v>32</v>
      </c>
      <c r="C45" s="5"/>
      <c r="D45" s="5"/>
      <c r="E45" s="5"/>
      <c r="F45" s="5"/>
      <c r="G45" s="5"/>
      <c r="H45" s="5"/>
    </row>
    <row r="47" spans="2:14" x14ac:dyDescent="0.35">
      <c r="I47" s="2" t="s">
        <v>33</v>
      </c>
    </row>
    <row r="48" spans="2:14" x14ac:dyDescent="0.35">
      <c r="B48" s="7" t="s">
        <v>34</v>
      </c>
      <c r="C48" s="17" t="s">
        <v>35</v>
      </c>
      <c r="D48" s="4" t="s">
        <v>36</v>
      </c>
      <c r="E48" s="4"/>
      <c r="F48" s="2" t="s">
        <v>37</v>
      </c>
      <c r="G48" s="2" t="s">
        <v>38</v>
      </c>
      <c r="I48" s="19" t="s">
        <v>33</v>
      </c>
      <c r="J48" s="19"/>
      <c r="K48" s="4" t="s">
        <v>39</v>
      </c>
      <c r="L48" s="4"/>
      <c r="M48" s="2" t="s">
        <v>37</v>
      </c>
      <c r="N48" s="2" t="s">
        <v>38</v>
      </c>
    </row>
    <row r="49" spans="2:14" x14ac:dyDescent="0.35">
      <c r="B49" s="2">
        <v>1</v>
      </c>
      <c r="C49" s="7" t="s">
        <v>40</v>
      </c>
      <c r="D49" s="7">
        <v>168</v>
      </c>
      <c r="E49" s="7">
        <v>175</v>
      </c>
      <c r="F49" s="2">
        <f>(1/2)*(SUM(D49:E49))</f>
        <v>171.5</v>
      </c>
      <c r="G49" s="2">
        <f>(D49-F49)^2+(E49-F49)^2</f>
        <v>24.5</v>
      </c>
      <c r="I49" s="2">
        <v>1</v>
      </c>
      <c r="J49" s="2">
        <v>2</v>
      </c>
      <c r="K49" s="2">
        <f t="array" ref="K49">INDEX($D$11:$D$16, I49)</f>
        <v>168</v>
      </c>
      <c r="L49" s="2">
        <f t="array" ref="L49">INDEX($D$11:$D$16, J49)</f>
        <v>175</v>
      </c>
      <c r="M49" s="2">
        <f>AVERAGE(K49:L49)</f>
        <v>171.5</v>
      </c>
      <c r="N49" s="2">
        <f>_xlfn.VAR.S(K49:L49)</f>
        <v>24.5</v>
      </c>
    </row>
    <row r="50" spans="2:14" x14ac:dyDescent="0.35">
      <c r="B50" s="2">
        <v>2</v>
      </c>
      <c r="C50" s="7" t="s">
        <v>41</v>
      </c>
      <c r="D50" s="7">
        <v>168</v>
      </c>
      <c r="E50" s="7">
        <v>185</v>
      </c>
      <c r="F50" s="2">
        <f t="shared" ref="F50:F63" si="1">(1/2)*(SUM(D50:E50))</f>
        <v>176.5</v>
      </c>
      <c r="G50" s="2">
        <f t="shared" ref="G50:G63" si="2">(D50-F50)^2+(E50-F50)^2</f>
        <v>144.5</v>
      </c>
      <c r="I50" s="2">
        <v>1</v>
      </c>
      <c r="J50" s="2">
        <v>3</v>
      </c>
      <c r="K50" s="2">
        <f t="array" ref="K50">INDEX($D$11:$D$16, I50)</f>
        <v>168</v>
      </c>
      <c r="L50" s="2">
        <f t="array" ref="L50">INDEX($D$11:$D$16, J50)</f>
        <v>185</v>
      </c>
      <c r="M50" s="2">
        <f t="shared" ref="M50:M63" si="3">AVERAGE(K50:L50)</f>
        <v>176.5</v>
      </c>
      <c r="N50" s="2">
        <f t="shared" ref="N50:N63" si="4">_xlfn.VAR.S(K50:L50)</f>
        <v>144.5</v>
      </c>
    </row>
    <row r="51" spans="2:14" x14ac:dyDescent="0.35">
      <c r="B51" s="2">
        <v>3</v>
      </c>
      <c r="C51" s="7" t="s">
        <v>42</v>
      </c>
      <c r="D51" s="7">
        <v>168</v>
      </c>
      <c r="E51" s="7">
        <v>173</v>
      </c>
      <c r="F51" s="2">
        <f t="shared" si="1"/>
        <v>170.5</v>
      </c>
      <c r="G51" s="2">
        <f t="shared" si="2"/>
        <v>12.5</v>
      </c>
      <c r="I51" s="2">
        <v>1</v>
      </c>
      <c r="J51" s="2">
        <v>4</v>
      </c>
      <c r="K51" s="2">
        <f t="array" ref="K51">INDEX($D$11:$D$16, I51)</f>
        <v>168</v>
      </c>
      <c r="L51" s="2">
        <f t="array" ref="L51">INDEX($D$11:$D$16, J51)</f>
        <v>173</v>
      </c>
      <c r="M51" s="2">
        <f t="shared" si="3"/>
        <v>170.5</v>
      </c>
      <c r="N51" s="2">
        <f t="shared" si="4"/>
        <v>12.5</v>
      </c>
    </row>
    <row r="52" spans="2:14" x14ac:dyDescent="0.35">
      <c r="B52" s="2">
        <v>4</v>
      </c>
      <c r="C52" s="7" t="s">
        <v>43</v>
      </c>
      <c r="D52" s="7">
        <v>168</v>
      </c>
      <c r="E52" s="7">
        <v>171</v>
      </c>
      <c r="F52" s="2">
        <f t="shared" si="1"/>
        <v>169.5</v>
      </c>
      <c r="G52" s="2">
        <f t="shared" si="2"/>
        <v>4.5</v>
      </c>
      <c r="I52" s="2">
        <v>1</v>
      </c>
      <c r="J52" s="2">
        <v>5</v>
      </c>
      <c r="K52" s="2">
        <f t="array" ref="K52">INDEX($D$11:$D$16, I52)</f>
        <v>168</v>
      </c>
      <c r="L52" s="2">
        <f t="array" ref="L52">INDEX($D$11:$D$16, J52)</f>
        <v>171</v>
      </c>
      <c r="M52" s="2">
        <f t="shared" si="3"/>
        <v>169.5</v>
      </c>
      <c r="N52" s="2">
        <f t="shared" si="4"/>
        <v>4.5</v>
      </c>
    </row>
    <row r="53" spans="2:14" x14ac:dyDescent="0.35">
      <c r="B53" s="2">
        <v>5</v>
      </c>
      <c r="C53" s="7" t="s">
        <v>44</v>
      </c>
      <c r="D53" s="7">
        <v>168</v>
      </c>
      <c r="E53" s="7">
        <v>172</v>
      </c>
      <c r="F53" s="2">
        <f t="shared" si="1"/>
        <v>170</v>
      </c>
      <c r="G53" s="2">
        <f t="shared" si="2"/>
        <v>8</v>
      </c>
      <c r="I53" s="2">
        <v>1</v>
      </c>
      <c r="J53" s="2">
        <v>6</v>
      </c>
      <c r="K53" s="2">
        <f t="array" ref="K53">INDEX($D$11:$D$16, I53)</f>
        <v>168</v>
      </c>
      <c r="L53" s="2">
        <f t="array" ref="L53">INDEX($D$11:$D$16, J53)</f>
        <v>172</v>
      </c>
      <c r="M53" s="2">
        <f t="shared" si="3"/>
        <v>170</v>
      </c>
      <c r="N53" s="2">
        <f t="shared" si="4"/>
        <v>8</v>
      </c>
    </row>
    <row r="54" spans="2:14" x14ac:dyDescent="0.35">
      <c r="B54" s="2">
        <v>6</v>
      </c>
      <c r="C54" s="7" t="s">
        <v>45</v>
      </c>
      <c r="D54" s="7">
        <v>175</v>
      </c>
      <c r="E54" s="7">
        <v>185</v>
      </c>
      <c r="F54" s="2">
        <f t="shared" si="1"/>
        <v>180</v>
      </c>
      <c r="G54" s="2">
        <f t="shared" si="2"/>
        <v>50</v>
      </c>
      <c r="I54" s="2">
        <v>2</v>
      </c>
      <c r="J54" s="2">
        <v>3</v>
      </c>
      <c r="K54" s="2">
        <f t="array" ref="K54">INDEX($D$11:$D$16, I54)</f>
        <v>175</v>
      </c>
      <c r="L54" s="2">
        <f t="array" ref="L54">INDEX($D$11:$D$16, J54)</f>
        <v>185</v>
      </c>
      <c r="M54" s="2">
        <f t="shared" si="3"/>
        <v>180</v>
      </c>
      <c r="N54" s="2">
        <f t="shared" si="4"/>
        <v>50</v>
      </c>
    </row>
    <row r="55" spans="2:14" x14ac:dyDescent="0.35">
      <c r="B55" s="2">
        <v>7</v>
      </c>
      <c r="C55" s="7" t="s">
        <v>46</v>
      </c>
      <c r="D55" s="7">
        <v>175</v>
      </c>
      <c r="E55" s="7">
        <v>173</v>
      </c>
      <c r="F55" s="2">
        <f t="shared" si="1"/>
        <v>174</v>
      </c>
      <c r="G55" s="2">
        <f t="shared" si="2"/>
        <v>2</v>
      </c>
      <c r="I55" s="2">
        <v>2</v>
      </c>
      <c r="J55" s="2">
        <v>4</v>
      </c>
      <c r="K55" s="2">
        <f t="array" ref="K55">INDEX($D$11:$D$16, I55)</f>
        <v>175</v>
      </c>
      <c r="L55" s="2">
        <f t="array" ref="L55">INDEX($D$11:$D$16, J55)</f>
        <v>173</v>
      </c>
      <c r="M55" s="2">
        <f t="shared" si="3"/>
        <v>174</v>
      </c>
      <c r="N55" s="2">
        <f t="shared" si="4"/>
        <v>2</v>
      </c>
    </row>
    <row r="56" spans="2:14" x14ac:dyDescent="0.35">
      <c r="B56" s="2">
        <v>8</v>
      </c>
      <c r="C56" s="7" t="s">
        <v>47</v>
      </c>
      <c r="D56" s="7">
        <v>175</v>
      </c>
      <c r="E56" s="7">
        <v>171</v>
      </c>
      <c r="F56" s="2">
        <f t="shared" si="1"/>
        <v>173</v>
      </c>
      <c r="G56" s="2">
        <f t="shared" si="2"/>
        <v>8</v>
      </c>
      <c r="I56" s="2">
        <v>2</v>
      </c>
      <c r="J56" s="2">
        <v>5</v>
      </c>
      <c r="K56" s="2">
        <f t="array" ref="K56">INDEX($D$11:$D$16, I56)</f>
        <v>175</v>
      </c>
      <c r="L56" s="2">
        <f t="array" ref="L56">INDEX($D$11:$D$16, J56)</f>
        <v>171</v>
      </c>
      <c r="M56" s="2">
        <f t="shared" si="3"/>
        <v>173</v>
      </c>
      <c r="N56" s="2">
        <f t="shared" si="4"/>
        <v>8</v>
      </c>
    </row>
    <row r="57" spans="2:14" x14ac:dyDescent="0.35">
      <c r="B57" s="2">
        <v>9</v>
      </c>
      <c r="C57" s="7" t="s">
        <v>48</v>
      </c>
      <c r="D57" s="7">
        <v>175</v>
      </c>
      <c r="E57" s="7">
        <v>172</v>
      </c>
      <c r="F57" s="2">
        <f t="shared" si="1"/>
        <v>173.5</v>
      </c>
      <c r="G57" s="2">
        <f t="shared" si="2"/>
        <v>4.5</v>
      </c>
      <c r="I57" s="2">
        <v>2</v>
      </c>
      <c r="J57" s="2">
        <v>6</v>
      </c>
      <c r="K57" s="2">
        <f t="array" ref="K57">INDEX($D$11:$D$16, I57)</f>
        <v>175</v>
      </c>
      <c r="L57" s="2">
        <f t="array" ref="L57">INDEX($D$11:$D$16, J57)</f>
        <v>172</v>
      </c>
      <c r="M57" s="2">
        <f t="shared" si="3"/>
        <v>173.5</v>
      </c>
      <c r="N57" s="2">
        <f t="shared" si="4"/>
        <v>4.5</v>
      </c>
    </row>
    <row r="58" spans="2:14" x14ac:dyDescent="0.35">
      <c r="B58" s="2">
        <v>10</v>
      </c>
      <c r="C58" s="7" t="s">
        <v>49</v>
      </c>
      <c r="D58" s="7">
        <v>185</v>
      </c>
      <c r="E58" s="7">
        <v>173</v>
      </c>
      <c r="F58" s="2">
        <f t="shared" si="1"/>
        <v>179</v>
      </c>
      <c r="G58" s="2">
        <f t="shared" si="2"/>
        <v>72</v>
      </c>
      <c r="I58" s="2">
        <v>3</v>
      </c>
      <c r="J58" s="2">
        <v>4</v>
      </c>
      <c r="K58" s="2">
        <f t="array" ref="K58">INDEX($D$11:$D$16, I58)</f>
        <v>185</v>
      </c>
      <c r="L58" s="2">
        <f t="array" ref="L58">INDEX($D$11:$D$16, J58)</f>
        <v>173</v>
      </c>
      <c r="M58" s="2">
        <f t="shared" si="3"/>
        <v>179</v>
      </c>
      <c r="N58" s="2">
        <f t="shared" si="4"/>
        <v>72</v>
      </c>
    </row>
    <row r="59" spans="2:14" x14ac:dyDescent="0.35">
      <c r="B59" s="2">
        <v>11</v>
      </c>
      <c r="C59" s="7" t="s">
        <v>50</v>
      </c>
      <c r="D59" s="7">
        <v>185</v>
      </c>
      <c r="E59" s="7">
        <v>171</v>
      </c>
      <c r="F59" s="2">
        <f t="shared" si="1"/>
        <v>178</v>
      </c>
      <c r="G59" s="2">
        <f t="shared" si="2"/>
        <v>98</v>
      </c>
      <c r="I59" s="2">
        <v>3</v>
      </c>
      <c r="J59" s="2">
        <v>5</v>
      </c>
      <c r="K59" s="2">
        <f t="array" ref="K59">INDEX($D$11:$D$16, I59)</f>
        <v>185</v>
      </c>
      <c r="L59" s="2">
        <f t="array" ref="L59">INDEX($D$11:$D$16, J59)</f>
        <v>171</v>
      </c>
      <c r="M59" s="2">
        <f t="shared" si="3"/>
        <v>178</v>
      </c>
      <c r="N59" s="2">
        <f t="shared" si="4"/>
        <v>98</v>
      </c>
    </row>
    <row r="60" spans="2:14" x14ac:dyDescent="0.35">
      <c r="B60" s="2">
        <v>12</v>
      </c>
      <c r="C60" s="7" t="s">
        <v>51</v>
      </c>
      <c r="D60" s="7">
        <v>185</v>
      </c>
      <c r="E60" s="7">
        <v>172</v>
      </c>
      <c r="F60" s="2">
        <f t="shared" si="1"/>
        <v>178.5</v>
      </c>
      <c r="G60" s="2">
        <f t="shared" si="2"/>
        <v>84.5</v>
      </c>
      <c r="I60" s="2">
        <v>3</v>
      </c>
      <c r="J60" s="2">
        <v>6</v>
      </c>
      <c r="K60" s="2">
        <f t="array" ref="K60">INDEX($D$11:$D$16, I60)</f>
        <v>185</v>
      </c>
      <c r="L60" s="2">
        <f t="array" ref="L60">INDEX($D$11:$D$16, J60)</f>
        <v>172</v>
      </c>
      <c r="M60" s="2">
        <f t="shared" si="3"/>
        <v>178.5</v>
      </c>
      <c r="N60" s="2">
        <f t="shared" si="4"/>
        <v>84.5</v>
      </c>
    </row>
    <row r="61" spans="2:14" x14ac:dyDescent="0.35">
      <c r="B61" s="2">
        <v>13</v>
      </c>
      <c r="C61" s="7" t="s">
        <v>52</v>
      </c>
      <c r="D61" s="7">
        <v>173</v>
      </c>
      <c r="E61" s="7">
        <v>171</v>
      </c>
      <c r="F61" s="2">
        <f t="shared" si="1"/>
        <v>172</v>
      </c>
      <c r="G61" s="2">
        <f t="shared" si="2"/>
        <v>2</v>
      </c>
      <c r="I61" s="2">
        <v>4</v>
      </c>
      <c r="J61" s="2">
        <v>5</v>
      </c>
      <c r="K61" s="2">
        <f t="array" ref="K61">INDEX($D$11:$D$16, I61)</f>
        <v>173</v>
      </c>
      <c r="L61" s="2">
        <f t="array" ref="L61">INDEX($D$11:$D$16, J61)</f>
        <v>171</v>
      </c>
      <c r="M61" s="2">
        <f t="shared" si="3"/>
        <v>172</v>
      </c>
      <c r="N61" s="2">
        <f t="shared" si="4"/>
        <v>2</v>
      </c>
    </row>
    <row r="62" spans="2:14" x14ac:dyDescent="0.35">
      <c r="B62" s="2">
        <v>14</v>
      </c>
      <c r="C62" s="7" t="s">
        <v>53</v>
      </c>
      <c r="D62" s="7">
        <v>173</v>
      </c>
      <c r="E62" s="7">
        <v>172</v>
      </c>
      <c r="F62" s="2">
        <f t="shared" si="1"/>
        <v>172.5</v>
      </c>
      <c r="G62" s="2">
        <f t="shared" si="2"/>
        <v>0.5</v>
      </c>
      <c r="I62" s="2">
        <v>4</v>
      </c>
      <c r="J62" s="2">
        <v>6</v>
      </c>
      <c r="K62" s="2">
        <f t="array" ref="K62">INDEX($D$11:$D$16, I62)</f>
        <v>173</v>
      </c>
      <c r="L62" s="2">
        <f t="array" ref="L62">INDEX($D$11:$D$16, J62)</f>
        <v>172</v>
      </c>
      <c r="M62" s="2">
        <f t="shared" si="3"/>
        <v>172.5</v>
      </c>
      <c r="N62" s="2">
        <f t="shared" si="4"/>
        <v>0.5</v>
      </c>
    </row>
    <row r="63" spans="2:14" x14ac:dyDescent="0.35">
      <c r="B63" s="2">
        <v>15</v>
      </c>
      <c r="C63" s="7" t="s">
        <v>54</v>
      </c>
      <c r="D63" s="7">
        <v>171</v>
      </c>
      <c r="E63" s="7">
        <v>172</v>
      </c>
      <c r="F63" s="2">
        <f t="shared" si="1"/>
        <v>171.5</v>
      </c>
      <c r="G63" s="2">
        <f t="shared" si="2"/>
        <v>0.5</v>
      </c>
      <c r="I63" s="2">
        <v>5</v>
      </c>
      <c r="J63" s="2">
        <v>6</v>
      </c>
      <c r="K63" s="2">
        <f t="array" ref="K63">INDEX($D$11:$D$16, I63)</f>
        <v>171</v>
      </c>
      <c r="L63" s="2">
        <f t="array" ref="L63">INDEX($D$11:$D$16, J63)</f>
        <v>172</v>
      </c>
      <c r="M63" s="2">
        <f t="shared" si="3"/>
        <v>171.5</v>
      </c>
      <c r="N63" s="2">
        <f t="shared" si="4"/>
        <v>0.5</v>
      </c>
    </row>
    <row r="68" spans="2:9" x14ac:dyDescent="0.35">
      <c r="B68" s="6" t="s">
        <v>55</v>
      </c>
      <c r="C68" s="5" t="s">
        <v>56</v>
      </c>
      <c r="D68" s="5"/>
    </row>
    <row r="70" spans="2:9" x14ac:dyDescent="0.35">
      <c r="C70" s="2" t="s">
        <v>57</v>
      </c>
    </row>
    <row r="71" spans="2:9" x14ac:dyDescent="0.35">
      <c r="D71" s="2" t="s">
        <v>287</v>
      </c>
    </row>
    <row r="74" spans="2:9" x14ac:dyDescent="0.35">
      <c r="D74" s="2" t="s">
        <v>288</v>
      </c>
      <c r="G74" s="2">
        <f>(1/15)*(SUM(F49:F63))</f>
        <v>174</v>
      </c>
      <c r="H74" s="2" t="s">
        <v>21</v>
      </c>
    </row>
    <row r="77" spans="2:9" x14ac:dyDescent="0.35">
      <c r="C77" s="5" t="s">
        <v>58</v>
      </c>
      <c r="D77" s="5"/>
      <c r="E77" s="5"/>
      <c r="F77" s="5"/>
      <c r="G77" s="2" t="s">
        <v>59</v>
      </c>
      <c r="I77" s="2" t="s">
        <v>21</v>
      </c>
    </row>
    <row r="78" spans="2:9" x14ac:dyDescent="0.35">
      <c r="C78" s="5" t="s">
        <v>60</v>
      </c>
      <c r="D78" s="5"/>
      <c r="E78" s="5"/>
      <c r="F78" s="5"/>
      <c r="G78" s="5"/>
      <c r="H78" s="5"/>
      <c r="I78" s="5"/>
    </row>
    <row r="82" spans="2:5" x14ac:dyDescent="0.35">
      <c r="C82" s="2" t="s">
        <v>61</v>
      </c>
    </row>
    <row r="84" spans="2:5" x14ac:dyDescent="0.35">
      <c r="C84" s="2" t="s">
        <v>229</v>
      </c>
    </row>
    <row r="87" spans="2:5" x14ac:dyDescent="0.35">
      <c r="C87" s="2" t="s">
        <v>230</v>
      </c>
      <c r="D87" s="2">
        <f>((6-2)/(6*2))*34.4</f>
        <v>11.466666666666665</v>
      </c>
      <c r="E87" s="2" t="s">
        <v>25</v>
      </c>
    </row>
    <row r="93" spans="2:5" x14ac:dyDescent="0.35">
      <c r="B93" s="6" t="s">
        <v>62</v>
      </c>
      <c r="C93" s="5" t="s">
        <v>56</v>
      </c>
      <c r="D93" s="5"/>
      <c r="E93" s="18" t="s">
        <v>218</v>
      </c>
    </row>
    <row r="95" spans="2:5" x14ac:dyDescent="0.35">
      <c r="C95" s="2" t="s">
        <v>63</v>
      </c>
    </row>
    <row r="96" spans="2:5" x14ac:dyDescent="0.35">
      <c r="D96" s="2" t="s">
        <v>286</v>
      </c>
    </row>
    <row r="99" spans="2:9" x14ac:dyDescent="0.35">
      <c r="D99" s="2" t="s">
        <v>289</v>
      </c>
    </row>
    <row r="102" spans="2:9" x14ac:dyDescent="0.35">
      <c r="D102" s="2" t="s">
        <v>219</v>
      </c>
      <c r="E102" s="9">
        <f>(1/15)*SUM(G49:G63)</f>
        <v>34.4</v>
      </c>
      <c r="F102" s="2" t="s">
        <v>25</v>
      </c>
    </row>
    <row r="106" spans="2:9" x14ac:dyDescent="0.35">
      <c r="C106" s="2" t="s">
        <v>64</v>
      </c>
      <c r="D106" s="2" t="s">
        <v>228</v>
      </c>
    </row>
    <row r="107" spans="2:9" x14ac:dyDescent="0.35">
      <c r="C107" s="5" t="s">
        <v>65</v>
      </c>
      <c r="D107" s="5"/>
      <c r="E107" s="5"/>
      <c r="F107" s="5"/>
      <c r="G107" s="5"/>
      <c r="H107" s="5"/>
      <c r="I107" s="5"/>
    </row>
    <row r="111" spans="2:9" x14ac:dyDescent="0.35">
      <c r="B111" s="6" t="s">
        <v>66</v>
      </c>
    </row>
    <row r="112" spans="2:9" x14ac:dyDescent="0.35">
      <c r="C112" s="4" t="s">
        <v>67</v>
      </c>
      <c r="D112" s="4"/>
      <c r="E112" s="20" t="s">
        <v>227</v>
      </c>
    </row>
    <row r="114" spans="3:7" x14ac:dyDescent="0.35">
      <c r="C114" s="5" t="s">
        <v>68</v>
      </c>
      <c r="D114" s="5"/>
      <c r="E114" s="5"/>
      <c r="F114" s="2" t="s">
        <v>226</v>
      </c>
    </row>
    <row r="117" spans="3:7" x14ac:dyDescent="0.35">
      <c r="C117" s="2" t="s">
        <v>69</v>
      </c>
    </row>
    <row r="118" spans="3:7" x14ac:dyDescent="0.35">
      <c r="D118" s="2" t="s">
        <v>220</v>
      </c>
    </row>
    <row r="120" spans="3:7" x14ac:dyDescent="0.35">
      <c r="D120" s="2" t="s">
        <v>221</v>
      </c>
    </row>
    <row r="122" spans="3:7" x14ac:dyDescent="0.35">
      <c r="D122" s="2" t="s">
        <v>222</v>
      </c>
    </row>
    <row r="126" spans="3:7" x14ac:dyDescent="0.35">
      <c r="C126" s="2" t="s">
        <v>70</v>
      </c>
      <c r="D126" s="5" t="s">
        <v>223</v>
      </c>
      <c r="E126" s="5"/>
      <c r="F126" s="5"/>
      <c r="G126" s="2" t="s">
        <v>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58"/>
  <sheetViews>
    <sheetView topLeftCell="A154" workbookViewId="0">
      <selection activeCell="J6" sqref="J6"/>
    </sheetView>
  </sheetViews>
  <sheetFormatPr defaultRowHeight="14.5" x14ac:dyDescent="0.35"/>
  <cols>
    <col min="1" max="5" width="8.7265625" style="2"/>
    <col min="6" max="6" width="14" style="2" customWidth="1"/>
    <col min="7" max="8" width="8.7265625" style="2"/>
    <col min="9" max="9" width="11.7265625" style="2" bestFit="1" customWidth="1"/>
    <col min="10" max="10" width="12" style="2" customWidth="1"/>
    <col min="11" max="14" width="8.7265625" style="2"/>
    <col min="15" max="15" width="10.1796875" style="2" customWidth="1"/>
    <col min="16" max="16384" width="8.7265625" style="2"/>
  </cols>
  <sheetData>
    <row r="2" spans="3:13" x14ac:dyDescent="0.35">
      <c r="C2" s="7" t="s">
        <v>72</v>
      </c>
      <c r="D2" s="7" t="s">
        <v>73</v>
      </c>
    </row>
    <row r="3" spans="3:13" x14ac:dyDescent="0.35">
      <c r="C3" s="7">
        <v>1</v>
      </c>
      <c r="D3" s="7">
        <v>118746</v>
      </c>
    </row>
    <row r="4" spans="3:13" x14ac:dyDescent="0.35">
      <c r="C4" s="7">
        <v>2</v>
      </c>
      <c r="D4" s="7">
        <v>119400</v>
      </c>
    </row>
    <row r="5" spans="3:13" x14ac:dyDescent="0.35">
      <c r="C5" s="7">
        <v>3</v>
      </c>
      <c r="D5" s="7">
        <v>123442</v>
      </c>
    </row>
    <row r="6" spans="3:13" x14ac:dyDescent="0.35">
      <c r="C6" s="7">
        <v>4</v>
      </c>
      <c r="D6" s="7">
        <v>126806</v>
      </c>
    </row>
    <row r="7" spans="3:13" x14ac:dyDescent="0.35">
      <c r="C7" s="7">
        <v>5</v>
      </c>
      <c r="D7" s="7">
        <v>127845</v>
      </c>
      <c r="F7" s="2" t="s">
        <v>74</v>
      </c>
    </row>
    <row r="8" spans="3:13" x14ac:dyDescent="0.35">
      <c r="C8" s="7">
        <v>6</v>
      </c>
      <c r="D8" s="7">
        <v>129156</v>
      </c>
      <c r="F8" s="5" t="s">
        <v>75</v>
      </c>
      <c r="G8" s="5"/>
      <c r="H8" s="5"/>
      <c r="I8" s="5"/>
      <c r="J8" s="5"/>
      <c r="K8" s="5"/>
      <c r="L8" s="5"/>
      <c r="M8" s="5"/>
    </row>
    <row r="9" spans="3:13" x14ac:dyDescent="0.35">
      <c r="C9" s="7">
        <v>7</v>
      </c>
      <c r="D9" s="7">
        <v>130840</v>
      </c>
      <c r="F9" s="5" t="s">
        <v>76</v>
      </c>
      <c r="G9" s="5"/>
      <c r="H9" s="5"/>
      <c r="I9" s="5"/>
      <c r="J9" s="5"/>
      <c r="K9" s="5"/>
      <c r="L9" s="5"/>
    </row>
    <row r="10" spans="3:13" x14ac:dyDescent="0.35">
      <c r="C10" s="7">
        <v>8</v>
      </c>
      <c r="D10" s="7">
        <v>129080</v>
      </c>
      <c r="F10" s="5" t="s">
        <v>77</v>
      </c>
      <c r="G10" s="5"/>
      <c r="H10" s="5"/>
      <c r="I10" s="5"/>
      <c r="J10" s="5"/>
      <c r="K10" s="5"/>
    </row>
    <row r="11" spans="3:13" x14ac:dyDescent="0.35">
      <c r="C11" s="7">
        <v>9</v>
      </c>
      <c r="D11" s="7">
        <v>131828</v>
      </c>
      <c r="F11" s="5" t="s">
        <v>78</v>
      </c>
      <c r="G11" s="5"/>
      <c r="H11" s="5"/>
      <c r="I11" s="5"/>
      <c r="J11" s="5"/>
      <c r="K11" s="5"/>
    </row>
    <row r="12" spans="3:13" x14ac:dyDescent="0.35">
      <c r="C12" s="7">
        <v>10</v>
      </c>
      <c r="D12" s="7">
        <v>132939</v>
      </c>
      <c r="F12" s="2" t="s">
        <v>79</v>
      </c>
    </row>
    <row r="13" spans="3:13" x14ac:dyDescent="0.35">
      <c r="C13" s="7">
        <v>11</v>
      </c>
      <c r="D13" s="7">
        <v>133199</v>
      </c>
      <c r="F13" s="5" t="s">
        <v>80</v>
      </c>
      <c r="G13" s="5"/>
      <c r="H13" s="5"/>
      <c r="I13" s="5"/>
    </row>
    <row r="14" spans="3:13" x14ac:dyDescent="0.35">
      <c r="C14" s="7">
        <v>12</v>
      </c>
      <c r="D14" s="7">
        <v>135399</v>
      </c>
    </row>
    <row r="15" spans="3:13" x14ac:dyDescent="0.35">
      <c r="C15" s="7">
        <v>13</v>
      </c>
      <c r="D15" s="7">
        <v>136341</v>
      </c>
    </row>
    <row r="16" spans="3:13" x14ac:dyDescent="0.35">
      <c r="C16" s="7">
        <v>14</v>
      </c>
      <c r="D16" s="7">
        <v>136483</v>
      </c>
    </row>
    <row r="17" spans="3:4" x14ac:dyDescent="0.35">
      <c r="C17" s="7">
        <v>15</v>
      </c>
      <c r="D17" s="7">
        <v>132120</v>
      </c>
    </row>
    <row r="18" spans="3:4" x14ac:dyDescent="0.35">
      <c r="C18" s="7">
        <v>16</v>
      </c>
      <c r="D18" s="7">
        <v>136198</v>
      </c>
    </row>
    <row r="19" spans="3:4" x14ac:dyDescent="0.35">
      <c r="C19" s="7">
        <v>17</v>
      </c>
      <c r="D19" s="7">
        <v>137232</v>
      </c>
    </row>
    <row r="20" spans="3:4" x14ac:dyDescent="0.35">
      <c r="C20" s="7">
        <v>18</v>
      </c>
      <c r="D20" s="7">
        <v>138876</v>
      </c>
    </row>
    <row r="21" spans="3:4" x14ac:dyDescent="0.35">
      <c r="C21" s="7">
        <v>19</v>
      </c>
      <c r="D21" s="7">
        <v>137313</v>
      </c>
    </row>
    <row r="22" spans="3:4" x14ac:dyDescent="0.35">
      <c r="C22" s="7">
        <v>20</v>
      </c>
      <c r="D22" s="7">
        <v>138772</v>
      </c>
    </row>
    <row r="23" spans="3:4" x14ac:dyDescent="0.35">
      <c r="C23" s="7">
        <v>21</v>
      </c>
      <c r="D23" s="7">
        <v>140267</v>
      </c>
    </row>
    <row r="24" spans="3:4" x14ac:dyDescent="0.35">
      <c r="C24" s="7">
        <v>22</v>
      </c>
      <c r="D24" s="7">
        <v>138721</v>
      </c>
    </row>
    <row r="25" spans="3:4" x14ac:dyDescent="0.35">
      <c r="C25" s="7">
        <v>23</v>
      </c>
      <c r="D25" s="7">
        <v>137144</v>
      </c>
    </row>
    <row r="26" spans="3:4" x14ac:dyDescent="0.35">
      <c r="C26" s="7">
        <v>24</v>
      </c>
      <c r="D26" s="7">
        <v>142416</v>
      </c>
    </row>
    <row r="27" spans="3:4" x14ac:dyDescent="0.35">
      <c r="C27" s="7">
        <v>25</v>
      </c>
      <c r="D27" s="7">
        <v>137791</v>
      </c>
    </row>
    <row r="28" spans="3:4" x14ac:dyDescent="0.35">
      <c r="C28" s="7">
        <v>26</v>
      </c>
      <c r="D28" s="7">
        <v>141652</v>
      </c>
    </row>
    <row r="29" spans="3:4" x14ac:dyDescent="0.35">
      <c r="C29" s="7">
        <v>27</v>
      </c>
      <c r="D29" s="7">
        <v>139476</v>
      </c>
    </row>
    <row r="30" spans="3:4" x14ac:dyDescent="0.35">
      <c r="C30" s="7">
        <v>28</v>
      </c>
      <c r="D30" s="7">
        <v>141953</v>
      </c>
    </row>
    <row r="31" spans="3:4" x14ac:dyDescent="0.35">
      <c r="C31" s="7">
        <v>29</v>
      </c>
      <c r="D31" s="7">
        <v>142981</v>
      </c>
    </row>
    <row r="32" spans="3:4" x14ac:dyDescent="0.35">
      <c r="C32" s="7">
        <v>30</v>
      </c>
      <c r="D32" s="7">
        <v>138903</v>
      </c>
    </row>
    <row r="33" spans="3:4" x14ac:dyDescent="0.35">
      <c r="C33" s="7">
        <v>31</v>
      </c>
      <c r="D33" s="7">
        <v>140002</v>
      </c>
    </row>
    <row r="34" spans="3:4" x14ac:dyDescent="0.35">
      <c r="C34" s="7">
        <v>32</v>
      </c>
      <c r="D34" s="7">
        <v>141928</v>
      </c>
    </row>
    <row r="35" spans="3:4" x14ac:dyDescent="0.35">
      <c r="C35" s="7">
        <v>33</v>
      </c>
      <c r="D35" s="7">
        <v>140220</v>
      </c>
    </row>
    <row r="36" spans="3:4" x14ac:dyDescent="0.35">
      <c r="C36" s="7">
        <v>34</v>
      </c>
      <c r="D36" s="7">
        <v>142841</v>
      </c>
    </row>
    <row r="37" spans="3:4" x14ac:dyDescent="0.35">
      <c r="C37" s="7">
        <v>35</v>
      </c>
      <c r="D37" s="7">
        <v>140892</v>
      </c>
    </row>
    <row r="38" spans="3:4" x14ac:dyDescent="0.35">
      <c r="C38" s="7">
        <v>36</v>
      </c>
      <c r="D38" s="7">
        <v>140901</v>
      </c>
    </row>
    <row r="39" spans="3:4" x14ac:dyDescent="0.35">
      <c r="C39" s="7">
        <v>37</v>
      </c>
      <c r="D39" s="7">
        <v>139578</v>
      </c>
    </row>
    <row r="40" spans="3:4" x14ac:dyDescent="0.35">
      <c r="C40" s="7">
        <v>38</v>
      </c>
      <c r="D40" s="7">
        <v>134085</v>
      </c>
    </row>
    <row r="41" spans="3:4" x14ac:dyDescent="0.35">
      <c r="C41" s="7">
        <v>39</v>
      </c>
      <c r="D41" s="7">
        <v>141891</v>
      </c>
    </row>
    <row r="42" spans="3:4" x14ac:dyDescent="0.35">
      <c r="C42" s="7">
        <v>40</v>
      </c>
      <c r="D42" s="7">
        <v>142339</v>
      </c>
    </row>
    <row r="43" spans="3:4" x14ac:dyDescent="0.35">
      <c r="C43" s="7">
        <v>41</v>
      </c>
      <c r="D43" s="7">
        <v>142999</v>
      </c>
    </row>
    <row r="44" spans="3:4" x14ac:dyDescent="0.35">
      <c r="C44" s="7">
        <v>42</v>
      </c>
      <c r="D44" s="7">
        <v>141632</v>
      </c>
    </row>
    <row r="45" spans="3:4" x14ac:dyDescent="0.35">
      <c r="C45" s="7">
        <v>43</v>
      </c>
      <c r="D45" s="7">
        <v>142645</v>
      </c>
    </row>
    <row r="46" spans="3:4" x14ac:dyDescent="0.35">
      <c r="C46" s="7">
        <v>44</v>
      </c>
      <c r="D46" s="7">
        <v>142095</v>
      </c>
    </row>
    <row r="50" spans="3:9" ht="15.5" x14ac:dyDescent="0.35">
      <c r="C50" s="21" t="s">
        <v>16</v>
      </c>
    </row>
    <row r="51" spans="3:9" x14ac:dyDescent="0.35">
      <c r="D51" s="5" t="s">
        <v>81</v>
      </c>
      <c r="E51" s="5"/>
      <c r="F51" s="5"/>
      <c r="G51" s="5"/>
      <c r="H51" s="5"/>
    </row>
    <row r="53" spans="3:9" x14ac:dyDescent="0.35">
      <c r="C53" s="6" t="s">
        <v>82</v>
      </c>
      <c r="D53" s="6" t="s">
        <v>73</v>
      </c>
      <c r="E53" s="2" t="s">
        <v>83</v>
      </c>
    </row>
    <row r="54" spans="3:9" x14ac:dyDescent="0.35">
      <c r="C54" s="7">
        <v>4</v>
      </c>
      <c r="D54" s="7">
        <v>126806</v>
      </c>
      <c r="E54" s="2">
        <f t="shared" ref="E54:E97" ca="1" si="0">RAND()</f>
        <v>9.528440551476336E-2</v>
      </c>
    </row>
    <row r="55" spans="3:9" x14ac:dyDescent="0.35">
      <c r="C55" s="7">
        <v>33</v>
      </c>
      <c r="D55" s="7">
        <v>140220</v>
      </c>
      <c r="E55" s="2">
        <f t="shared" ca="1" si="0"/>
        <v>0.19037517939324844</v>
      </c>
      <c r="H55" s="6" t="s">
        <v>82</v>
      </c>
      <c r="I55" s="6" t="s">
        <v>73</v>
      </c>
    </row>
    <row r="56" spans="3:9" x14ac:dyDescent="0.35">
      <c r="C56" s="7">
        <v>15</v>
      </c>
      <c r="D56" s="7">
        <v>132120</v>
      </c>
      <c r="E56" s="2">
        <f t="shared" ca="1" si="0"/>
        <v>0.5835390428477969</v>
      </c>
      <c r="H56" s="7">
        <v>4</v>
      </c>
      <c r="I56" s="7">
        <v>126806</v>
      </c>
    </row>
    <row r="57" spans="3:9" x14ac:dyDescent="0.35">
      <c r="C57" s="7">
        <v>23</v>
      </c>
      <c r="D57" s="7">
        <v>137144</v>
      </c>
      <c r="E57" s="2">
        <f t="shared" ca="1" si="0"/>
        <v>0.68282680335671575</v>
      </c>
      <c r="H57" s="7">
        <v>33</v>
      </c>
      <c r="I57" s="7">
        <v>140220</v>
      </c>
    </row>
    <row r="58" spans="3:9" x14ac:dyDescent="0.35">
      <c r="C58" s="7">
        <v>25</v>
      </c>
      <c r="D58" s="7">
        <v>137791</v>
      </c>
      <c r="E58" s="2">
        <f t="shared" ca="1" si="0"/>
        <v>0.88145327667735063</v>
      </c>
      <c r="H58" s="7">
        <v>15</v>
      </c>
      <c r="I58" s="7">
        <v>132120</v>
      </c>
    </row>
    <row r="59" spans="3:9" x14ac:dyDescent="0.35">
      <c r="C59" s="7">
        <v>28</v>
      </c>
      <c r="D59" s="7">
        <v>141953</v>
      </c>
      <c r="E59" s="2">
        <f t="shared" ca="1" si="0"/>
        <v>0.68424802213021796</v>
      </c>
      <c r="H59" s="7">
        <v>23</v>
      </c>
      <c r="I59" s="7">
        <v>137144</v>
      </c>
    </row>
    <row r="60" spans="3:9" x14ac:dyDescent="0.35">
      <c r="C60" s="7">
        <v>18</v>
      </c>
      <c r="D60" s="7">
        <v>138876</v>
      </c>
      <c r="E60" s="2">
        <f t="shared" ca="1" si="0"/>
        <v>0.71112382553744347</v>
      </c>
      <c r="H60" s="7">
        <v>25</v>
      </c>
      <c r="I60" s="7">
        <v>137791</v>
      </c>
    </row>
    <row r="61" spans="3:9" x14ac:dyDescent="0.35">
      <c r="C61" s="7">
        <v>27</v>
      </c>
      <c r="D61" s="7">
        <v>139476</v>
      </c>
      <c r="E61" s="2">
        <f t="shared" ca="1" si="0"/>
        <v>0.93126554587046984</v>
      </c>
      <c r="H61" s="7">
        <v>28</v>
      </c>
      <c r="I61" s="7">
        <v>141953</v>
      </c>
    </row>
    <row r="62" spans="3:9" x14ac:dyDescent="0.35">
      <c r="C62" s="7">
        <v>37</v>
      </c>
      <c r="D62" s="7">
        <v>139578</v>
      </c>
      <c r="E62" s="2">
        <f t="shared" ca="1" si="0"/>
        <v>2.181562454592223E-3</v>
      </c>
      <c r="H62" s="7">
        <v>18</v>
      </c>
      <c r="I62" s="7">
        <v>138876</v>
      </c>
    </row>
    <row r="63" spans="3:9" x14ac:dyDescent="0.35">
      <c r="C63" s="7">
        <v>2</v>
      </c>
      <c r="D63" s="7">
        <v>119400</v>
      </c>
      <c r="E63" s="2">
        <f t="shared" ca="1" si="0"/>
        <v>0.29859129349875446</v>
      </c>
      <c r="H63" s="7">
        <v>27</v>
      </c>
      <c r="I63" s="7">
        <v>139476</v>
      </c>
    </row>
    <row r="64" spans="3:9" x14ac:dyDescent="0.35">
      <c r="C64" s="7">
        <v>26</v>
      </c>
      <c r="D64" s="7">
        <v>141652</v>
      </c>
      <c r="E64" s="2">
        <f t="shared" ca="1" si="0"/>
        <v>0.70694299328886134</v>
      </c>
      <c r="H64" s="7">
        <v>37</v>
      </c>
      <c r="I64" s="7">
        <v>139578</v>
      </c>
    </row>
    <row r="65" spans="3:10" x14ac:dyDescent="0.35">
      <c r="C65" s="7">
        <v>13</v>
      </c>
      <c r="D65" s="7">
        <v>136341</v>
      </c>
      <c r="E65" s="2">
        <f t="shared" ca="1" si="0"/>
        <v>0.72227523661381132</v>
      </c>
      <c r="H65" s="7">
        <v>2</v>
      </c>
      <c r="I65" s="7">
        <v>119400</v>
      </c>
    </row>
    <row r="66" spans="3:10" x14ac:dyDescent="0.35">
      <c r="C66" s="7">
        <v>14</v>
      </c>
      <c r="D66" s="7">
        <v>136483</v>
      </c>
      <c r="E66" s="2">
        <f t="shared" ca="1" si="0"/>
        <v>0.69347384949825763</v>
      </c>
    </row>
    <row r="67" spans="3:10" x14ac:dyDescent="0.35">
      <c r="C67" s="7">
        <v>8</v>
      </c>
      <c r="D67" s="7">
        <v>129080</v>
      </c>
      <c r="E67" s="2">
        <f t="shared" ca="1" si="0"/>
        <v>0.82217747117501361</v>
      </c>
      <c r="G67" s="5" t="s">
        <v>84</v>
      </c>
      <c r="H67" s="5"/>
      <c r="I67" s="5"/>
      <c r="J67" s="5"/>
    </row>
    <row r="68" spans="3:10" x14ac:dyDescent="0.35">
      <c r="C68" s="7">
        <v>19</v>
      </c>
      <c r="D68" s="7">
        <v>137313</v>
      </c>
      <c r="E68" s="2">
        <f t="shared" ca="1" si="0"/>
        <v>0.73081501691510087</v>
      </c>
    </row>
    <row r="69" spans="3:10" x14ac:dyDescent="0.35">
      <c r="C69" s="7">
        <v>31</v>
      </c>
      <c r="D69" s="7">
        <v>140002</v>
      </c>
      <c r="E69" s="2">
        <f t="shared" ca="1" si="0"/>
        <v>0.21824741936000269</v>
      </c>
    </row>
    <row r="70" spans="3:10" x14ac:dyDescent="0.35">
      <c r="C70" s="7">
        <v>17</v>
      </c>
      <c r="D70" s="7">
        <v>137232</v>
      </c>
      <c r="E70" s="2">
        <f t="shared" ca="1" si="0"/>
        <v>0.94537267476044562</v>
      </c>
    </row>
    <row r="71" spans="3:10" x14ac:dyDescent="0.35">
      <c r="C71" s="7">
        <v>3</v>
      </c>
      <c r="D71" s="7">
        <v>123442</v>
      </c>
      <c r="E71" s="2">
        <f t="shared" ca="1" si="0"/>
        <v>0.19457763301751718</v>
      </c>
    </row>
    <row r="72" spans="3:10" x14ac:dyDescent="0.35">
      <c r="C72" s="7">
        <v>30</v>
      </c>
      <c r="D72" s="7">
        <v>138903</v>
      </c>
      <c r="E72" s="2">
        <f t="shared" ca="1" si="0"/>
        <v>0.10966600294652151</v>
      </c>
    </row>
    <row r="73" spans="3:10" x14ac:dyDescent="0.35">
      <c r="C73" s="7">
        <v>24</v>
      </c>
      <c r="D73" s="7">
        <v>142416</v>
      </c>
      <c r="E73" s="2">
        <f t="shared" ca="1" si="0"/>
        <v>0.25750922832293699</v>
      </c>
    </row>
    <row r="74" spans="3:10" x14ac:dyDescent="0.35">
      <c r="C74" s="7">
        <v>12</v>
      </c>
      <c r="D74" s="7">
        <v>135399</v>
      </c>
      <c r="E74" s="2">
        <f t="shared" ca="1" si="0"/>
        <v>0.54577501009857265</v>
      </c>
    </row>
    <row r="75" spans="3:10" x14ac:dyDescent="0.35">
      <c r="C75" s="7">
        <v>44</v>
      </c>
      <c r="D75" s="7">
        <v>142095</v>
      </c>
      <c r="E75" s="2">
        <f t="shared" ca="1" si="0"/>
        <v>0.96073080568559877</v>
      </c>
    </row>
    <row r="76" spans="3:10" x14ac:dyDescent="0.35">
      <c r="C76" s="7">
        <v>34</v>
      </c>
      <c r="D76" s="7">
        <v>142841</v>
      </c>
      <c r="E76" s="2">
        <f t="shared" ca="1" si="0"/>
        <v>0.76174708834304494</v>
      </c>
    </row>
    <row r="77" spans="3:10" x14ac:dyDescent="0.35">
      <c r="C77" s="7">
        <v>36</v>
      </c>
      <c r="D77" s="7">
        <v>140901</v>
      </c>
      <c r="E77" s="2">
        <f t="shared" ca="1" si="0"/>
        <v>0.23317595983786954</v>
      </c>
    </row>
    <row r="78" spans="3:10" x14ac:dyDescent="0.35">
      <c r="C78" s="7">
        <v>35</v>
      </c>
      <c r="D78" s="7">
        <v>140892</v>
      </c>
      <c r="E78" s="2">
        <f t="shared" ca="1" si="0"/>
        <v>0.87516458784536211</v>
      </c>
    </row>
    <row r="79" spans="3:10" x14ac:dyDescent="0.35">
      <c r="C79" s="7">
        <v>6</v>
      </c>
      <c r="D79" s="7">
        <v>129156</v>
      </c>
      <c r="E79" s="2">
        <f t="shared" ca="1" si="0"/>
        <v>0.70899688019878282</v>
      </c>
    </row>
    <row r="80" spans="3:10" x14ac:dyDescent="0.35">
      <c r="C80" s="7">
        <v>40</v>
      </c>
      <c r="D80" s="7">
        <v>142339</v>
      </c>
      <c r="E80" s="2">
        <f t="shared" ca="1" si="0"/>
        <v>0.87738097323565312</v>
      </c>
    </row>
    <row r="81" spans="3:5" x14ac:dyDescent="0.35">
      <c r="C81" s="7">
        <v>1</v>
      </c>
      <c r="D81" s="7">
        <v>118746</v>
      </c>
      <c r="E81" s="2">
        <f t="shared" ca="1" si="0"/>
        <v>0.92341128077748791</v>
      </c>
    </row>
    <row r="82" spans="3:5" x14ac:dyDescent="0.35">
      <c r="C82" s="7">
        <v>7</v>
      </c>
      <c r="D82" s="7">
        <v>130840</v>
      </c>
      <c r="E82" s="2">
        <f t="shared" ca="1" si="0"/>
        <v>0.76896598704840147</v>
      </c>
    </row>
    <row r="83" spans="3:5" x14ac:dyDescent="0.35">
      <c r="C83" s="7">
        <v>42</v>
      </c>
      <c r="D83" s="7">
        <v>141632</v>
      </c>
      <c r="E83" s="2">
        <f t="shared" ca="1" si="0"/>
        <v>0.65600525615425254</v>
      </c>
    </row>
    <row r="84" spans="3:5" x14ac:dyDescent="0.35">
      <c r="C84" s="7">
        <v>43</v>
      </c>
      <c r="D84" s="7">
        <v>142645</v>
      </c>
      <c r="E84" s="2">
        <f t="shared" ca="1" si="0"/>
        <v>0.28902603786950565</v>
      </c>
    </row>
    <row r="85" spans="3:5" x14ac:dyDescent="0.35">
      <c r="C85" s="7">
        <v>21</v>
      </c>
      <c r="D85" s="7">
        <v>140267</v>
      </c>
      <c r="E85" s="2">
        <f t="shared" ca="1" si="0"/>
        <v>0.35998301398828136</v>
      </c>
    </row>
    <row r="86" spans="3:5" x14ac:dyDescent="0.35">
      <c r="C86" s="7">
        <v>39</v>
      </c>
      <c r="D86" s="7">
        <v>141891</v>
      </c>
      <c r="E86" s="2">
        <f t="shared" ca="1" si="0"/>
        <v>0.9204307868248629</v>
      </c>
    </row>
    <row r="87" spans="3:5" x14ac:dyDescent="0.35">
      <c r="C87" s="7">
        <v>32</v>
      </c>
      <c r="D87" s="7">
        <v>141928</v>
      </c>
      <c r="E87" s="2">
        <f t="shared" ca="1" si="0"/>
        <v>0.33039610043292333</v>
      </c>
    </row>
    <row r="88" spans="3:5" x14ac:dyDescent="0.35">
      <c r="C88" s="7">
        <v>22</v>
      </c>
      <c r="D88" s="7">
        <v>138721</v>
      </c>
      <c r="E88" s="2">
        <f t="shared" ca="1" si="0"/>
        <v>0.92779115966125902</v>
      </c>
    </row>
    <row r="89" spans="3:5" x14ac:dyDescent="0.35">
      <c r="C89" s="7">
        <v>10</v>
      </c>
      <c r="D89" s="7">
        <v>132939</v>
      </c>
      <c r="E89" s="2">
        <f t="shared" ca="1" si="0"/>
        <v>5.0379766753830046E-2</v>
      </c>
    </row>
    <row r="90" spans="3:5" x14ac:dyDescent="0.35">
      <c r="C90" s="7">
        <v>41</v>
      </c>
      <c r="D90" s="7">
        <v>142999</v>
      </c>
      <c r="E90" s="2">
        <f t="shared" ca="1" si="0"/>
        <v>0.3403705746108705</v>
      </c>
    </row>
    <row r="91" spans="3:5" x14ac:dyDescent="0.35">
      <c r="C91" s="7">
        <v>5</v>
      </c>
      <c r="D91" s="7">
        <v>127845</v>
      </c>
      <c r="E91" s="2">
        <f t="shared" ca="1" si="0"/>
        <v>0.83521009678190916</v>
      </c>
    </row>
    <row r="92" spans="3:5" x14ac:dyDescent="0.35">
      <c r="C92" s="7">
        <v>29</v>
      </c>
      <c r="D92" s="7">
        <v>142981</v>
      </c>
      <c r="E92" s="2">
        <f t="shared" ca="1" si="0"/>
        <v>0.50525608249272724</v>
      </c>
    </row>
    <row r="93" spans="3:5" x14ac:dyDescent="0.35">
      <c r="C93" s="7">
        <v>16</v>
      </c>
      <c r="D93" s="7">
        <v>136198</v>
      </c>
      <c r="E93" s="2">
        <f t="shared" ca="1" si="0"/>
        <v>0.45578347451006507</v>
      </c>
    </row>
    <row r="94" spans="3:5" x14ac:dyDescent="0.35">
      <c r="C94" s="7">
        <v>20</v>
      </c>
      <c r="D94" s="7">
        <v>138772</v>
      </c>
      <c r="E94" s="2">
        <f t="shared" ca="1" si="0"/>
        <v>0.17713028566298294</v>
      </c>
    </row>
    <row r="95" spans="3:5" x14ac:dyDescent="0.35">
      <c r="C95" s="7">
        <v>9</v>
      </c>
      <c r="D95" s="7">
        <v>131828</v>
      </c>
      <c r="E95" s="2">
        <f t="shared" ca="1" si="0"/>
        <v>0.16289153376052679</v>
      </c>
    </row>
    <row r="96" spans="3:5" x14ac:dyDescent="0.35">
      <c r="C96" s="7">
        <v>38</v>
      </c>
      <c r="D96" s="7">
        <v>134085</v>
      </c>
      <c r="E96" s="2">
        <f t="shared" ca="1" si="0"/>
        <v>0.21700808001118832</v>
      </c>
    </row>
    <row r="97" spans="3:11" x14ac:dyDescent="0.35">
      <c r="C97" s="7">
        <v>11</v>
      </c>
      <c r="D97" s="7">
        <v>133199</v>
      </c>
      <c r="E97" s="2">
        <f t="shared" ca="1" si="0"/>
        <v>0.47528175775802273</v>
      </c>
    </row>
    <row r="100" spans="3:11" ht="15.5" x14ac:dyDescent="0.35">
      <c r="C100" s="21" t="s">
        <v>26</v>
      </c>
    </row>
    <row r="101" spans="3:11" x14ac:dyDescent="0.35">
      <c r="D101" s="5" t="s">
        <v>85</v>
      </c>
      <c r="E101" s="5"/>
      <c r="F101" s="5"/>
    </row>
    <row r="103" spans="3:11" x14ac:dyDescent="0.35">
      <c r="D103" s="5" t="s">
        <v>86</v>
      </c>
      <c r="E103" s="5"/>
      <c r="F103" s="5"/>
      <c r="G103" s="5"/>
      <c r="H103" s="5"/>
      <c r="I103" s="5"/>
      <c r="J103" s="5"/>
      <c r="K103" s="5"/>
    </row>
    <row r="105" spans="3:11" x14ac:dyDescent="0.35">
      <c r="F105" s="5"/>
      <c r="G105" s="5"/>
      <c r="H105" s="5"/>
    </row>
    <row r="106" spans="3:11" x14ac:dyDescent="0.35">
      <c r="F106" s="5"/>
      <c r="G106" s="5"/>
      <c r="H106" s="5"/>
    </row>
    <row r="107" spans="3:11" x14ac:dyDescent="0.35">
      <c r="F107" s="5" t="s">
        <v>285</v>
      </c>
      <c r="G107" s="5"/>
      <c r="H107" s="5"/>
    </row>
    <row r="108" spans="3:11" x14ac:dyDescent="0.35">
      <c r="F108" s="15" t="s">
        <v>28</v>
      </c>
      <c r="G108" s="2">
        <f>(1/10)*(SUM(I56:I65))</f>
        <v>135336.4</v>
      </c>
      <c r="H108" s="2" t="s">
        <v>87</v>
      </c>
    </row>
    <row r="109" spans="3:11" x14ac:dyDescent="0.35">
      <c r="G109" s="2">
        <f>AVERAGE(I56:I65)</f>
        <v>135336.4</v>
      </c>
    </row>
    <row r="113" spans="3:15" ht="15.5" x14ac:dyDescent="0.35">
      <c r="C113" s="21" t="s">
        <v>88</v>
      </c>
    </row>
    <row r="114" spans="3:15" x14ac:dyDescent="0.35">
      <c r="D114" s="4" t="s">
        <v>89</v>
      </c>
      <c r="E114" s="4"/>
      <c r="F114" s="4"/>
      <c r="G114" s="4"/>
      <c r="H114" s="2" t="s">
        <v>237</v>
      </c>
    </row>
    <row r="117" spans="3:15" x14ac:dyDescent="0.35">
      <c r="D117" s="2" t="s">
        <v>90</v>
      </c>
      <c r="E117" s="5"/>
      <c r="F117" s="5"/>
      <c r="H117" s="2" t="s">
        <v>91</v>
      </c>
      <c r="I117" s="5"/>
      <c r="J117" s="5"/>
      <c r="K117" s="5"/>
      <c r="M117" s="6" t="s">
        <v>82</v>
      </c>
      <c r="N117" s="6" t="s">
        <v>73</v>
      </c>
      <c r="O117" s="2" t="s">
        <v>92</v>
      </c>
    </row>
    <row r="118" spans="3:15" x14ac:dyDescent="0.35">
      <c r="E118" s="5"/>
      <c r="F118" s="5"/>
      <c r="I118" s="5"/>
      <c r="J118" s="5"/>
      <c r="K118" s="5"/>
      <c r="M118" s="7">
        <v>1</v>
      </c>
      <c r="N118" s="7">
        <v>118746</v>
      </c>
      <c r="O118" s="2">
        <f>(N118-$G$108)^2</f>
        <v>275241372.15999979</v>
      </c>
    </row>
    <row r="119" spans="3:15" x14ac:dyDescent="0.35">
      <c r="E119" s="5" t="s">
        <v>231</v>
      </c>
      <c r="F119" s="5"/>
      <c r="I119" s="5" t="s">
        <v>284</v>
      </c>
      <c r="J119" s="5"/>
      <c r="K119" s="5"/>
      <c r="M119" s="7">
        <v>24</v>
      </c>
      <c r="N119" s="7">
        <v>142416</v>
      </c>
      <c r="O119" s="2">
        <f t="shared" ref="O119:O127" si="1">(N119-$G$108)^2</f>
        <v>50120736.160000086</v>
      </c>
    </row>
    <row r="120" spans="3:15" x14ac:dyDescent="0.35">
      <c r="M120" s="7">
        <v>23</v>
      </c>
      <c r="N120" s="7">
        <v>137144</v>
      </c>
      <c r="O120" s="2">
        <f t="shared" si="1"/>
        <v>3267417.7600000212</v>
      </c>
    </row>
    <row r="121" spans="3:15" x14ac:dyDescent="0.35">
      <c r="D121" s="2" t="s">
        <v>232</v>
      </c>
      <c r="F121" s="2">
        <f>((44-10)/(44*10))*J121</f>
        <v>4164848.2586868671</v>
      </c>
      <c r="G121" s="2" t="s">
        <v>93</v>
      </c>
      <c r="I121" s="15" t="s">
        <v>28</v>
      </c>
      <c r="J121" s="2">
        <f>(1/(10-1))*SUM(O118:O127)</f>
        <v>53898036.288888872</v>
      </c>
      <c r="K121" s="2" t="s">
        <v>94</v>
      </c>
      <c r="M121" s="7">
        <v>9</v>
      </c>
      <c r="N121" s="7">
        <v>131828</v>
      </c>
      <c r="O121" s="2">
        <f t="shared" si="1"/>
        <v>12308870.55999996</v>
      </c>
    </row>
    <row r="122" spans="3:15" x14ac:dyDescent="0.35">
      <c r="I122" s="2">
        <f>_xlfn.VAR.S(I56:I65)</f>
        <v>51295494.266666666</v>
      </c>
      <c r="M122" s="7">
        <v>20</v>
      </c>
      <c r="N122" s="7">
        <v>138772</v>
      </c>
      <c r="O122" s="2">
        <f t="shared" si="1"/>
        <v>11803347.36000004</v>
      </c>
    </row>
    <row r="123" spans="3:15" x14ac:dyDescent="0.35">
      <c r="M123" s="7">
        <v>10</v>
      </c>
      <c r="N123" s="7">
        <v>132939</v>
      </c>
      <c r="O123" s="2">
        <f t="shared" si="1"/>
        <v>5747526.7599999718</v>
      </c>
    </row>
    <row r="124" spans="3:15" x14ac:dyDescent="0.35">
      <c r="M124" s="7">
        <v>26</v>
      </c>
      <c r="N124" s="7">
        <v>141652</v>
      </c>
      <c r="O124" s="2">
        <f t="shared" si="1"/>
        <v>39886803.360000074</v>
      </c>
    </row>
    <row r="125" spans="3:15" x14ac:dyDescent="0.35">
      <c r="M125" s="7">
        <v>17</v>
      </c>
      <c r="N125" s="7">
        <v>137232</v>
      </c>
      <c r="O125" s="2">
        <f t="shared" si="1"/>
        <v>3593299.3600000222</v>
      </c>
    </row>
    <row r="126" spans="3:15" x14ac:dyDescent="0.35">
      <c r="M126" s="7">
        <v>15</v>
      </c>
      <c r="N126" s="7">
        <v>132120</v>
      </c>
      <c r="O126" s="2">
        <f t="shared" si="1"/>
        <v>10345228.959999962</v>
      </c>
    </row>
    <row r="127" spans="3:15" ht="15.5" x14ac:dyDescent="0.35">
      <c r="C127" s="21" t="s">
        <v>95</v>
      </c>
      <c r="M127" s="7">
        <v>4</v>
      </c>
      <c r="N127" s="7">
        <v>126806</v>
      </c>
      <c r="O127" s="2">
        <f t="shared" si="1"/>
        <v>72767724.159999907</v>
      </c>
    </row>
    <row r="128" spans="3:15" x14ac:dyDescent="0.35">
      <c r="D128" s="2" t="s">
        <v>96</v>
      </c>
    </row>
    <row r="130" spans="3:10" x14ac:dyDescent="0.35">
      <c r="D130" s="2" t="s">
        <v>233</v>
      </c>
      <c r="E130" s="6" t="s">
        <v>28</v>
      </c>
      <c r="F130" s="2">
        <f>44*G108</f>
        <v>5954801.5999999996</v>
      </c>
      <c r="G130" s="2" t="s">
        <v>87</v>
      </c>
    </row>
    <row r="136" spans="3:10" ht="15.5" x14ac:dyDescent="0.35">
      <c r="C136" s="21" t="s">
        <v>97</v>
      </c>
    </row>
    <row r="137" spans="3:10" x14ac:dyDescent="0.35">
      <c r="D137" s="5" t="s">
        <v>98</v>
      </c>
      <c r="E137" s="5"/>
      <c r="F137" s="5"/>
      <c r="G137" s="5"/>
      <c r="H137" s="5"/>
      <c r="I137" s="5"/>
      <c r="J137" s="5"/>
    </row>
    <row r="139" spans="3:10" x14ac:dyDescent="0.35">
      <c r="E139" s="5" t="s">
        <v>234</v>
      </c>
      <c r="F139" s="5"/>
      <c r="G139" s="5"/>
    </row>
    <row r="141" spans="3:10" x14ac:dyDescent="0.35">
      <c r="E141" s="2" t="s">
        <v>232</v>
      </c>
      <c r="F141" s="2">
        <f>((44)^2)*F121</f>
        <v>8063146228.8177748</v>
      </c>
      <c r="G141" s="2" t="s">
        <v>93</v>
      </c>
    </row>
    <row r="148" spans="3:8" ht="15.5" x14ac:dyDescent="0.35">
      <c r="C148" s="21" t="s">
        <v>99</v>
      </c>
    </row>
    <row r="149" spans="3:8" x14ac:dyDescent="0.35">
      <c r="D149" s="5" t="s">
        <v>100</v>
      </c>
      <c r="E149" s="5"/>
      <c r="F149" s="5"/>
      <c r="G149" s="5"/>
      <c r="H149" s="5"/>
    </row>
    <row r="152" spans="3:8" x14ac:dyDescent="0.35">
      <c r="E152" s="2" t="s">
        <v>235</v>
      </c>
    </row>
    <row r="154" spans="3:8" x14ac:dyDescent="0.35">
      <c r="E154" s="2" t="s">
        <v>236</v>
      </c>
    </row>
    <row r="156" spans="3:8" x14ac:dyDescent="0.35">
      <c r="E156" s="15" t="s">
        <v>101</v>
      </c>
      <c r="F156" s="2">
        <f>G108-(1.96*SQRT(F121))</f>
        <v>131336.43986637722</v>
      </c>
    </row>
    <row r="158" spans="3:8" x14ac:dyDescent="0.35">
      <c r="E158" s="15" t="s">
        <v>102</v>
      </c>
      <c r="F158" s="2">
        <f>G108+(1.96*SQRT(F121))</f>
        <v>139336.36013362277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62"/>
  <sheetViews>
    <sheetView topLeftCell="A121" zoomScale="80" zoomScaleNormal="80" workbookViewId="0">
      <selection activeCell="E131" sqref="E131"/>
    </sheetView>
  </sheetViews>
  <sheetFormatPr defaultRowHeight="14.5" x14ac:dyDescent="0.35"/>
  <cols>
    <col min="1" max="1" width="8.7265625" style="1"/>
    <col min="2" max="2" width="10.7265625" style="1" bestFit="1" customWidth="1"/>
    <col min="3" max="3" width="12.26953125" style="1" bestFit="1" customWidth="1"/>
    <col min="4" max="4" width="12.54296875" style="1" bestFit="1" customWidth="1"/>
    <col min="5" max="5" width="8.7265625" style="1"/>
    <col min="6" max="6" width="9.7265625" style="1" bestFit="1" customWidth="1"/>
    <col min="7" max="7" width="14.453125" style="1" customWidth="1"/>
    <col min="8" max="9" width="8.7265625" style="1"/>
    <col min="10" max="10" width="7.453125" style="1" customWidth="1"/>
    <col min="11" max="11" width="8.7265625" style="1"/>
    <col min="12" max="12" width="17.453125" style="1" customWidth="1"/>
    <col min="13" max="13" width="12" style="1" customWidth="1"/>
    <col min="14" max="14" width="9.54296875" style="1" customWidth="1"/>
    <col min="15" max="16384" width="8.7265625" style="1"/>
  </cols>
  <sheetData>
    <row r="5" spans="2:12" x14ac:dyDescent="0.35">
      <c r="B5" s="31" t="s">
        <v>103</v>
      </c>
      <c r="C5" s="31"/>
      <c r="D5" s="31"/>
      <c r="E5" s="31"/>
      <c r="F5" s="31"/>
    </row>
    <row r="8" spans="2:12" x14ac:dyDescent="0.35">
      <c r="B8" s="31" t="s">
        <v>104</v>
      </c>
      <c r="C8" s="31" t="s">
        <v>105</v>
      </c>
      <c r="D8" s="1" t="s">
        <v>106</v>
      </c>
      <c r="G8" s="31"/>
    </row>
    <row r="9" spans="2:12" x14ac:dyDescent="0.35">
      <c r="B9" s="22">
        <v>75</v>
      </c>
      <c r="C9" s="22">
        <v>55</v>
      </c>
      <c r="D9" s="22">
        <v>35</v>
      </c>
    </row>
    <row r="10" spans="2:12" x14ac:dyDescent="0.35">
      <c r="B10" s="22">
        <v>65</v>
      </c>
      <c r="C10" s="22">
        <v>45</v>
      </c>
      <c r="D10" s="22">
        <v>28</v>
      </c>
    </row>
    <row r="11" spans="2:12" x14ac:dyDescent="0.35">
      <c r="B11" s="22">
        <v>86</v>
      </c>
      <c r="C11" s="22">
        <v>35</v>
      </c>
      <c r="D11" s="22">
        <v>36</v>
      </c>
    </row>
    <row r="12" spans="2:12" x14ac:dyDescent="0.35">
      <c r="B12" s="22">
        <v>57</v>
      </c>
      <c r="C12" s="22">
        <v>30</v>
      </c>
      <c r="D12" s="22">
        <v>40</v>
      </c>
    </row>
    <row r="13" spans="2:12" x14ac:dyDescent="0.35">
      <c r="B13" s="22">
        <v>45</v>
      </c>
      <c r="C13" s="22">
        <v>42</v>
      </c>
      <c r="D13" s="22">
        <v>25</v>
      </c>
      <c r="F13" s="31" t="s">
        <v>107</v>
      </c>
      <c r="G13" s="31"/>
      <c r="H13" s="31"/>
      <c r="I13" s="31"/>
      <c r="J13" s="31"/>
      <c r="K13" s="31"/>
      <c r="L13" s="31"/>
    </row>
    <row r="14" spans="2:12" x14ac:dyDescent="0.35">
      <c r="B14" s="22">
        <v>69</v>
      </c>
      <c r="C14" s="22">
        <v>38</v>
      </c>
      <c r="D14" s="22">
        <v>18</v>
      </c>
      <c r="F14" s="31" t="s">
        <v>108</v>
      </c>
      <c r="G14" s="31"/>
      <c r="H14" s="31"/>
      <c r="I14" s="31"/>
      <c r="J14" s="31"/>
      <c r="K14" s="31"/>
    </row>
    <row r="15" spans="2:12" x14ac:dyDescent="0.35">
      <c r="B15" s="22">
        <v>48</v>
      </c>
      <c r="C15" s="22">
        <v>40</v>
      </c>
      <c r="D15" s="22">
        <v>28</v>
      </c>
      <c r="F15" s="31" t="s">
        <v>109</v>
      </c>
      <c r="G15" s="31"/>
    </row>
    <row r="16" spans="2:12" x14ac:dyDescent="0.35">
      <c r="B16" s="22">
        <v>60</v>
      </c>
      <c r="C16" s="22">
        <v>36</v>
      </c>
      <c r="D16" s="22">
        <v>32</v>
      </c>
      <c r="F16" s="31" t="s">
        <v>110</v>
      </c>
      <c r="G16" s="31"/>
    </row>
    <row r="17" spans="2:14" x14ac:dyDescent="0.35">
      <c r="B17" s="22">
        <v>55</v>
      </c>
      <c r="C17" s="22">
        <v>48</v>
      </c>
      <c r="D17" s="22">
        <v>13</v>
      </c>
      <c r="F17" s="31" t="s">
        <v>111</v>
      </c>
      <c r="G17" s="31"/>
    </row>
    <row r="18" spans="2:14" x14ac:dyDescent="0.35">
      <c r="B18" s="22">
        <v>66</v>
      </c>
      <c r="C18" s="22">
        <v>46</v>
      </c>
      <c r="D18" s="22">
        <v>19</v>
      </c>
    </row>
    <row r="19" spans="2:14" x14ac:dyDescent="0.35">
      <c r="B19" s="22">
        <v>76</v>
      </c>
      <c r="C19" s="22">
        <v>40</v>
      </c>
      <c r="D19" s="22">
        <v>31</v>
      </c>
      <c r="F19" s="31" t="s">
        <v>112</v>
      </c>
      <c r="G19" s="31"/>
      <c r="H19" s="31"/>
      <c r="I19" s="31"/>
      <c r="J19" s="31"/>
      <c r="K19" s="31"/>
      <c r="L19" s="31"/>
      <c r="M19" s="31"/>
      <c r="N19" s="31"/>
    </row>
    <row r="20" spans="2:14" x14ac:dyDescent="0.35">
      <c r="B20" s="22">
        <v>79</v>
      </c>
      <c r="C20" s="22">
        <v>38</v>
      </c>
      <c r="D20" s="22">
        <v>38</v>
      </c>
      <c r="F20" s="31" t="s">
        <v>113</v>
      </c>
      <c r="G20" s="31"/>
      <c r="H20" s="31"/>
      <c r="I20" s="31"/>
      <c r="J20" s="31"/>
      <c r="K20" s="31"/>
      <c r="L20" s="31"/>
      <c r="M20" s="31"/>
      <c r="N20" s="31"/>
    </row>
    <row r="21" spans="2:14" x14ac:dyDescent="0.35">
      <c r="B21" s="22">
        <v>62</v>
      </c>
      <c r="C21" s="22">
        <v>33</v>
      </c>
      <c r="D21" s="22">
        <v>42</v>
      </c>
    </row>
    <row r="22" spans="2:14" x14ac:dyDescent="0.35">
      <c r="B22" s="22">
        <v>92</v>
      </c>
      <c r="C22" s="22">
        <v>43</v>
      </c>
      <c r="D22" s="22">
        <v>33</v>
      </c>
    </row>
    <row r="23" spans="2:14" x14ac:dyDescent="0.35">
      <c r="B23" s="22">
        <v>50</v>
      </c>
      <c r="C23" s="22">
        <v>53</v>
      </c>
      <c r="D23" s="22">
        <v>29</v>
      </c>
    </row>
    <row r="24" spans="2:14" x14ac:dyDescent="0.35">
      <c r="B24" s="22">
        <v>48</v>
      </c>
      <c r="C24" s="22">
        <v>37</v>
      </c>
      <c r="D24" s="22">
        <v>25</v>
      </c>
    </row>
    <row r="25" spans="2:14" x14ac:dyDescent="0.35">
      <c r="B25" s="22">
        <v>77</v>
      </c>
      <c r="C25" s="22">
        <v>52</v>
      </c>
      <c r="D25" s="22">
        <v>35</v>
      </c>
    </row>
    <row r="26" spans="2:14" x14ac:dyDescent="0.35">
      <c r="B26" s="22">
        <v>60</v>
      </c>
      <c r="C26" s="22">
        <v>39</v>
      </c>
      <c r="D26" s="22">
        <v>36</v>
      </c>
    </row>
    <row r="27" spans="2:14" x14ac:dyDescent="0.35">
      <c r="B27" s="22">
        <v>64</v>
      </c>
      <c r="C27" s="22">
        <v>46</v>
      </c>
      <c r="D27" s="22">
        <v>30</v>
      </c>
    </row>
    <row r="28" spans="2:14" x14ac:dyDescent="0.35">
      <c r="B28" s="22">
        <v>58</v>
      </c>
      <c r="C28" s="22">
        <v>42</v>
      </c>
      <c r="D28" s="22">
        <v>37</v>
      </c>
    </row>
    <row r="29" spans="2:14" x14ac:dyDescent="0.35">
      <c r="B29" s="22"/>
      <c r="C29" s="22">
        <v>51</v>
      </c>
      <c r="D29" s="22">
        <v>26</v>
      </c>
    </row>
    <row r="30" spans="2:14" x14ac:dyDescent="0.35">
      <c r="B30" s="22"/>
      <c r="C30" s="22">
        <v>55</v>
      </c>
      <c r="D30" s="22">
        <v>32</v>
      </c>
    </row>
    <row r="31" spans="2:14" x14ac:dyDescent="0.35">
      <c r="B31" s="22"/>
      <c r="C31" s="22">
        <v>41</v>
      </c>
      <c r="D31" s="22">
        <v>18</v>
      </c>
    </row>
    <row r="32" spans="2:14" x14ac:dyDescent="0.35">
      <c r="B32" s="22"/>
      <c r="C32" s="22">
        <v>48</v>
      </c>
      <c r="D32" s="22">
        <v>16</v>
      </c>
    </row>
    <row r="33" spans="2:4" x14ac:dyDescent="0.35">
      <c r="B33" s="22"/>
      <c r="C33" s="22">
        <v>54</v>
      </c>
      <c r="D33" s="22"/>
    </row>
    <row r="34" spans="2:4" x14ac:dyDescent="0.35">
      <c r="B34" s="22"/>
      <c r="C34" s="22">
        <v>36</v>
      </c>
      <c r="D34" s="22"/>
    </row>
    <row r="35" spans="2:4" x14ac:dyDescent="0.35">
      <c r="B35" s="22"/>
      <c r="C35" s="22">
        <v>44</v>
      </c>
      <c r="D35" s="22"/>
    </row>
    <row r="36" spans="2:4" x14ac:dyDescent="0.35">
      <c r="B36" s="22"/>
      <c r="C36" s="22">
        <v>47</v>
      </c>
      <c r="D36" s="22"/>
    </row>
    <row r="37" spans="2:4" x14ac:dyDescent="0.35">
      <c r="B37" s="22"/>
      <c r="C37" s="22">
        <v>39</v>
      </c>
      <c r="D37" s="22"/>
    </row>
    <row r="38" spans="2:4" x14ac:dyDescent="0.35">
      <c r="B38" s="22"/>
      <c r="C38" s="22">
        <v>41</v>
      </c>
      <c r="D38" s="22"/>
    </row>
    <row r="39" spans="2:4" x14ac:dyDescent="0.35">
      <c r="B39" s="22"/>
      <c r="C39" s="22">
        <v>28</v>
      </c>
      <c r="D39" s="22"/>
    </row>
    <row r="40" spans="2:4" x14ac:dyDescent="0.35">
      <c r="B40" s="22"/>
      <c r="C40" s="22">
        <v>47</v>
      </c>
      <c r="D40" s="22"/>
    </row>
    <row r="41" spans="2:4" x14ac:dyDescent="0.35">
      <c r="B41" s="22"/>
      <c r="C41" s="22">
        <v>61</v>
      </c>
      <c r="D41" s="22"/>
    </row>
    <row r="42" spans="2:4" x14ac:dyDescent="0.35">
      <c r="B42" s="22"/>
      <c r="C42" s="22">
        <v>35</v>
      </c>
      <c r="D42" s="22"/>
    </row>
    <row r="43" spans="2:4" x14ac:dyDescent="0.35">
      <c r="B43" s="22"/>
      <c r="C43" s="22">
        <v>31</v>
      </c>
      <c r="D43" s="22"/>
    </row>
    <row r="44" spans="2:4" x14ac:dyDescent="0.35">
      <c r="C44" s="22">
        <v>23</v>
      </c>
    </row>
    <row r="49" spans="3:6" ht="15.5" x14ac:dyDescent="0.35">
      <c r="C49" s="32" t="s">
        <v>16</v>
      </c>
    </row>
    <row r="50" spans="3:6" x14ac:dyDescent="0.35">
      <c r="D50" s="31" t="s">
        <v>114</v>
      </c>
      <c r="E50" s="31"/>
      <c r="F50" s="31"/>
    </row>
    <row r="52" spans="3:6" x14ac:dyDescent="0.35">
      <c r="D52" s="31" t="s">
        <v>115</v>
      </c>
      <c r="E52" s="31"/>
    </row>
    <row r="54" spans="3:6" x14ac:dyDescent="0.35">
      <c r="D54" s="31"/>
      <c r="E54" s="31"/>
    </row>
    <row r="55" spans="3:6" x14ac:dyDescent="0.35">
      <c r="D55" s="31" t="s">
        <v>281</v>
      </c>
      <c r="E55" s="31"/>
    </row>
    <row r="56" spans="3:6" x14ac:dyDescent="0.35">
      <c r="D56" s="31"/>
      <c r="E56" s="31"/>
    </row>
    <row r="57" spans="3:6" x14ac:dyDescent="0.35">
      <c r="D57" s="1" t="s">
        <v>238</v>
      </c>
      <c r="E57" s="1">
        <f>(1/80)*SUM(B9:D44)</f>
        <v>43.912500000000001</v>
      </c>
      <c r="F57" s="1" t="s">
        <v>116</v>
      </c>
    </row>
    <row r="58" spans="3:6" x14ac:dyDescent="0.35">
      <c r="E58" s="1">
        <f>AVERAGE(B9:D44)</f>
        <v>43.912500000000001</v>
      </c>
    </row>
    <row r="61" spans="3:6" x14ac:dyDescent="0.35">
      <c r="D61" s="31" t="s">
        <v>117</v>
      </c>
      <c r="E61" s="31"/>
    </row>
    <row r="63" spans="3:6" x14ac:dyDescent="0.35">
      <c r="D63" s="31"/>
      <c r="E63" s="31"/>
      <c r="F63" s="31"/>
    </row>
    <row r="64" spans="3:6" x14ac:dyDescent="0.35">
      <c r="D64" s="1" t="s">
        <v>293</v>
      </c>
    </row>
    <row r="66" spans="3:7" x14ac:dyDescent="0.35">
      <c r="D66" s="1" t="s">
        <v>239</v>
      </c>
      <c r="E66" s="1">
        <f>(1/79)*(SUMSQ(B9:D44)-(1/80)*(SUM(B9:D44)^2))</f>
        <v>265.42262658227827</v>
      </c>
      <c r="F66" s="31" t="s">
        <v>118</v>
      </c>
      <c r="G66" s="31"/>
    </row>
    <row r="67" spans="3:7" x14ac:dyDescent="0.35">
      <c r="E67" s="1">
        <f>_xlfn.VAR.S(B9:B28, C9:C44, D9:D32)</f>
        <v>265.42262658227861</v>
      </c>
    </row>
    <row r="68" spans="3:7" x14ac:dyDescent="0.35">
      <c r="E68" s="1">
        <f>_xlfn.VAR.S(B9:D44)</f>
        <v>265.42262658227861</v>
      </c>
    </row>
    <row r="70" spans="3:7" x14ac:dyDescent="0.35">
      <c r="E70" s="33"/>
    </row>
    <row r="71" spans="3:7" ht="15.5" x14ac:dyDescent="0.35">
      <c r="C71" s="32" t="s">
        <v>26</v>
      </c>
    </row>
    <row r="72" spans="3:7" x14ac:dyDescent="0.35">
      <c r="D72" s="31" t="s">
        <v>119</v>
      </c>
      <c r="E72" s="31"/>
      <c r="F72" s="31"/>
    </row>
    <row r="74" spans="3:7" x14ac:dyDescent="0.35">
      <c r="D74" s="1" t="s">
        <v>120</v>
      </c>
      <c r="E74" s="1">
        <v>80</v>
      </c>
    </row>
    <row r="75" spans="3:7" x14ac:dyDescent="0.35">
      <c r="D75" s="1" t="s">
        <v>121</v>
      </c>
      <c r="E75" s="1">
        <v>24</v>
      </c>
    </row>
    <row r="76" spans="3:7" x14ac:dyDescent="0.35">
      <c r="D76" s="1" t="s">
        <v>122</v>
      </c>
      <c r="E76" s="1">
        <v>20</v>
      </c>
    </row>
    <row r="77" spans="3:7" x14ac:dyDescent="0.35">
      <c r="D77" s="1" t="s">
        <v>123</v>
      </c>
      <c r="E77" s="1">
        <v>36</v>
      </c>
    </row>
    <row r="78" spans="3:7" x14ac:dyDescent="0.35">
      <c r="D78" s="1" t="s">
        <v>124</v>
      </c>
      <c r="E78" s="1">
        <v>24</v>
      </c>
    </row>
    <row r="79" spans="3:7" x14ac:dyDescent="0.35">
      <c r="D79" s="1" t="s">
        <v>125</v>
      </c>
      <c r="E79" s="1">
        <v>3</v>
      </c>
    </row>
    <row r="80" spans="3:7" x14ac:dyDescent="0.35">
      <c r="F80" s="31"/>
    </row>
    <row r="81" spans="3:19" x14ac:dyDescent="0.35">
      <c r="C81" s="31" t="s">
        <v>126</v>
      </c>
      <c r="D81" s="31"/>
      <c r="E81" s="31"/>
      <c r="F81" s="31" t="s">
        <v>271</v>
      </c>
      <c r="J81" s="22" t="s">
        <v>127</v>
      </c>
      <c r="K81" s="34" t="s">
        <v>128</v>
      </c>
      <c r="L81" s="34"/>
      <c r="M81" s="1" t="s">
        <v>275</v>
      </c>
    </row>
    <row r="82" spans="3:19" x14ac:dyDescent="0.35">
      <c r="F82" s="31"/>
    </row>
    <row r="83" spans="3:19" x14ac:dyDescent="0.35">
      <c r="O83" s="1" t="s">
        <v>129</v>
      </c>
      <c r="P83" s="1" t="s">
        <v>130</v>
      </c>
      <c r="Q83" s="1" t="s">
        <v>131</v>
      </c>
      <c r="R83" s="1" t="s">
        <v>132</v>
      </c>
      <c r="S83" s="1" t="s">
        <v>133</v>
      </c>
    </row>
    <row r="84" spans="3:19" x14ac:dyDescent="0.35">
      <c r="E84" s="1" t="s">
        <v>272</v>
      </c>
      <c r="F84" s="35">
        <f>E76/E74</f>
        <v>0.25</v>
      </c>
      <c r="L84" s="36" t="s">
        <v>240</v>
      </c>
      <c r="M84" s="34">
        <f>24/3</f>
        <v>8</v>
      </c>
      <c r="O84" s="1">
        <v>20</v>
      </c>
      <c r="P84" s="1">
        <v>8</v>
      </c>
      <c r="Q84" s="1">
        <f>F84</f>
        <v>0.25</v>
      </c>
      <c r="R84" s="1">
        <f>G95</f>
        <v>169.51578947368512</v>
      </c>
      <c r="S84" s="1">
        <f>Q84^2*(O84-P84)/(O84*P84)*R84</f>
        <v>0.79460526315789892</v>
      </c>
    </row>
    <row r="85" spans="3:19" x14ac:dyDescent="0.35">
      <c r="E85" s="1" t="s">
        <v>273</v>
      </c>
      <c r="F85" s="35">
        <f>E77/E74</f>
        <v>0.45</v>
      </c>
      <c r="L85" s="36"/>
      <c r="M85" s="34"/>
      <c r="O85" s="1">
        <v>36</v>
      </c>
      <c r="P85" s="1">
        <v>8</v>
      </c>
      <c r="Q85" s="1">
        <f t="shared" ref="Q85:Q86" si="0">F85</f>
        <v>0.45</v>
      </c>
      <c r="R85" s="1">
        <f>G99</f>
        <v>70.56111111111116</v>
      </c>
      <c r="S85" s="1">
        <f t="shared" ref="S85:S86" si="1">Q85^2*(O85-P85)/(O85*P85)*R85</f>
        <v>1.3891718750000011</v>
      </c>
    </row>
    <row r="86" spans="3:19" x14ac:dyDescent="0.35">
      <c r="E86" s="1" t="s">
        <v>274</v>
      </c>
      <c r="F86" s="35">
        <f>E78/E74</f>
        <v>0.3</v>
      </c>
      <c r="L86" s="31" t="s">
        <v>276</v>
      </c>
      <c r="M86" s="31"/>
      <c r="O86" s="1">
        <v>24</v>
      </c>
      <c r="P86" s="1">
        <v>8</v>
      </c>
      <c r="Q86" s="1">
        <f t="shared" si="0"/>
        <v>0.3</v>
      </c>
      <c r="R86" s="1">
        <f>G103</f>
        <v>63.152173913043477</v>
      </c>
      <c r="S86" s="1">
        <f t="shared" si="1"/>
        <v>0.47364130434782603</v>
      </c>
    </row>
    <row r="87" spans="3:19" x14ac:dyDescent="0.35">
      <c r="R87" s="1" t="s">
        <v>134</v>
      </c>
      <c r="S87" s="1">
        <f>SUM(S84:S86)</f>
        <v>2.6574184425057261</v>
      </c>
    </row>
    <row r="88" spans="3:19" x14ac:dyDescent="0.35">
      <c r="K88" s="31" t="s">
        <v>135</v>
      </c>
      <c r="L88" s="31"/>
    </row>
    <row r="89" spans="3:19" x14ac:dyDescent="0.35">
      <c r="F89" s="31"/>
      <c r="G89" s="31"/>
    </row>
    <row r="90" spans="3:19" x14ac:dyDescent="0.35">
      <c r="C90" s="1" t="s">
        <v>136</v>
      </c>
      <c r="F90" s="31" t="s">
        <v>290</v>
      </c>
      <c r="G90" s="31"/>
      <c r="K90" s="31"/>
      <c r="L90" s="31"/>
      <c r="M90" s="31"/>
    </row>
    <row r="91" spans="3:19" x14ac:dyDescent="0.35">
      <c r="F91" s="31"/>
      <c r="G91" s="31"/>
      <c r="K91" s="31" t="s">
        <v>292</v>
      </c>
      <c r="L91" s="31"/>
      <c r="M91" s="31"/>
      <c r="N91" s="31">
        <f>((F84^2)*( (E76-M84)/(E76*M84))*G95)+((F85^2)*( (E77-M84)/(E77*M84))*G99)+((F86^2)*( (E78-M84)/(E78*M84))*G103)</f>
        <v>2.6574184425057261</v>
      </c>
    </row>
    <row r="92" spans="3:19" x14ac:dyDescent="0.35">
      <c r="K92" s="31"/>
      <c r="L92" s="31"/>
      <c r="M92" s="31"/>
      <c r="N92" s="31"/>
    </row>
    <row r="93" spans="3:19" x14ac:dyDescent="0.35">
      <c r="L93" s="31"/>
      <c r="M93" s="31"/>
      <c r="N93" s="31"/>
    </row>
    <row r="94" spans="3:19" x14ac:dyDescent="0.35">
      <c r="C94" s="31"/>
      <c r="D94" s="31"/>
      <c r="E94" s="31"/>
      <c r="F94" s="31"/>
    </row>
    <row r="95" spans="3:19" x14ac:dyDescent="0.35">
      <c r="C95" s="31"/>
      <c r="D95" s="31" t="s">
        <v>291</v>
      </c>
      <c r="E95" s="31"/>
      <c r="F95" s="31"/>
      <c r="G95" s="1">
        <f>(1/(20-1))*(SUMSQ(B9:B28)-20*(AVERAGE(B9:B28))^2)</f>
        <v>169.51578947368512</v>
      </c>
      <c r="J95" s="22" t="s">
        <v>137</v>
      </c>
      <c r="K95" s="31" t="s">
        <v>138</v>
      </c>
      <c r="L95" s="31"/>
      <c r="M95" s="31"/>
    </row>
    <row r="96" spans="3:19" x14ac:dyDescent="0.35">
      <c r="C96" s="31"/>
      <c r="D96" s="31"/>
      <c r="E96" s="31"/>
      <c r="F96" s="31"/>
      <c r="G96" s="1">
        <f>_xlfn.VAR.S(B9:B28)</f>
        <v>169.51578947368435</v>
      </c>
    </row>
    <row r="97" spans="3:21" x14ac:dyDescent="0.35">
      <c r="J97" s="31" t="s">
        <v>139</v>
      </c>
      <c r="K97" s="31"/>
      <c r="L97" s="31"/>
      <c r="M97" s="31"/>
      <c r="N97" s="31"/>
    </row>
    <row r="98" spans="3:21" x14ac:dyDescent="0.35">
      <c r="C98" s="31"/>
      <c r="D98" s="31"/>
      <c r="E98" s="31"/>
      <c r="F98" s="31"/>
      <c r="K98" s="31"/>
      <c r="L98" s="31"/>
      <c r="M98" s="31"/>
      <c r="N98" s="31"/>
    </row>
    <row r="99" spans="3:21" x14ac:dyDescent="0.35">
      <c r="C99" s="31"/>
      <c r="D99" s="31" t="s">
        <v>278</v>
      </c>
      <c r="E99" s="31"/>
      <c r="F99" s="31"/>
      <c r="G99" s="1">
        <f>(1/(36-1))*(SUMSQ(C9:C44)-36*(AVERAGE(C9:C44))^2)</f>
        <v>70.56111111111116</v>
      </c>
      <c r="K99" s="31"/>
      <c r="L99" s="31"/>
      <c r="M99" s="31"/>
      <c r="N99" s="31"/>
      <c r="Q99" s="1" t="s">
        <v>129</v>
      </c>
      <c r="R99" s="1" t="s">
        <v>130</v>
      </c>
      <c r="S99" s="1" t="s">
        <v>131</v>
      </c>
      <c r="T99" s="1" t="s">
        <v>140</v>
      </c>
      <c r="U99" s="1" t="s">
        <v>133</v>
      </c>
    </row>
    <row r="100" spans="3:21" x14ac:dyDescent="0.35">
      <c r="C100" s="31"/>
      <c r="D100" s="31"/>
      <c r="E100" s="31"/>
      <c r="F100" s="31"/>
      <c r="G100" s="1">
        <f>_xlfn.VAR.S(C9:C44)</f>
        <v>70.56111111111116</v>
      </c>
      <c r="M100" s="1">
        <f>(24/80)*20</f>
        <v>6</v>
      </c>
      <c r="N100" s="1">
        <v>6</v>
      </c>
      <c r="Q100" s="1">
        <v>20</v>
      </c>
      <c r="R100" s="1">
        <v>6</v>
      </c>
      <c r="S100" s="1">
        <f>F84</f>
        <v>0.25</v>
      </c>
      <c r="T100" s="1">
        <f>G95</f>
        <v>169.51578947368512</v>
      </c>
      <c r="U100" s="1">
        <f>S100^2*(Q100-R100)/(Q100*R100)*T100</f>
        <v>1.236052631578954</v>
      </c>
    </row>
    <row r="101" spans="3:21" x14ac:dyDescent="0.35">
      <c r="Q101" s="1">
        <v>36</v>
      </c>
      <c r="R101" s="1">
        <v>11</v>
      </c>
      <c r="S101" s="1">
        <f t="shared" ref="S101:S102" si="2">F85</f>
        <v>0.45</v>
      </c>
      <c r="T101" s="1">
        <f>G99</f>
        <v>70.56111111111116</v>
      </c>
      <c r="U101" s="1">
        <f t="shared" ref="U101:U102" si="3">S101^2*(Q101-R101)/(Q101*R101)*T101</f>
        <v>0.90205965909090979</v>
      </c>
    </row>
    <row r="102" spans="3:21" x14ac:dyDescent="0.35">
      <c r="C102" s="31"/>
      <c r="D102" s="31"/>
      <c r="E102" s="31"/>
      <c r="F102" s="31"/>
      <c r="L102" s="31"/>
      <c r="M102" s="31">
        <f>(24/80)*36</f>
        <v>10.799999999999999</v>
      </c>
      <c r="N102" s="34">
        <v>11</v>
      </c>
      <c r="Q102" s="1">
        <v>24</v>
      </c>
      <c r="R102" s="1">
        <v>7</v>
      </c>
      <c r="S102" s="1">
        <f t="shared" si="2"/>
        <v>0.3</v>
      </c>
      <c r="T102" s="1">
        <f>G103</f>
        <v>63.152173913043477</v>
      </c>
      <c r="U102" s="1">
        <f t="shared" si="3"/>
        <v>0.57513586956521734</v>
      </c>
    </row>
    <row r="103" spans="3:21" x14ac:dyDescent="0.35">
      <c r="C103" s="31"/>
      <c r="D103" s="31" t="s">
        <v>277</v>
      </c>
      <c r="E103" s="31"/>
      <c r="F103" s="31"/>
      <c r="G103" s="1">
        <f>(1/(24-1))*(SUMSQ(D9:D32)-24*(AVERAGE(D9:D32))^2)</f>
        <v>63.152173913043477</v>
      </c>
      <c r="L103" s="31"/>
      <c r="M103" s="31"/>
      <c r="N103" s="34"/>
      <c r="T103" s="1" t="s">
        <v>134</v>
      </c>
      <c r="U103" s="1">
        <f>SUM(U100:U102)</f>
        <v>2.7132481602350813</v>
      </c>
    </row>
    <row r="104" spans="3:21" x14ac:dyDescent="0.35">
      <c r="C104" s="31"/>
      <c r="D104" s="31"/>
      <c r="E104" s="31"/>
      <c r="F104" s="31"/>
      <c r="G104" s="1">
        <f>_xlfn.VAR.S(D9:D32)</f>
        <v>63.152173913043477</v>
      </c>
      <c r="M104" s="1">
        <f>(24/80)*24</f>
        <v>7.1999999999999993</v>
      </c>
      <c r="N104" s="1">
        <v>7</v>
      </c>
    </row>
    <row r="106" spans="3:21" x14ac:dyDescent="0.35">
      <c r="J106" s="31" t="s">
        <v>135</v>
      </c>
      <c r="K106" s="31"/>
    </row>
    <row r="108" spans="3:21" x14ac:dyDescent="0.35">
      <c r="K108" s="31"/>
      <c r="L108" s="31"/>
      <c r="M108" s="31"/>
    </row>
    <row r="109" spans="3:21" x14ac:dyDescent="0.35">
      <c r="K109" s="31" t="s">
        <v>279</v>
      </c>
      <c r="L109" s="31"/>
      <c r="M109" s="31"/>
      <c r="N109" s="1">
        <f>((F84^2)*( (E76-N100)/(E76*N100))*G95)+((F85^2)*( (E77-N102)/(E77*N102))*G99)+((F86^2)*( (E78-N104)/(E78*N104))*G103)</f>
        <v>2.7132481602350813</v>
      </c>
    </row>
    <row r="110" spans="3:21" x14ac:dyDescent="0.35">
      <c r="K110" s="31"/>
      <c r="L110" s="31"/>
      <c r="M110" s="31"/>
    </row>
    <row r="117" spans="10:19" x14ac:dyDescent="0.35">
      <c r="J117" s="22" t="s">
        <v>66</v>
      </c>
      <c r="K117" s="31" t="s">
        <v>141</v>
      </c>
      <c r="L117" s="31"/>
      <c r="S117" s="1">
        <f>(E76*SQRT(G95))</f>
        <v>260.39645886508146</v>
      </c>
    </row>
    <row r="118" spans="10:19" x14ac:dyDescent="0.35">
      <c r="N118" s="31"/>
      <c r="O118" s="31"/>
      <c r="P118" s="31"/>
      <c r="S118" s="1">
        <f>(E77*SQRT(G99))</f>
        <v>302.40238094300787</v>
      </c>
    </row>
    <row r="119" spans="10:19" x14ac:dyDescent="0.35">
      <c r="K119" s="31" t="s">
        <v>142</v>
      </c>
      <c r="L119" s="31"/>
      <c r="M119" s="31"/>
      <c r="N119" s="31" t="s">
        <v>280</v>
      </c>
      <c r="O119" s="31"/>
      <c r="P119" s="31"/>
      <c r="S119" s="1">
        <f>(E78*SQRT(G103))</f>
        <v>190.72402096724221</v>
      </c>
    </row>
    <row r="120" spans="10:19" x14ac:dyDescent="0.35">
      <c r="N120" s="31"/>
      <c r="O120" s="31"/>
      <c r="P120" s="31"/>
      <c r="S120" s="1">
        <f>SUM(S117:S119)</f>
        <v>753.52286077533154</v>
      </c>
    </row>
    <row r="123" spans="10:19" x14ac:dyDescent="0.35">
      <c r="N123" s="1">
        <f>(24/S120)*S117</f>
        <v>8.2937298097785188</v>
      </c>
      <c r="O123" s="1">
        <v>8</v>
      </c>
    </row>
    <row r="125" spans="10:19" x14ac:dyDescent="0.35">
      <c r="N125" s="1">
        <f>(24/S120)*S118</f>
        <v>9.6316349780874315</v>
      </c>
      <c r="O125" s="1">
        <v>10</v>
      </c>
    </row>
    <row r="127" spans="10:19" x14ac:dyDescent="0.35">
      <c r="N127" s="1">
        <f>(24/S120)*S119</f>
        <v>6.0746352121340514</v>
      </c>
      <c r="O127" s="1">
        <v>6</v>
      </c>
    </row>
    <row r="130" spans="10:21" x14ac:dyDescent="0.35">
      <c r="K130" s="31" t="s">
        <v>135</v>
      </c>
      <c r="L130" s="31"/>
      <c r="Q130" s="1" t="s">
        <v>129</v>
      </c>
      <c r="R130" s="1" t="s">
        <v>130</v>
      </c>
      <c r="S130" s="1" t="s">
        <v>131</v>
      </c>
      <c r="T130" s="1" t="s">
        <v>140</v>
      </c>
      <c r="U130" s="1" t="s">
        <v>133</v>
      </c>
    </row>
    <row r="131" spans="10:21" x14ac:dyDescent="0.35">
      <c r="Q131" s="1">
        <v>20</v>
      </c>
      <c r="R131" s="1">
        <v>8</v>
      </c>
      <c r="S131" s="1">
        <f>F84</f>
        <v>0.25</v>
      </c>
      <c r="T131" s="1">
        <f>T100</f>
        <v>169.51578947368512</v>
      </c>
      <c r="U131" s="1">
        <f>S131^2*(Q131-R131)/(Q131*R131)*T131</f>
        <v>0.79460526315789892</v>
      </c>
    </row>
    <row r="132" spans="10:21" x14ac:dyDescent="0.35">
      <c r="K132" s="31"/>
      <c r="L132" s="31"/>
      <c r="M132" s="31"/>
      <c r="Q132" s="1">
        <v>36</v>
      </c>
      <c r="R132" s="1">
        <v>10</v>
      </c>
      <c r="S132" s="1">
        <f t="shared" ref="S132:S133" si="4">F85</f>
        <v>0.45</v>
      </c>
      <c r="T132" s="1">
        <f>T101</f>
        <v>70.56111111111116</v>
      </c>
      <c r="U132" s="1">
        <f t="shared" ref="U132:U133" si="5">S132^2*(Q132-R132)/(Q132*R132)*T132</f>
        <v>1.0319562500000008</v>
      </c>
    </row>
    <row r="133" spans="10:21" ht="18" customHeight="1" x14ac:dyDescent="5.0999999999999996">
      <c r="K133" s="31" t="s">
        <v>292</v>
      </c>
      <c r="L133" s="10"/>
      <c r="M133" s="31"/>
      <c r="N133" s="1">
        <f>((F84^2)*( (E76-O123)/(E76*O123))*G95)+((F85^2)*( (E77-O125)/(E77*O125))*G99)+((F86^2)*( (E78-O127)/(E78*O127))*G103)</f>
        <v>2.5370234696796388</v>
      </c>
      <c r="Q133" s="1">
        <v>24</v>
      </c>
      <c r="R133" s="1">
        <v>6</v>
      </c>
      <c r="S133" s="1">
        <f t="shared" si="4"/>
        <v>0.3</v>
      </c>
      <c r="T133" s="1">
        <f>T102</f>
        <v>63.152173913043477</v>
      </c>
      <c r="U133" s="1">
        <f t="shared" si="5"/>
        <v>0.71046195652173905</v>
      </c>
    </row>
    <row r="134" spans="10:21" x14ac:dyDescent="0.35">
      <c r="K134" s="31"/>
      <c r="L134" s="31"/>
      <c r="M134" s="31"/>
      <c r="T134" s="1" t="s">
        <v>134</v>
      </c>
      <c r="U134" s="1">
        <f>SUM(U131:U133)</f>
        <v>2.5370234696796388</v>
      </c>
    </row>
    <row r="139" spans="10:21" ht="18.649999999999999" customHeight="1" x14ac:dyDescent="0.35">
      <c r="J139" s="37" t="s">
        <v>143</v>
      </c>
      <c r="K139" s="37"/>
      <c r="L139" s="37"/>
    </row>
    <row r="140" spans="10:21" ht="14.5" customHeight="1" x14ac:dyDescent="0.35">
      <c r="J140" s="37"/>
      <c r="K140" s="37"/>
      <c r="L140" s="37"/>
    </row>
    <row r="143" spans="10:21" x14ac:dyDescent="0.35">
      <c r="K143" s="31" t="s">
        <v>144</v>
      </c>
      <c r="L143" s="31"/>
      <c r="N143" s="1">
        <f>((E74-E75)/(E74*E75))*E66</f>
        <v>7.7414932753164498</v>
      </c>
    </row>
    <row r="146" spans="10:19" x14ac:dyDescent="0.35">
      <c r="J146" s="31" t="s">
        <v>145</v>
      </c>
      <c r="K146" s="31"/>
      <c r="L146" s="31"/>
      <c r="M146" s="31"/>
      <c r="N146" s="1">
        <f>N143/N91</f>
        <v>2.913163072661173</v>
      </c>
      <c r="O146" s="22" t="s">
        <v>146</v>
      </c>
      <c r="P146" s="31"/>
      <c r="Q146" s="31"/>
      <c r="R146" s="31"/>
      <c r="S146" s="31"/>
    </row>
    <row r="147" spans="10:19" x14ac:dyDescent="0.35">
      <c r="J147" s="35"/>
      <c r="K147" s="35"/>
      <c r="L147" s="35"/>
      <c r="M147" s="35"/>
      <c r="O147" s="22"/>
    </row>
    <row r="148" spans="10:19" x14ac:dyDescent="0.35">
      <c r="J148" s="31" t="s">
        <v>147</v>
      </c>
      <c r="K148" s="31"/>
      <c r="L148" s="31"/>
      <c r="M148" s="31"/>
      <c r="N148" s="1">
        <f>N143/N109</f>
        <v>2.8532197639620667</v>
      </c>
      <c r="O148" s="22" t="s">
        <v>146</v>
      </c>
      <c r="P148" s="31"/>
      <c r="Q148" s="31"/>
      <c r="R148" s="31"/>
      <c r="S148" s="31"/>
    </row>
    <row r="149" spans="10:19" x14ac:dyDescent="0.35">
      <c r="J149" s="35"/>
      <c r="K149" s="35"/>
      <c r="L149" s="35"/>
      <c r="M149" s="35"/>
      <c r="O149" s="22"/>
    </row>
    <row r="150" spans="10:19" x14ac:dyDescent="0.35">
      <c r="J150" s="31" t="s">
        <v>148</v>
      </c>
      <c r="K150" s="31"/>
      <c r="L150" s="31"/>
      <c r="M150" s="31"/>
      <c r="N150" s="1">
        <f>N143/N133</f>
        <v>3.051407828045833</v>
      </c>
      <c r="O150" s="22" t="s">
        <v>146</v>
      </c>
      <c r="P150" s="31"/>
      <c r="Q150" s="31"/>
      <c r="R150" s="31"/>
      <c r="S150" s="31"/>
    </row>
    <row r="151" spans="10:19" x14ac:dyDescent="0.35">
      <c r="J151" s="31"/>
      <c r="K151" s="31"/>
      <c r="L151" s="31"/>
      <c r="M151" s="31"/>
    </row>
    <row r="153" spans="10:19" ht="14.5" customHeight="1" x14ac:dyDescent="0.35">
      <c r="J153" s="37" t="s">
        <v>149</v>
      </c>
      <c r="K153" s="37"/>
      <c r="L153" s="37"/>
      <c r="M153" s="37"/>
    </row>
    <row r="154" spans="10:19" ht="14.5" customHeight="1" x14ac:dyDescent="0.35">
      <c r="J154" s="37"/>
      <c r="K154" s="37"/>
      <c r="L154" s="37"/>
      <c r="M154" s="37"/>
    </row>
    <row r="157" spans="10:19" x14ac:dyDescent="0.35">
      <c r="K157" s="31" t="s">
        <v>150</v>
      </c>
      <c r="L157" s="31"/>
      <c r="M157" s="38">
        <f>(N143-N91)/N91</f>
        <v>1.913163072661173</v>
      </c>
    </row>
    <row r="158" spans="10:19" x14ac:dyDescent="0.35">
      <c r="K158" s="35"/>
      <c r="L158" s="35"/>
    </row>
    <row r="159" spans="10:19" x14ac:dyDescent="0.35">
      <c r="K159" s="31" t="s">
        <v>151</v>
      </c>
      <c r="L159" s="31"/>
      <c r="M159" s="38">
        <f>(N143-N109)/N109</f>
        <v>1.8532197639620664</v>
      </c>
    </row>
    <row r="160" spans="10:19" x14ac:dyDescent="0.35">
      <c r="K160" s="35"/>
      <c r="L160" s="35"/>
    </row>
    <row r="161" spans="11:13" x14ac:dyDescent="0.35">
      <c r="K161" s="31" t="s">
        <v>152</v>
      </c>
      <c r="L161" s="31"/>
      <c r="M161" s="38">
        <f>(N143-N133)/N133</f>
        <v>2.051407828045833</v>
      </c>
    </row>
    <row r="162" spans="11:13" x14ac:dyDescent="0.35">
      <c r="M162" s="3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12"/>
  <sheetViews>
    <sheetView topLeftCell="A112" zoomScaleNormal="100" workbookViewId="0">
      <selection activeCell="L53" sqref="L53"/>
    </sheetView>
  </sheetViews>
  <sheetFormatPr defaultRowHeight="14.5" x14ac:dyDescent="0.35"/>
  <cols>
    <col min="1" max="1" width="8.7265625" style="2"/>
    <col min="2" max="2" width="10.26953125" style="2" bestFit="1" customWidth="1"/>
    <col min="3" max="6" width="8.7265625" style="2"/>
    <col min="7" max="7" width="8.7265625" style="2" customWidth="1"/>
    <col min="8" max="8" width="8.7265625" style="2"/>
    <col min="9" max="9" width="10.81640625" style="2" customWidth="1"/>
    <col min="10" max="10" width="10.1796875" style="2" customWidth="1"/>
    <col min="11" max="11" width="8.7265625" style="2"/>
    <col min="12" max="12" width="10.54296875" style="2" customWidth="1"/>
    <col min="13" max="16384" width="8.7265625" style="2"/>
  </cols>
  <sheetData>
    <row r="2" spans="2:15" x14ac:dyDescent="0.35">
      <c r="B2" s="25" t="s">
        <v>153</v>
      </c>
      <c r="C2" s="25" t="s">
        <v>154</v>
      </c>
      <c r="D2" s="25" t="s">
        <v>155</v>
      </c>
    </row>
    <row r="3" spans="2:15" x14ac:dyDescent="0.35">
      <c r="B3" s="2">
        <v>1</v>
      </c>
      <c r="C3" s="2">
        <v>5.4</v>
      </c>
      <c r="D3" s="2">
        <v>3</v>
      </c>
    </row>
    <row r="4" spans="2:15" x14ac:dyDescent="0.35">
      <c r="B4" s="2">
        <v>2</v>
      </c>
      <c r="C4" s="2">
        <v>10.6</v>
      </c>
      <c r="D4" s="2">
        <v>5</v>
      </c>
    </row>
    <row r="5" spans="2:15" x14ac:dyDescent="0.35">
      <c r="B5" s="2">
        <v>3</v>
      </c>
      <c r="C5" s="2">
        <v>15.2</v>
      </c>
      <c r="D5" s="2">
        <v>10</v>
      </c>
    </row>
    <row r="6" spans="2:15" x14ac:dyDescent="0.35">
      <c r="B6" s="2">
        <v>4</v>
      </c>
      <c r="C6" s="2">
        <v>12.7</v>
      </c>
      <c r="D6" s="2">
        <v>8</v>
      </c>
    </row>
    <row r="7" spans="2:15" x14ac:dyDescent="0.35">
      <c r="B7" s="2">
        <v>5</v>
      </c>
      <c r="C7" s="2">
        <v>8.5</v>
      </c>
      <c r="D7" s="2">
        <v>4</v>
      </c>
      <c r="F7" s="5" t="s">
        <v>156</v>
      </c>
      <c r="G7" s="5"/>
      <c r="H7" s="5"/>
      <c r="I7" s="5"/>
      <c r="J7" s="5"/>
      <c r="K7" s="5"/>
      <c r="L7" s="5"/>
      <c r="M7" s="5"/>
      <c r="N7" s="5"/>
      <c r="O7" s="9"/>
    </row>
    <row r="8" spans="2:15" x14ac:dyDescent="0.35">
      <c r="B8" s="2">
        <v>6</v>
      </c>
      <c r="C8" s="2">
        <v>10</v>
      </c>
      <c r="D8" s="2">
        <v>4</v>
      </c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35">
      <c r="B9" s="2">
        <v>7</v>
      </c>
      <c r="C9" s="2">
        <v>16.2</v>
      </c>
      <c r="D9" s="2">
        <v>8</v>
      </c>
      <c r="F9" s="5" t="s">
        <v>157</v>
      </c>
      <c r="G9" s="5"/>
      <c r="H9" s="5"/>
      <c r="I9" s="5"/>
      <c r="J9" s="5"/>
      <c r="K9" s="5"/>
      <c r="L9" s="5"/>
      <c r="M9" s="9"/>
      <c r="N9" s="9"/>
      <c r="O9" s="9"/>
    </row>
    <row r="10" spans="2:15" x14ac:dyDescent="0.35">
      <c r="B10" s="2">
        <v>8</v>
      </c>
      <c r="C10" s="2">
        <v>15.5</v>
      </c>
      <c r="D10" s="2">
        <v>6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35">
      <c r="B11" s="2">
        <v>9</v>
      </c>
      <c r="C11" s="2">
        <v>12.2</v>
      </c>
      <c r="D11" s="2">
        <v>7</v>
      </c>
      <c r="F11" s="5" t="s">
        <v>158</v>
      </c>
      <c r="G11" s="5"/>
      <c r="H11" s="5"/>
      <c r="I11" s="5"/>
      <c r="J11" s="5"/>
      <c r="K11" s="5"/>
      <c r="L11" s="5"/>
      <c r="M11" s="5"/>
      <c r="N11" s="5"/>
      <c r="O11" s="5"/>
    </row>
    <row r="12" spans="2:15" x14ac:dyDescent="0.35">
      <c r="B12" s="2">
        <v>10</v>
      </c>
      <c r="C12" s="2">
        <v>10.5</v>
      </c>
      <c r="D12" s="2">
        <v>3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35">
      <c r="B13" s="2">
        <v>11</v>
      </c>
      <c r="C13" s="2">
        <v>6.2</v>
      </c>
      <c r="D13" s="2">
        <v>3</v>
      </c>
      <c r="F13" s="5" t="s">
        <v>159</v>
      </c>
      <c r="G13" s="5"/>
      <c r="H13" s="5"/>
      <c r="I13" s="9"/>
      <c r="J13" s="9"/>
      <c r="K13" s="9"/>
      <c r="L13" s="9"/>
      <c r="M13" s="9"/>
      <c r="N13" s="9"/>
      <c r="O13" s="9"/>
    </row>
    <row r="14" spans="2:15" x14ac:dyDescent="0.35">
      <c r="B14" s="2">
        <v>12</v>
      </c>
      <c r="C14" s="2">
        <v>4.4000000000000004</v>
      </c>
      <c r="D14" s="2">
        <v>2</v>
      </c>
    </row>
    <row r="15" spans="2:15" x14ac:dyDescent="0.35">
      <c r="B15" s="2">
        <v>13</v>
      </c>
      <c r="C15" s="2">
        <v>8.5</v>
      </c>
      <c r="D15" s="2">
        <v>5</v>
      </c>
    </row>
    <row r="16" spans="2:15" x14ac:dyDescent="0.35">
      <c r="B16" s="2">
        <v>14</v>
      </c>
      <c r="C16" s="2">
        <v>20.8</v>
      </c>
      <c r="D16" s="2">
        <v>10</v>
      </c>
    </row>
    <row r="17" spans="2:4" x14ac:dyDescent="0.35">
      <c r="B17" s="2">
        <v>15</v>
      </c>
      <c r="C17" s="2">
        <v>24</v>
      </c>
      <c r="D17" s="2">
        <v>10</v>
      </c>
    </row>
    <row r="18" spans="2:4" x14ac:dyDescent="0.35">
      <c r="B18" s="2">
        <v>16</v>
      </c>
      <c r="C18" s="2">
        <v>20</v>
      </c>
      <c r="D18" s="2">
        <v>8</v>
      </c>
    </row>
    <row r="19" spans="2:4" x14ac:dyDescent="0.35">
      <c r="B19" s="2">
        <v>17</v>
      </c>
      <c r="C19" s="2">
        <v>18.8</v>
      </c>
      <c r="D19" s="2">
        <v>6</v>
      </c>
    </row>
    <row r="20" spans="2:4" x14ac:dyDescent="0.35">
      <c r="B20" s="2">
        <v>18</v>
      </c>
      <c r="C20" s="2">
        <v>14.2</v>
      </c>
      <c r="D20" s="2">
        <v>7</v>
      </c>
    </row>
    <row r="21" spans="2:4" x14ac:dyDescent="0.35">
      <c r="B21" s="2">
        <v>19</v>
      </c>
      <c r="C21" s="2">
        <v>11.3</v>
      </c>
      <c r="D21" s="2">
        <v>12</v>
      </c>
    </row>
    <row r="22" spans="2:4" x14ac:dyDescent="0.35">
      <c r="B22" s="2">
        <v>20</v>
      </c>
      <c r="C22" s="2">
        <v>14.4</v>
      </c>
      <c r="D22" s="2">
        <v>8</v>
      </c>
    </row>
    <row r="23" spans="2:4" x14ac:dyDescent="0.35">
      <c r="B23" s="2">
        <v>21</v>
      </c>
      <c r="C23" s="2">
        <v>20.2</v>
      </c>
      <c r="D23" s="2">
        <v>5</v>
      </c>
    </row>
    <row r="24" spans="2:4" x14ac:dyDescent="0.35">
      <c r="B24" s="2">
        <v>22</v>
      </c>
      <c r="C24" s="2">
        <v>18.5</v>
      </c>
      <c r="D24" s="2">
        <v>6</v>
      </c>
    </row>
    <row r="25" spans="2:4" x14ac:dyDescent="0.35">
      <c r="B25" s="2">
        <v>23</v>
      </c>
      <c r="C25" s="2">
        <v>12.2</v>
      </c>
      <c r="D25" s="2">
        <v>4</v>
      </c>
    </row>
    <row r="26" spans="2:4" x14ac:dyDescent="0.35">
      <c r="B26" s="2">
        <v>24</v>
      </c>
      <c r="C26" s="2">
        <v>15</v>
      </c>
      <c r="D26" s="2">
        <v>7</v>
      </c>
    </row>
    <row r="27" spans="2:4" x14ac:dyDescent="0.35">
      <c r="B27" s="2">
        <v>25</v>
      </c>
      <c r="C27" s="2">
        <v>8.1999999999999993</v>
      </c>
      <c r="D27" s="2">
        <v>2</v>
      </c>
    </row>
    <row r="28" spans="2:4" x14ac:dyDescent="0.35">
      <c r="B28" s="2">
        <v>26</v>
      </c>
      <c r="C28" s="2">
        <v>10.5</v>
      </c>
      <c r="D28" s="2">
        <v>5</v>
      </c>
    </row>
    <row r="29" spans="2:4" x14ac:dyDescent="0.35">
      <c r="B29" s="2">
        <v>27</v>
      </c>
      <c r="C29" s="2">
        <v>12.6</v>
      </c>
      <c r="D29" s="2">
        <v>8</v>
      </c>
    </row>
    <row r="30" spans="2:4" x14ac:dyDescent="0.35">
      <c r="B30" s="2">
        <v>28</v>
      </c>
      <c r="C30" s="2">
        <v>17.2</v>
      </c>
      <c r="D30" s="2">
        <v>6</v>
      </c>
    </row>
    <row r="31" spans="2:4" x14ac:dyDescent="0.35">
      <c r="B31" s="2">
        <v>29</v>
      </c>
      <c r="C31" s="2">
        <v>5.6</v>
      </c>
      <c r="D31" s="2">
        <v>2</v>
      </c>
    </row>
    <row r="32" spans="2:4" x14ac:dyDescent="0.35">
      <c r="B32" s="2">
        <v>30</v>
      </c>
      <c r="C32" s="2">
        <v>8.5</v>
      </c>
      <c r="D32" s="2">
        <v>4</v>
      </c>
    </row>
    <row r="35" spans="3:11" ht="14.5" customHeight="1" x14ac:dyDescent="0.35">
      <c r="C35" s="13"/>
      <c r="D35" s="13"/>
      <c r="E35" s="13"/>
    </row>
    <row r="36" spans="3:11" ht="14.5" customHeight="1" x14ac:dyDescent="0.35">
      <c r="C36" s="13"/>
      <c r="D36" s="13"/>
      <c r="E36" s="13"/>
    </row>
    <row r="38" spans="3:11" ht="15.5" x14ac:dyDescent="0.35">
      <c r="D38" s="21" t="s">
        <v>16</v>
      </c>
      <c r="F38" s="5" t="s">
        <v>160</v>
      </c>
      <c r="G38" s="5"/>
    </row>
    <row r="39" spans="3:11" x14ac:dyDescent="0.35">
      <c r="H39" s="2" t="s">
        <v>120</v>
      </c>
      <c r="I39" s="2">
        <v>400</v>
      </c>
    </row>
    <row r="40" spans="3:11" x14ac:dyDescent="0.35">
      <c r="H40" s="2" t="s">
        <v>121</v>
      </c>
      <c r="I40" s="2">
        <v>30</v>
      </c>
    </row>
    <row r="44" spans="3:11" x14ac:dyDescent="0.35">
      <c r="F44" s="5" t="s">
        <v>161</v>
      </c>
      <c r="G44" s="5"/>
      <c r="H44" s="5"/>
      <c r="I44" s="2" t="s">
        <v>282</v>
      </c>
      <c r="J44" s="2">
        <v>2450</v>
      </c>
    </row>
    <row r="47" spans="3:11" x14ac:dyDescent="0.35">
      <c r="F47" s="5" t="s">
        <v>162</v>
      </c>
      <c r="G47" s="5"/>
      <c r="H47" s="5"/>
      <c r="I47" s="5"/>
      <c r="J47" s="2" t="s">
        <v>241</v>
      </c>
      <c r="K47" s="2">
        <f>2450/400</f>
        <v>6.125</v>
      </c>
    </row>
    <row r="49" spans="5:19" x14ac:dyDescent="0.35">
      <c r="E49" s="5" t="s">
        <v>163</v>
      </c>
      <c r="F49" s="5"/>
      <c r="G49" s="5"/>
      <c r="H49" s="5"/>
      <c r="I49" s="2" t="s">
        <v>283</v>
      </c>
      <c r="K49" s="2">
        <f>(1/30)*SUM(C3:C32)</f>
        <v>12.930000000000001</v>
      </c>
      <c r="M49" s="5" t="s">
        <v>164</v>
      </c>
      <c r="N49" s="5"/>
      <c r="O49" s="5"/>
      <c r="P49" s="5"/>
      <c r="Q49" s="2" t="s">
        <v>244</v>
      </c>
      <c r="S49" s="2">
        <f>(1/30)*SUM(D3:D32)</f>
        <v>5.9333333333333336</v>
      </c>
    </row>
    <row r="51" spans="5:19" x14ac:dyDescent="0.35">
      <c r="E51" s="5" t="s">
        <v>165</v>
      </c>
      <c r="F51" s="5"/>
    </row>
    <row r="52" spans="5:19" x14ac:dyDescent="0.35">
      <c r="G52" s="5" t="s">
        <v>166</v>
      </c>
      <c r="H52" s="5"/>
      <c r="I52" s="5"/>
      <c r="J52" s="5"/>
      <c r="K52" s="5"/>
      <c r="L52" s="2" t="s">
        <v>245</v>
      </c>
    </row>
    <row r="55" spans="5:19" x14ac:dyDescent="0.35">
      <c r="I55" s="2" t="s">
        <v>242</v>
      </c>
      <c r="J55" s="2">
        <f>(K49/S49)*K47</f>
        <v>13.347682584269663</v>
      </c>
    </row>
    <row r="58" spans="5:19" x14ac:dyDescent="0.35">
      <c r="G58" s="5" t="s">
        <v>167</v>
      </c>
      <c r="H58" s="5"/>
      <c r="I58" s="5"/>
      <c r="J58" s="5"/>
      <c r="K58" s="2" t="s">
        <v>243</v>
      </c>
      <c r="L58" s="2">
        <f>I39*J55</f>
        <v>5339.0730337078649</v>
      </c>
      <c r="M58" s="2" t="s">
        <v>168</v>
      </c>
    </row>
    <row r="62" spans="5:19" x14ac:dyDescent="0.35">
      <c r="E62" s="5" t="s">
        <v>169</v>
      </c>
      <c r="F62" s="5"/>
    </row>
    <row r="63" spans="5:19" x14ac:dyDescent="0.35">
      <c r="G63" s="5" t="s">
        <v>170</v>
      </c>
      <c r="H63" s="5"/>
      <c r="I63" s="5"/>
      <c r="J63" s="5"/>
      <c r="K63" s="5"/>
      <c r="O63" s="2" t="s">
        <v>171</v>
      </c>
    </row>
    <row r="64" spans="5:19" x14ac:dyDescent="0.35">
      <c r="P64" s="2" t="s">
        <v>248</v>
      </c>
      <c r="Q64" s="2">
        <f>_xlfn.COVARIANCE.S(D3:D32,C3:C32)</f>
        <v>8.950344827586207</v>
      </c>
    </row>
    <row r="65" spans="5:17" x14ac:dyDescent="0.35">
      <c r="I65" s="5" t="s">
        <v>246</v>
      </c>
      <c r="J65" s="5"/>
      <c r="K65" s="5"/>
      <c r="P65" s="2" t="s">
        <v>249</v>
      </c>
      <c r="Q65" s="2">
        <f>_xlfn.VAR.S(D3:D32)</f>
        <v>6.9609195402298818</v>
      </c>
    </row>
    <row r="67" spans="5:17" x14ac:dyDescent="0.35">
      <c r="I67" s="2" t="s">
        <v>247</v>
      </c>
      <c r="K67" s="2">
        <f>K49+(Q67*(K47-S49))</f>
        <v>13.176444848084545</v>
      </c>
      <c r="L67" s="2" t="s">
        <v>168</v>
      </c>
      <c r="P67" s="2" t="s">
        <v>250</v>
      </c>
      <c r="Q67" s="2">
        <f>Q64/Q65</f>
        <v>1.2857992073976228</v>
      </c>
    </row>
    <row r="69" spans="5:17" x14ac:dyDescent="0.35">
      <c r="I69" s="2" t="s">
        <v>172</v>
      </c>
      <c r="M69" s="2">
        <f>I39*K67</f>
        <v>5270.5779392338181</v>
      </c>
      <c r="N69" s="2" t="s">
        <v>168</v>
      </c>
    </row>
    <row r="73" spans="5:17" ht="15.5" x14ac:dyDescent="0.35">
      <c r="E73" s="21" t="s">
        <v>26</v>
      </c>
    </row>
    <row r="75" spans="5:17" x14ac:dyDescent="0.35">
      <c r="F75" s="2" t="s">
        <v>173</v>
      </c>
    </row>
    <row r="77" spans="5:17" x14ac:dyDescent="0.35">
      <c r="G77" s="5" t="s">
        <v>174</v>
      </c>
      <c r="H77" s="5"/>
      <c r="I77" s="5"/>
      <c r="J77" s="5"/>
      <c r="K77" s="2" t="s">
        <v>251</v>
      </c>
    </row>
    <row r="80" spans="5:17" x14ac:dyDescent="0.35">
      <c r="I80" s="5"/>
      <c r="J80" s="5" t="s">
        <v>252</v>
      </c>
      <c r="K80" s="5"/>
      <c r="L80" s="5"/>
      <c r="N80" s="2" t="s">
        <v>171</v>
      </c>
    </row>
    <row r="82" spans="6:16" x14ac:dyDescent="0.35">
      <c r="J82" s="5"/>
      <c r="K82" s="5"/>
      <c r="L82" s="5"/>
      <c r="M82" s="5"/>
      <c r="O82" s="2" t="s">
        <v>255</v>
      </c>
      <c r="P82" s="2">
        <f>K49/S49</f>
        <v>2.1792134831460674</v>
      </c>
    </row>
    <row r="83" spans="6:16" x14ac:dyDescent="0.35">
      <c r="J83" s="5" t="s">
        <v>253</v>
      </c>
      <c r="K83" s="5"/>
      <c r="L83" s="5"/>
      <c r="M83" s="5"/>
    </row>
    <row r="84" spans="6:16" x14ac:dyDescent="0.35">
      <c r="J84" s="5"/>
      <c r="K84" s="5"/>
      <c r="L84" s="5"/>
      <c r="M84" s="5"/>
    </row>
    <row r="85" spans="6:16" x14ac:dyDescent="0.35">
      <c r="O85" s="2" t="s">
        <v>256</v>
      </c>
      <c r="P85" s="2">
        <f>_xlfn.VAR.S(C3:C32)</f>
        <v>25.551137931034425</v>
      </c>
    </row>
    <row r="88" spans="6:16" x14ac:dyDescent="0.35">
      <c r="K88" s="2" t="s">
        <v>254</v>
      </c>
      <c r="L88" s="2">
        <f>400^2*(((400-30)/(400*30))*(P85+((P82^2)*Q65)-2*P82*Q64))</f>
        <v>96688.012865552722</v>
      </c>
    </row>
    <row r="93" spans="6:16" x14ac:dyDescent="0.35">
      <c r="F93" s="5" t="s">
        <v>175</v>
      </c>
      <c r="G93" s="5"/>
    </row>
    <row r="95" spans="6:16" x14ac:dyDescent="0.35">
      <c r="H95" s="5" t="s">
        <v>174</v>
      </c>
      <c r="I95" s="5"/>
      <c r="J95" s="5"/>
      <c r="K95" s="5"/>
      <c r="L95" s="2" t="s">
        <v>257</v>
      </c>
    </row>
    <row r="98" spans="6:17" x14ac:dyDescent="0.35">
      <c r="K98" s="5"/>
      <c r="L98" s="5"/>
      <c r="M98" s="5"/>
      <c r="O98" s="2" t="s">
        <v>176</v>
      </c>
    </row>
    <row r="99" spans="6:17" x14ac:dyDescent="0.35">
      <c r="K99" s="5" t="s">
        <v>258</v>
      </c>
      <c r="L99" s="5"/>
      <c r="M99" s="5"/>
    </row>
    <row r="100" spans="6:17" x14ac:dyDescent="0.35">
      <c r="P100" s="2" t="s">
        <v>259</v>
      </c>
      <c r="Q100" s="2">
        <f>Q64/(SQRT(_xlfn.VAR.S(C3:C32)*_xlfn.VAR.S(D3:D32)))</f>
        <v>0.67112178648234222</v>
      </c>
    </row>
    <row r="101" spans="6:17" x14ac:dyDescent="0.35">
      <c r="K101" s="15" t="s">
        <v>28</v>
      </c>
      <c r="L101" s="2">
        <f>(400^2)*((400-30)/(400*30))*(1-Q100^2)</f>
        <v>2711.3380353631642</v>
      </c>
    </row>
    <row r="102" spans="6:17" ht="14.5" customHeight="1" x14ac:dyDescent="0.35">
      <c r="F102" s="13" t="s">
        <v>177</v>
      </c>
      <c r="G102" s="13"/>
      <c r="H102" s="13"/>
      <c r="I102" s="13"/>
    </row>
    <row r="104" spans="6:17" x14ac:dyDescent="0.35">
      <c r="G104" s="2" t="s">
        <v>178</v>
      </c>
      <c r="K104" s="2" t="s">
        <v>260</v>
      </c>
      <c r="M104" s="23" t="s">
        <v>28</v>
      </c>
      <c r="N104" s="2">
        <f>(400^2)*((400-30)/(400*30))*P85</f>
        <v>126052.28045976983</v>
      </c>
    </row>
    <row r="108" spans="6:17" x14ac:dyDescent="0.35">
      <c r="I108" s="2" t="s">
        <v>179</v>
      </c>
      <c r="J108" s="2">
        <f>N104/L88</f>
        <v>1.3037012213194299</v>
      </c>
    </row>
    <row r="109" spans="6:17" x14ac:dyDescent="0.35">
      <c r="J109" s="2">
        <f>(J108-1)</f>
        <v>0.30370122131942989</v>
      </c>
    </row>
    <row r="110" spans="6:17" x14ac:dyDescent="0.35">
      <c r="F110" s="5" t="s">
        <v>180</v>
      </c>
      <c r="G110" s="5"/>
      <c r="H110" s="5"/>
      <c r="I110" s="5"/>
      <c r="J110" s="24">
        <f>(N104-L88)/L88</f>
        <v>0.30370122131942984</v>
      </c>
    </row>
    <row r="112" spans="6:17" x14ac:dyDescent="0.35">
      <c r="F112" s="5" t="s">
        <v>181</v>
      </c>
      <c r="G112" s="5"/>
      <c r="H112" s="5"/>
      <c r="I112" s="5"/>
      <c r="J112" s="24">
        <f>(N104-L101)/L101</f>
        <v>45.490802259145838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64"/>
  <sheetViews>
    <sheetView topLeftCell="B1" workbookViewId="0">
      <selection activeCell="L18" sqref="L18"/>
    </sheetView>
  </sheetViews>
  <sheetFormatPr defaultRowHeight="14" x14ac:dyDescent="0.3"/>
  <cols>
    <col min="1" max="4" width="8.7265625" style="26"/>
    <col min="5" max="5" width="13.1796875" style="26" bestFit="1" customWidth="1"/>
    <col min="6" max="7" width="8.7265625" style="26"/>
    <col min="8" max="8" width="16" style="26" bestFit="1" customWidth="1"/>
    <col min="9" max="9" width="8.7265625" style="26"/>
    <col min="10" max="10" width="13.7265625" style="26" bestFit="1" customWidth="1"/>
    <col min="11" max="11" width="8.7265625" style="26"/>
    <col min="12" max="12" width="16" style="26" bestFit="1" customWidth="1"/>
    <col min="13" max="16384" width="8.7265625" style="26"/>
  </cols>
  <sheetData>
    <row r="4" spans="4:10" ht="16.5" x14ac:dyDescent="0.3">
      <c r="D4" s="27" t="s">
        <v>182</v>
      </c>
      <c r="E4" s="27" t="s">
        <v>183</v>
      </c>
      <c r="F4" s="27" t="s">
        <v>268</v>
      </c>
      <c r="G4" s="27" t="s">
        <v>269</v>
      </c>
      <c r="H4" s="27" t="s">
        <v>270</v>
      </c>
      <c r="J4" s="28" t="s">
        <v>264</v>
      </c>
    </row>
    <row r="5" spans="4:10" x14ac:dyDescent="0.3">
      <c r="D5" s="29">
        <v>1</v>
      </c>
      <c r="E5" s="29">
        <v>5.53</v>
      </c>
      <c r="F5" s="29">
        <v>4.84</v>
      </c>
      <c r="G5" s="29">
        <v>0.69</v>
      </c>
      <c r="H5" s="29">
        <v>15.79</v>
      </c>
      <c r="J5" s="28" t="s">
        <v>265</v>
      </c>
    </row>
    <row r="6" spans="4:10" x14ac:dyDescent="0.3">
      <c r="D6" s="29">
        <v>2</v>
      </c>
      <c r="E6" s="29">
        <v>26.11</v>
      </c>
      <c r="F6" s="29">
        <v>10.93</v>
      </c>
      <c r="G6" s="29">
        <v>19.079999999999998</v>
      </c>
      <c r="H6" s="29">
        <v>11.18</v>
      </c>
      <c r="J6" s="28" t="s">
        <v>266</v>
      </c>
    </row>
    <row r="7" spans="4:10" x14ac:dyDescent="0.3">
      <c r="D7" s="29">
        <v>3</v>
      </c>
      <c r="E7" s="29">
        <v>11.08</v>
      </c>
      <c r="F7" s="29">
        <v>0.65</v>
      </c>
      <c r="G7" s="29">
        <v>4.21</v>
      </c>
      <c r="H7" s="29">
        <v>7.56</v>
      </c>
      <c r="J7" s="28" t="s">
        <v>267</v>
      </c>
    </row>
    <row r="8" spans="4:10" x14ac:dyDescent="0.3">
      <c r="D8" s="29">
        <v>4</v>
      </c>
      <c r="E8" s="29">
        <v>12.66</v>
      </c>
      <c r="F8" s="29">
        <v>32.520000000000003</v>
      </c>
      <c r="G8" s="29">
        <v>16.920000000000002</v>
      </c>
      <c r="H8" s="29">
        <v>37.020000000000003</v>
      </c>
    </row>
    <row r="9" spans="4:10" x14ac:dyDescent="0.3">
      <c r="D9" s="29">
        <v>5</v>
      </c>
      <c r="E9" s="29">
        <v>0.87</v>
      </c>
      <c r="F9" s="29">
        <v>3.56</v>
      </c>
      <c r="G9" s="29">
        <v>4.8099999999999996</v>
      </c>
      <c r="H9" s="29">
        <v>57.54</v>
      </c>
    </row>
    <row r="10" spans="4:10" x14ac:dyDescent="0.3">
      <c r="D10" s="29">
        <v>6</v>
      </c>
      <c r="E10" s="29">
        <v>6.4</v>
      </c>
      <c r="F10" s="29">
        <v>11.68</v>
      </c>
      <c r="G10" s="29">
        <v>40.049999999999997</v>
      </c>
      <c r="H10" s="29">
        <v>5.15</v>
      </c>
    </row>
    <row r="11" spans="4:10" x14ac:dyDescent="0.3">
      <c r="D11" s="29">
        <v>7</v>
      </c>
      <c r="E11" s="29">
        <v>54.21</v>
      </c>
      <c r="F11" s="29">
        <v>34.630000000000003</v>
      </c>
      <c r="G11" s="29">
        <v>52.55</v>
      </c>
      <c r="H11" s="29">
        <v>37.96</v>
      </c>
    </row>
    <row r="12" spans="4:10" x14ac:dyDescent="0.3">
      <c r="D12" s="29">
        <v>8</v>
      </c>
      <c r="E12" s="29">
        <v>1.94</v>
      </c>
      <c r="F12" s="29">
        <v>35.97</v>
      </c>
      <c r="G12" s="29">
        <v>29.54</v>
      </c>
      <c r="H12" s="29">
        <v>25.98</v>
      </c>
    </row>
    <row r="13" spans="4:10" x14ac:dyDescent="0.3">
      <c r="D13" s="29">
        <v>9</v>
      </c>
      <c r="E13" s="29">
        <v>37.94</v>
      </c>
      <c r="F13" s="29">
        <v>47.07</v>
      </c>
      <c r="G13" s="29">
        <v>16.940000000000001</v>
      </c>
      <c r="H13" s="29">
        <v>28.11</v>
      </c>
    </row>
    <row r="14" spans="4:10" x14ac:dyDescent="0.3">
      <c r="D14" s="29">
        <v>10</v>
      </c>
      <c r="E14" s="29">
        <v>56.92</v>
      </c>
      <c r="F14" s="29">
        <v>17.690000000000001</v>
      </c>
      <c r="G14" s="29">
        <v>26.24</v>
      </c>
      <c r="H14" s="29">
        <v>6.77</v>
      </c>
    </row>
    <row r="15" spans="4:10" x14ac:dyDescent="0.3">
      <c r="D15" s="29">
        <v>11</v>
      </c>
      <c r="E15" s="29">
        <v>27.59</v>
      </c>
      <c r="F15" s="29">
        <v>38.1</v>
      </c>
      <c r="G15" s="29">
        <v>24.76</v>
      </c>
      <c r="H15" s="29">
        <v>6.53</v>
      </c>
    </row>
    <row r="16" spans="4:10" x14ac:dyDescent="0.3">
      <c r="D16" s="29">
        <v>12</v>
      </c>
      <c r="E16" s="29">
        <v>45.98</v>
      </c>
      <c r="F16" s="29">
        <v>5.17</v>
      </c>
      <c r="G16" s="29">
        <v>1.17</v>
      </c>
      <c r="H16" s="29">
        <v>6.53</v>
      </c>
    </row>
    <row r="17" spans="4:10" x14ac:dyDescent="0.3">
      <c r="D17" s="29">
        <v>13</v>
      </c>
      <c r="E17" s="29">
        <v>7.13</v>
      </c>
      <c r="F17" s="29">
        <v>34.35</v>
      </c>
      <c r="G17" s="29">
        <v>12.18</v>
      </c>
      <c r="H17" s="29">
        <v>9.86</v>
      </c>
    </row>
    <row r="18" spans="4:10" x14ac:dyDescent="0.3">
      <c r="D18" s="29">
        <v>14</v>
      </c>
      <c r="E18" s="29">
        <v>14.23</v>
      </c>
      <c r="F18" s="29">
        <v>16.89</v>
      </c>
      <c r="G18" s="29">
        <v>28.93</v>
      </c>
      <c r="H18" s="29">
        <v>21.7</v>
      </c>
    </row>
    <row r="19" spans="4:10" x14ac:dyDescent="0.3">
      <c r="D19" s="29">
        <v>15</v>
      </c>
      <c r="E19" s="29">
        <v>3.53</v>
      </c>
      <c r="F19" s="29">
        <v>40.76</v>
      </c>
      <c r="G19" s="29">
        <v>5.15</v>
      </c>
      <c r="H19" s="29">
        <v>1.25</v>
      </c>
    </row>
    <row r="26" spans="4:10" ht="16.5" x14ac:dyDescent="0.3">
      <c r="D26" s="27" t="s">
        <v>182</v>
      </c>
      <c r="E26" s="27" t="s">
        <v>183</v>
      </c>
      <c r="F26" s="27" t="s">
        <v>268</v>
      </c>
      <c r="G26" s="27" t="s">
        <v>269</v>
      </c>
      <c r="H26" s="27" t="s">
        <v>270</v>
      </c>
      <c r="I26" s="27" t="s">
        <v>184</v>
      </c>
      <c r="J26" s="27" t="s">
        <v>185</v>
      </c>
    </row>
    <row r="27" spans="4:10" x14ac:dyDescent="0.3">
      <c r="D27" s="29">
        <v>1</v>
      </c>
      <c r="E27" s="29">
        <v>5.53</v>
      </c>
      <c r="F27" s="29">
        <v>4.84</v>
      </c>
      <c r="G27" s="29">
        <v>0.69</v>
      </c>
      <c r="H27" s="29">
        <v>15.79</v>
      </c>
      <c r="I27" s="29">
        <f>AVERAGE(E27:H27)</f>
        <v>6.7125000000000004</v>
      </c>
      <c r="J27" s="26">
        <f>_xlfn.VAR.S(E27:H27)</f>
        <v>41.19202499999998</v>
      </c>
    </row>
    <row r="28" spans="4:10" x14ac:dyDescent="0.3">
      <c r="D28" s="29">
        <v>2</v>
      </c>
      <c r="E28" s="29">
        <v>26.11</v>
      </c>
      <c r="F28" s="29">
        <v>10.93</v>
      </c>
      <c r="G28" s="29">
        <v>19.079999999999998</v>
      </c>
      <c r="H28" s="29">
        <v>11.18</v>
      </c>
      <c r="I28" s="29">
        <f t="shared" ref="I28:I41" si="0">AVERAGE(E28:H28)</f>
        <v>16.824999999999999</v>
      </c>
      <c r="J28" s="26">
        <f t="shared" ref="J28:J41" si="1">_xlfn.VAR.S(E28:H28)</f>
        <v>52.637766666666643</v>
      </c>
    </row>
    <row r="29" spans="4:10" x14ac:dyDescent="0.3">
      <c r="D29" s="29">
        <v>3</v>
      </c>
      <c r="E29" s="29">
        <v>11.08</v>
      </c>
      <c r="F29" s="29">
        <v>0.65</v>
      </c>
      <c r="G29" s="29">
        <v>4.21</v>
      </c>
      <c r="H29" s="29">
        <v>7.56</v>
      </c>
      <c r="I29" s="29">
        <f t="shared" si="0"/>
        <v>5.875</v>
      </c>
      <c r="J29" s="26">
        <f t="shared" si="1"/>
        <v>20.001366666666666</v>
      </c>
    </row>
    <row r="30" spans="4:10" x14ac:dyDescent="0.3">
      <c r="D30" s="29">
        <v>4</v>
      </c>
      <c r="E30" s="29">
        <v>12.66</v>
      </c>
      <c r="F30" s="29">
        <v>32.520000000000003</v>
      </c>
      <c r="G30" s="29">
        <v>16.920000000000002</v>
      </c>
      <c r="H30" s="29">
        <v>37.020000000000003</v>
      </c>
      <c r="I30" s="29">
        <f t="shared" si="0"/>
        <v>24.78</v>
      </c>
      <c r="J30" s="26">
        <f t="shared" si="1"/>
        <v>139.46640000000011</v>
      </c>
    </row>
    <row r="31" spans="4:10" x14ac:dyDescent="0.3">
      <c r="D31" s="29">
        <v>5</v>
      </c>
      <c r="E31" s="29">
        <v>0.87</v>
      </c>
      <c r="F31" s="29">
        <v>3.56</v>
      </c>
      <c r="G31" s="29">
        <v>4.8099999999999996</v>
      </c>
      <c r="H31" s="29">
        <v>57.54</v>
      </c>
      <c r="I31" s="29">
        <f t="shared" si="0"/>
        <v>16.695</v>
      </c>
      <c r="J31" s="26">
        <f t="shared" si="1"/>
        <v>744.17536666666672</v>
      </c>
    </row>
    <row r="32" spans="4:10" x14ac:dyDescent="0.3">
      <c r="D32" s="29">
        <v>6</v>
      </c>
      <c r="E32" s="29">
        <v>6.4</v>
      </c>
      <c r="F32" s="29">
        <v>11.68</v>
      </c>
      <c r="G32" s="29">
        <v>40.049999999999997</v>
      </c>
      <c r="H32" s="29">
        <v>5.15</v>
      </c>
      <c r="I32" s="29">
        <f t="shared" si="0"/>
        <v>15.819999999999999</v>
      </c>
      <c r="J32" s="26">
        <f t="shared" si="1"/>
        <v>268.9392666666667</v>
      </c>
    </row>
    <row r="33" spans="4:10" x14ac:dyDescent="0.3">
      <c r="D33" s="29">
        <v>7</v>
      </c>
      <c r="E33" s="29">
        <v>54.21</v>
      </c>
      <c r="F33" s="29">
        <v>34.630000000000003</v>
      </c>
      <c r="G33" s="29">
        <v>52.55</v>
      </c>
      <c r="H33" s="29">
        <v>37.96</v>
      </c>
      <c r="I33" s="29">
        <f t="shared" si="0"/>
        <v>44.837499999999999</v>
      </c>
      <c r="J33" s="26">
        <f t="shared" si="1"/>
        <v>99.606491666667054</v>
      </c>
    </row>
    <row r="34" spans="4:10" x14ac:dyDescent="0.3">
      <c r="D34" s="29">
        <v>8</v>
      </c>
      <c r="E34" s="29">
        <v>1.94</v>
      </c>
      <c r="F34" s="29">
        <v>35.97</v>
      </c>
      <c r="G34" s="29">
        <v>29.54</v>
      </c>
      <c r="H34" s="29">
        <v>25.98</v>
      </c>
      <c r="I34" s="29">
        <f t="shared" si="0"/>
        <v>23.357499999999998</v>
      </c>
      <c r="J34" s="26">
        <f t="shared" si="1"/>
        <v>220.96175833333336</v>
      </c>
    </row>
    <row r="35" spans="4:10" x14ac:dyDescent="0.3">
      <c r="D35" s="29">
        <v>9</v>
      </c>
      <c r="E35" s="29">
        <v>37.94</v>
      </c>
      <c r="F35" s="29">
        <v>47.07</v>
      </c>
      <c r="G35" s="29">
        <v>16.940000000000001</v>
      </c>
      <c r="H35" s="29">
        <v>28.11</v>
      </c>
      <c r="I35" s="29">
        <f t="shared" si="0"/>
        <v>32.515000000000001</v>
      </c>
      <c r="J35" s="26">
        <f t="shared" si="1"/>
        <v>167.75443333333291</v>
      </c>
    </row>
    <row r="36" spans="4:10" x14ac:dyDescent="0.3">
      <c r="D36" s="29">
        <v>10</v>
      </c>
      <c r="E36" s="29">
        <v>56.92</v>
      </c>
      <c r="F36" s="29">
        <v>17.690000000000001</v>
      </c>
      <c r="G36" s="29">
        <v>26.24</v>
      </c>
      <c r="H36" s="29">
        <v>6.77</v>
      </c>
      <c r="I36" s="29">
        <f t="shared" si="0"/>
        <v>26.904999999999998</v>
      </c>
      <c r="J36" s="26">
        <f t="shared" si="1"/>
        <v>463.89230000000026</v>
      </c>
    </row>
    <row r="37" spans="4:10" x14ac:dyDescent="0.3">
      <c r="D37" s="29">
        <v>11</v>
      </c>
      <c r="E37" s="29">
        <v>27.59</v>
      </c>
      <c r="F37" s="29">
        <v>38.1</v>
      </c>
      <c r="G37" s="29">
        <v>24.76</v>
      </c>
      <c r="H37" s="29">
        <v>6.53</v>
      </c>
      <c r="I37" s="29">
        <f t="shared" si="0"/>
        <v>24.245000000000001</v>
      </c>
      <c r="J37" s="26">
        <f t="shared" si="1"/>
        <v>172.41216666666651</v>
      </c>
    </row>
    <row r="38" spans="4:10" x14ac:dyDescent="0.3">
      <c r="D38" s="29">
        <v>12</v>
      </c>
      <c r="E38" s="29">
        <v>45.98</v>
      </c>
      <c r="F38" s="29">
        <v>5.17</v>
      </c>
      <c r="G38" s="29">
        <v>1.17</v>
      </c>
      <c r="H38" s="29">
        <v>6.53</v>
      </c>
      <c r="I38" s="29">
        <f t="shared" si="0"/>
        <v>14.7125</v>
      </c>
      <c r="J38" s="26">
        <f t="shared" si="1"/>
        <v>439.68949166666653</v>
      </c>
    </row>
    <row r="39" spans="4:10" x14ac:dyDescent="0.3">
      <c r="D39" s="29">
        <v>13</v>
      </c>
      <c r="E39" s="29">
        <v>7.13</v>
      </c>
      <c r="F39" s="29">
        <v>34.35</v>
      </c>
      <c r="G39" s="29">
        <v>12.18</v>
      </c>
      <c r="H39" s="29">
        <v>9.86</v>
      </c>
      <c r="I39" s="29">
        <f t="shared" si="0"/>
        <v>15.88</v>
      </c>
      <c r="J39" s="26">
        <f t="shared" si="1"/>
        <v>155.87793333333332</v>
      </c>
    </row>
    <row r="40" spans="4:10" x14ac:dyDescent="0.3">
      <c r="D40" s="29">
        <v>14</v>
      </c>
      <c r="E40" s="29">
        <v>14.23</v>
      </c>
      <c r="F40" s="29">
        <v>16.89</v>
      </c>
      <c r="G40" s="29">
        <v>28.93</v>
      </c>
      <c r="H40" s="29">
        <v>21.7</v>
      </c>
      <c r="I40" s="29">
        <f t="shared" si="0"/>
        <v>20.4375</v>
      </c>
      <c r="J40" s="26">
        <f t="shared" si="1"/>
        <v>41.611425000000054</v>
      </c>
    </row>
    <row r="41" spans="4:10" x14ac:dyDescent="0.3">
      <c r="D41" s="29">
        <v>15</v>
      </c>
      <c r="E41" s="29">
        <v>3.53</v>
      </c>
      <c r="F41" s="29">
        <v>40.76</v>
      </c>
      <c r="G41" s="29">
        <v>5.15</v>
      </c>
      <c r="H41" s="29">
        <v>1.25</v>
      </c>
      <c r="I41" s="29">
        <f t="shared" si="0"/>
        <v>12.672499999999999</v>
      </c>
      <c r="J41" s="26">
        <f t="shared" si="1"/>
        <v>353.18482499999999</v>
      </c>
    </row>
    <row r="42" spans="4:10" x14ac:dyDescent="0.3">
      <c r="D42" s="29"/>
      <c r="E42" s="29"/>
      <c r="F42" s="29"/>
      <c r="G42" s="29"/>
      <c r="H42" s="29"/>
      <c r="I42" s="29"/>
      <c r="J42" s="29"/>
    </row>
    <row r="44" spans="4:10" x14ac:dyDescent="0.3">
      <c r="E44" s="26" t="s">
        <v>120</v>
      </c>
      <c r="F44" s="26">
        <f>412/4</f>
        <v>103</v>
      </c>
      <c r="H44" s="26" t="s">
        <v>186</v>
      </c>
      <c r="I44" s="26">
        <f>_xlfn.VAR.S(I27:I41)</f>
        <v>99.026315059523839</v>
      </c>
    </row>
    <row r="45" spans="4:10" x14ac:dyDescent="0.3">
      <c r="E45" s="26" t="s">
        <v>187</v>
      </c>
      <c r="F45" s="26">
        <v>4</v>
      </c>
      <c r="H45" s="26" t="s">
        <v>188</v>
      </c>
      <c r="I45" s="26">
        <f>AVERAGE(J27:J41)</f>
        <v>225.42686777777777</v>
      </c>
    </row>
    <row r="46" spans="4:10" x14ac:dyDescent="0.3">
      <c r="E46" s="26" t="s">
        <v>121</v>
      </c>
      <c r="F46" s="26">
        <v>15</v>
      </c>
    </row>
    <row r="50" spans="4:7" x14ac:dyDescent="0.3">
      <c r="D50" s="30" t="s">
        <v>16</v>
      </c>
    </row>
    <row r="51" spans="4:7" x14ac:dyDescent="0.3">
      <c r="E51" s="26" t="s">
        <v>189</v>
      </c>
      <c r="F51" s="26">
        <f>AVERAGE(I27:I41)</f>
        <v>20.151333333333334</v>
      </c>
    </row>
    <row r="52" spans="4:7" x14ac:dyDescent="0.3">
      <c r="E52" s="26" t="s">
        <v>190</v>
      </c>
      <c r="F52" s="26">
        <f>(F44-F46)/(F44*F46)*I44</f>
        <v>5.6403338027431058</v>
      </c>
    </row>
    <row r="53" spans="4:7" x14ac:dyDescent="0.3">
      <c r="E53" s="26" t="s">
        <v>191</v>
      </c>
      <c r="F53" s="26">
        <f>SQRT(F52)</f>
        <v>2.3749386945231041</v>
      </c>
    </row>
    <row r="58" spans="4:7" x14ac:dyDescent="0.3">
      <c r="D58" s="30" t="s">
        <v>26</v>
      </c>
    </row>
    <row r="60" spans="4:7" x14ac:dyDescent="0.3">
      <c r="D60" s="26" t="s">
        <v>192</v>
      </c>
      <c r="E60" s="26">
        <f>1/(F45*F44-1)*(F44*(F45-1)*I45 + (F44-1)*F45*I44)</f>
        <v>267.78500897230913</v>
      </c>
      <c r="G60" s="26" t="s">
        <v>262</v>
      </c>
    </row>
    <row r="61" spans="4:7" x14ac:dyDescent="0.3">
      <c r="G61" s="26" t="s">
        <v>263</v>
      </c>
    </row>
    <row r="63" spans="4:7" x14ac:dyDescent="0.3">
      <c r="D63" s="26" t="s">
        <v>193</v>
      </c>
      <c r="E63" s="26">
        <f>E60/(F45*I44)</f>
        <v>0.67604507148263049</v>
      </c>
      <c r="G63" s="26" t="s">
        <v>261</v>
      </c>
    </row>
    <row r="64" spans="4:7" x14ac:dyDescent="0.3">
      <c r="D64" s="26" t="s">
        <v>194</v>
      </c>
      <c r="E64" s="26">
        <f>(1-E63)/((F45-1)*E63)</f>
        <v>0.15973043917861171</v>
      </c>
    </row>
  </sheetData>
  <pageMargins left="0.7" right="0.7" top="0.75" bottom="0.75" header="0.3" footer="0.3"/>
  <ignoredErrors>
    <ignoredError sqref="I27:I41 J27:J4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4"/>
  <sheetViews>
    <sheetView workbookViewId="0">
      <selection activeCell="H7" sqref="H7"/>
    </sheetView>
  </sheetViews>
  <sheetFormatPr defaultRowHeight="14.5" x14ac:dyDescent="0.35"/>
  <cols>
    <col min="3" max="3" width="13.81640625" customWidth="1"/>
    <col min="4" max="4" width="10.1796875" customWidth="1"/>
    <col min="6" max="6" width="15" bestFit="1" customWidth="1"/>
    <col min="7" max="7" width="14.54296875" bestFit="1" customWidth="1"/>
  </cols>
  <sheetData>
    <row r="4" spans="2:7" x14ac:dyDescent="0.35">
      <c r="B4" t="s">
        <v>195</v>
      </c>
      <c r="C4" t="s">
        <v>196</v>
      </c>
      <c r="D4" t="s">
        <v>197</v>
      </c>
      <c r="F4" t="s">
        <v>120</v>
      </c>
      <c r="G4">
        <v>95</v>
      </c>
    </row>
    <row r="5" spans="2:7" x14ac:dyDescent="0.35">
      <c r="B5">
        <v>41</v>
      </c>
      <c r="C5">
        <v>39</v>
      </c>
      <c r="D5">
        <v>252</v>
      </c>
      <c r="F5" t="s">
        <v>121</v>
      </c>
      <c r="G5">
        <v>3</v>
      </c>
    </row>
    <row r="6" spans="2:7" x14ac:dyDescent="0.35">
      <c r="B6">
        <v>16</v>
      </c>
      <c r="C6">
        <v>70</v>
      </c>
      <c r="D6">
        <v>386</v>
      </c>
      <c r="F6" t="s">
        <v>198</v>
      </c>
      <c r="G6">
        <v>12</v>
      </c>
    </row>
    <row r="7" spans="2:7" x14ac:dyDescent="0.35">
      <c r="B7">
        <v>19</v>
      </c>
      <c r="C7">
        <v>38</v>
      </c>
      <c r="D7">
        <v>92</v>
      </c>
      <c r="F7" t="s">
        <v>199</v>
      </c>
      <c r="G7">
        <v>10</v>
      </c>
    </row>
    <row r="8" spans="2:7" x14ac:dyDescent="0.35">
      <c r="B8">
        <v>15</v>
      </c>
      <c r="C8">
        <v>37</v>
      </c>
      <c r="D8">
        <v>293</v>
      </c>
      <c r="F8" t="s">
        <v>200</v>
      </c>
      <c r="G8">
        <v>7</v>
      </c>
    </row>
    <row r="9" spans="2:7" x14ac:dyDescent="0.35">
      <c r="B9">
        <v>144</v>
      </c>
      <c r="C9">
        <v>161</v>
      </c>
      <c r="D9">
        <v>115</v>
      </c>
      <c r="F9" t="s">
        <v>201</v>
      </c>
      <c r="G9">
        <v>10</v>
      </c>
    </row>
    <row r="10" spans="2:7" x14ac:dyDescent="0.35">
      <c r="B10">
        <v>454</v>
      </c>
      <c r="C10">
        <v>38</v>
      </c>
      <c r="D10">
        <v>59</v>
      </c>
      <c r="F10" t="s">
        <v>202</v>
      </c>
      <c r="G10">
        <f>G4*G9</f>
        <v>950</v>
      </c>
    </row>
    <row r="11" spans="2:7" x14ac:dyDescent="0.35">
      <c r="B11">
        <v>212</v>
      </c>
      <c r="C11">
        <v>27</v>
      </c>
      <c r="D11">
        <v>120</v>
      </c>
    </row>
    <row r="12" spans="2:7" x14ac:dyDescent="0.35">
      <c r="B12">
        <v>57</v>
      </c>
      <c r="C12">
        <v>219</v>
      </c>
    </row>
    <row r="13" spans="2:7" x14ac:dyDescent="0.35">
      <c r="B13">
        <v>28</v>
      </c>
      <c r="C13">
        <v>36</v>
      </c>
    </row>
    <row r="14" spans="2:7" x14ac:dyDescent="0.35">
      <c r="B14">
        <v>76</v>
      </c>
      <c r="C14">
        <v>128</v>
      </c>
    </row>
    <row r="15" spans="2:7" x14ac:dyDescent="0.35">
      <c r="B15">
        <v>119</v>
      </c>
    </row>
    <row r="16" spans="2:7" x14ac:dyDescent="0.35">
      <c r="B16">
        <v>110</v>
      </c>
    </row>
    <row r="19" spans="2:7" x14ac:dyDescent="0.35">
      <c r="F19" t="s">
        <v>203</v>
      </c>
    </row>
    <row r="20" spans="2:7" x14ac:dyDescent="0.35">
      <c r="B20" t="s">
        <v>204</v>
      </c>
      <c r="C20" t="s">
        <v>205</v>
      </c>
      <c r="D20" t="s">
        <v>184</v>
      </c>
      <c r="E20" t="s">
        <v>206</v>
      </c>
      <c r="F20" t="s">
        <v>207</v>
      </c>
      <c r="G20" t="s">
        <v>208</v>
      </c>
    </row>
    <row r="21" spans="2:7" x14ac:dyDescent="0.35">
      <c r="B21">
        <v>1</v>
      </c>
      <c r="C21">
        <v>12</v>
      </c>
      <c r="D21">
        <f>AVERAGE(B5:B16)</f>
        <v>107.58333333333333</v>
      </c>
      <c r="E21">
        <f>C21*D21</f>
        <v>1291</v>
      </c>
      <c r="F21">
        <f>E21/10</f>
        <v>129.1</v>
      </c>
      <c r="G21">
        <f>(F21-$C$26)^2</f>
        <v>247.53777777777782</v>
      </c>
    </row>
    <row r="22" spans="2:7" x14ac:dyDescent="0.35">
      <c r="B22">
        <v>2</v>
      </c>
      <c r="C22">
        <v>10</v>
      </c>
      <c r="D22">
        <f>AVERAGE(C5:C14)</f>
        <v>79.3</v>
      </c>
      <c r="E22">
        <f t="shared" ref="E22:E23" si="0">C22*D22</f>
        <v>793</v>
      </c>
      <c r="F22">
        <f>E22/10</f>
        <v>79.3</v>
      </c>
      <c r="G22">
        <f t="shared" ref="G22" si="1">(F22-$C$26)^2</f>
        <v>1160.5377777777776</v>
      </c>
    </row>
    <row r="23" spans="2:7" x14ac:dyDescent="0.35">
      <c r="B23">
        <v>3</v>
      </c>
      <c r="C23">
        <v>7</v>
      </c>
      <c r="D23">
        <f>AVERAGE(D5:D11)</f>
        <v>188.14285714285714</v>
      </c>
      <c r="E23">
        <f t="shared" si="0"/>
        <v>1317</v>
      </c>
      <c r="F23">
        <f t="shared" ref="F23" si="2">E23/10</f>
        <v>131.69999999999999</v>
      </c>
      <c r="G23">
        <f>(F23-$C$26)^2</f>
        <v>336.11111111111092</v>
      </c>
    </row>
    <row r="24" spans="2:7" x14ac:dyDescent="0.35">
      <c r="F24" t="s">
        <v>209</v>
      </c>
      <c r="G24">
        <f>SUM(G21:G23)</f>
        <v>1744.1866666666663</v>
      </c>
    </row>
    <row r="26" spans="2:7" x14ac:dyDescent="0.35">
      <c r="B26" t="s">
        <v>210</v>
      </c>
      <c r="C26">
        <f>SUM(E21:E23)/(G5*G9)</f>
        <v>113.36666666666666</v>
      </c>
      <c r="E26" t="s">
        <v>211</v>
      </c>
      <c r="F26">
        <f>G24/(G5-1)</f>
        <v>872.09333333333313</v>
      </c>
    </row>
    <row r="27" spans="2:7" x14ac:dyDescent="0.35">
      <c r="B27" t="s">
        <v>212</v>
      </c>
      <c r="C27">
        <f>G10*C26</f>
        <v>107698.33333333333</v>
      </c>
    </row>
    <row r="29" spans="2:7" x14ac:dyDescent="0.35">
      <c r="B29" t="s">
        <v>213</v>
      </c>
      <c r="C29">
        <f>G10^2*(G4-G5)/(G4*G5)*F26</f>
        <v>254069857.7777777</v>
      </c>
    </row>
    <row r="30" spans="2:7" x14ac:dyDescent="0.35">
      <c r="B30" t="s">
        <v>191</v>
      </c>
      <c r="C30">
        <f>SQRT(C29)</f>
        <v>15939.568933248405</v>
      </c>
    </row>
    <row r="33" spans="3:4" x14ac:dyDescent="0.35">
      <c r="C33" t="s">
        <v>214</v>
      </c>
    </row>
    <row r="34" spans="3:4" x14ac:dyDescent="0.35">
      <c r="C34">
        <f>C27-1.96*C30</f>
        <v>76456.778224166454</v>
      </c>
      <c r="D34">
        <f>C27+1.96*C30</f>
        <v>138939.8884425002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MRC</cp:lastModifiedBy>
  <dcterms:created xsi:type="dcterms:W3CDTF">2025-10-17T22:43:19Z</dcterms:created>
  <dcterms:modified xsi:type="dcterms:W3CDTF">2025-10-18T01:52:29Z</dcterms:modified>
</cp:coreProperties>
</file>