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9192" tabRatio="600" firstSheet="0" activeTab="1" autoFilterDateGrouping="1"/>
  </bookViews>
  <sheets>
    <sheet name="graphic" sheetId="1" state="visible" r:id="rId1"/>
    <sheet name="list" sheetId="2" state="visible" r:id="rId2"/>
  </sheets>
  <definedNames>
    <definedName name="_xlnm.Print_Area" localSheetId="0">'graphic'!$A$1:$G$67</definedName>
    <definedName name="_xlnm.Print_Area" localSheetId="1">'list'!$A$1:$I$63</definedName>
  </definedNames>
  <calcPr calcId="162913" fullCalcOnLoad="1" fullPrecision="0"/>
</workbook>
</file>

<file path=xl/styles.xml><?xml version="1.0" encoding="utf-8"?>
<styleSheet xmlns="http://schemas.openxmlformats.org/spreadsheetml/2006/main">
  <numFmts count="1">
    <numFmt numFmtId="164" formatCode="0.0"/>
  </numFmts>
  <fonts count="14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b val="1"/>
      <sz val="10"/>
    </font>
    <font>
      <name val="Arial Cyr"/>
      <charset val="204"/>
      <b val="1"/>
      <color indexed="22"/>
      <sz val="10"/>
    </font>
    <font>
      <name val="Arial Cyr"/>
      <charset val="204"/>
      <color indexed="9"/>
      <sz val="10"/>
    </font>
    <font>
      <name val="Arial Cyr"/>
      <charset val="204"/>
      <color indexed="22"/>
      <sz val="10"/>
    </font>
    <font>
      <name val="Times New Roman"/>
      <charset val="204"/>
      <family val="1"/>
      <sz val="12"/>
    </font>
    <font>
      <name val="Arial Cyr"/>
      <charset val="204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color rgb="FF1A1A1A"/>
      <sz val="12"/>
      <u val="single"/>
    </font>
    <font>
      <name val="Times New Roman"/>
      <charset val="204"/>
      <family val="1"/>
      <color rgb="FF1A1A1A"/>
      <sz val="12"/>
    </font>
    <font>
      <name val="Arial Cyr"/>
      <charset val="204"/>
      <color theme="0" tint="-0.249977111117893"/>
      <sz val="10"/>
    </font>
    <font>
      <name val="Times New Roman"/>
      <charset val="204"/>
      <family val="1"/>
      <color rgb="FF1A1A1A"/>
      <sz val="11"/>
    </font>
    <font>
      <name val="Times New Roman"/>
      <charset val="204"/>
      <family val="1"/>
      <b val="1"/>
      <color rgb="FF1A1A1A"/>
      <sz val="12"/>
      <u val="single"/>
    </font>
  </fonts>
  <fills count="7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1" fillId="0" borderId="0"/>
    <xf numFmtId="9" fontId="1" fillId="0" borderId="0"/>
  </cellStyleXfs>
  <cellXfs count="141">
    <xf numFmtId="0" fontId="0" fillId="0" borderId="0" pivotButton="0" quotePrefix="0" xfId="0"/>
    <xf numFmtId="2" fontId="2" fillId="0" borderId="0" applyProtection="1" pivotButton="0" quotePrefix="0" xfId="0">
      <protection locked="1" hidden="1"/>
    </xf>
    <xf numFmtId="4" fontId="2" fillId="2" borderId="1" applyProtection="1" pivotButton="0" quotePrefix="0" xfId="0">
      <protection locked="1" hidden="1"/>
    </xf>
    <xf numFmtId="0" fontId="4" fillId="0" borderId="0" applyProtection="1" pivotButton="0" quotePrefix="0" xfId="0">
      <protection locked="1" hidden="1"/>
    </xf>
    <xf numFmtId="4" fontId="2" fillId="2" borderId="3" applyProtection="1" pivotButton="0" quotePrefix="0" xfId="0">
      <protection locked="1" hidden="1"/>
    </xf>
    <xf numFmtId="4" fontId="2" fillId="2" borderId="4" applyProtection="1" pivotButton="0" quotePrefix="0" xfId="0">
      <protection locked="1" hidden="1"/>
    </xf>
    <xf numFmtId="4" fontId="0" fillId="2" borderId="5" applyAlignment="1" applyProtection="1" pivotButton="0" quotePrefix="0" xfId="0">
      <alignment horizontal="center" vertical="center" wrapText="1"/>
      <protection locked="1" hidden="1"/>
    </xf>
    <xf numFmtId="4" fontId="0" fillId="2" borderId="0" applyProtection="1" pivotButton="0" quotePrefix="0" xfId="0">
      <protection locked="1" hidden="1"/>
    </xf>
    <xf numFmtId="0" fontId="4" fillId="2" borderId="0" applyProtection="1" pivotButton="0" quotePrefix="0" xfId="0">
      <protection locked="1" hidden="1"/>
    </xf>
    <xf numFmtId="1" fontId="2" fillId="2" borderId="7" applyAlignment="1" applyProtection="1" pivotButton="0" quotePrefix="0" xfId="0">
      <alignment horizontal="center"/>
      <protection locked="1" hidden="1"/>
    </xf>
    <xf numFmtId="1" fontId="0" fillId="2" borderId="0" applyAlignment="1" applyProtection="1" pivotButton="0" quotePrefix="0" xfId="0">
      <alignment horizontal="right"/>
      <protection locked="1" hidden="1"/>
    </xf>
    <xf numFmtId="4" fontId="0" fillId="0" borderId="8" applyAlignment="1" applyProtection="1" pivotButton="0" quotePrefix="0" xfId="0">
      <alignment horizontal="right"/>
      <protection locked="1" hidden="1"/>
    </xf>
    <xf numFmtId="4" fontId="4" fillId="0" borderId="0" applyAlignment="1" applyProtection="1" pivotButton="0" quotePrefix="0" xfId="0">
      <alignment horizontal="right"/>
      <protection locked="1" hidden="1"/>
    </xf>
    <xf numFmtId="0" fontId="0" fillId="2" borderId="0" applyProtection="1" pivotButton="0" quotePrefix="0" xfId="0">
      <protection locked="1" hidden="1"/>
    </xf>
    <xf numFmtId="1" fontId="5" fillId="2" borderId="0" applyProtection="1" pivotButton="0" quotePrefix="0" xfId="0">
      <protection locked="1" hidden="1"/>
    </xf>
    <xf numFmtId="2" fontId="5" fillId="2" borderId="0" applyProtection="1" pivotButton="0" quotePrefix="0" xfId="0">
      <protection locked="1" hidden="1"/>
    </xf>
    <xf numFmtId="4" fontId="0" fillId="0" borderId="10" applyAlignment="1" applyProtection="1" pivotButton="0" quotePrefix="0" xfId="0">
      <alignment horizontal="right"/>
      <protection locked="1" hidden="1"/>
    </xf>
    <xf numFmtId="1" fontId="0" fillId="0" borderId="11" applyAlignment="1" applyProtection="1" pivotButton="0" quotePrefix="0" xfId="0">
      <alignment horizontal="center"/>
      <protection locked="1" hidden="1"/>
    </xf>
    <xf numFmtId="4" fontId="2" fillId="0" borderId="0" applyProtection="1" pivotButton="0" quotePrefix="0" xfId="0">
      <protection locked="1" hidden="1"/>
    </xf>
    <xf numFmtId="4" fontId="0" fillId="3" borderId="10" applyAlignment="1" applyProtection="1" pivotButton="0" quotePrefix="0" xfId="0">
      <alignment horizontal="right"/>
      <protection locked="0" hidden="1"/>
    </xf>
    <xf numFmtId="4" fontId="0" fillId="3" borderId="12" applyAlignment="1" applyProtection="1" pivotButton="0" quotePrefix="0" xfId="0">
      <alignment horizontal="right"/>
      <protection locked="0" hidden="1"/>
    </xf>
    <xf numFmtId="4" fontId="0" fillId="0" borderId="14" applyAlignment="1" applyProtection="1" pivotButton="0" quotePrefix="0" xfId="0">
      <alignment horizontal="right"/>
      <protection locked="1" hidden="1"/>
    </xf>
    <xf numFmtId="4" fontId="0" fillId="3" borderId="15" applyAlignment="1" applyProtection="1" pivotButton="0" quotePrefix="0" xfId="0">
      <alignment horizontal="right"/>
      <protection locked="0" hidden="1"/>
    </xf>
    <xf numFmtId="4" fontId="0" fillId="0" borderId="16" applyAlignment="1" applyProtection="1" pivotButton="0" quotePrefix="0" xfId="0">
      <alignment horizontal="right"/>
      <protection locked="1" hidden="1"/>
    </xf>
    <xf numFmtId="4" fontId="0" fillId="3" borderId="18" applyAlignment="1" applyProtection="1" pivotButton="0" quotePrefix="0" xfId="0">
      <alignment horizontal="right"/>
      <protection locked="0" hidden="1"/>
    </xf>
    <xf numFmtId="4" fontId="0" fillId="3" borderId="19" applyAlignment="1" applyProtection="1" pivotButton="0" quotePrefix="0" xfId="0">
      <alignment horizontal="right"/>
      <protection locked="0" hidden="1"/>
    </xf>
    <xf numFmtId="4" fontId="0" fillId="0" borderId="0" applyProtection="1" pivotButton="0" quotePrefix="0" xfId="0">
      <protection locked="1" hidden="1"/>
    </xf>
    <xf numFmtId="1" fontId="2" fillId="2" borderId="2" applyAlignment="1" applyProtection="1" pivotButton="0" quotePrefix="0" xfId="0">
      <alignment horizontal="center"/>
      <protection locked="1" hidden="1"/>
    </xf>
    <xf numFmtId="4" fontId="0" fillId="0" borderId="0" pivotButton="0" quotePrefix="0" xfId="0"/>
    <xf numFmtId="0" fontId="10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wrapText="1"/>
    </xf>
    <xf numFmtId="0" fontId="7" fillId="0" borderId="0" applyAlignment="1" pivotButton="0" quotePrefix="0" xfId="0">
      <alignment horizontal="left" wrapText="1"/>
    </xf>
    <xf numFmtId="9" fontId="0" fillId="2" borderId="0" applyProtection="1" pivotButton="0" quotePrefix="0" xfId="1">
      <protection locked="1" hidden="1"/>
    </xf>
    <xf numFmtId="14" fontId="11" fillId="2" borderId="0" applyProtection="1" pivotButton="0" quotePrefix="0" xfId="0">
      <protection locked="1" hidden="1"/>
    </xf>
    <xf numFmtId="4" fontId="11" fillId="2" borderId="0" applyProtection="1" pivotButton="0" quotePrefix="0" xfId="0">
      <protection locked="1" hidden="1"/>
    </xf>
    <xf numFmtId="10" fontId="11" fillId="2" borderId="0" applyProtection="1" pivotButton="0" quotePrefix="0" xfId="1">
      <protection locked="1" hidden="1"/>
    </xf>
    <xf numFmtId="0" fontId="11" fillId="2" borderId="0" applyProtection="1" pivotButton="0" quotePrefix="0" xfId="0">
      <protection locked="1" hidden="1"/>
    </xf>
    <xf numFmtId="49" fontId="6" fillId="0" borderId="0" applyAlignment="1" pivotButton="0" quotePrefix="0" xfId="0">
      <alignment horizontal="left" wrapText="1"/>
    </xf>
    <xf numFmtId="1" fontId="6" fillId="0" borderId="0" applyAlignment="1" pivotButton="0" quotePrefix="0" xfId="0">
      <alignment horizontal="center"/>
    </xf>
    <xf numFmtId="4" fontId="6" fillId="0" borderId="20" applyAlignment="1" pivotButton="0" quotePrefix="0" xfId="0">
      <alignment horizontal="left" wrapText="1"/>
    </xf>
    <xf numFmtId="14" fontId="3" fillId="2" borderId="4" applyAlignment="1" applyProtection="1" pivotButton="0" quotePrefix="0" xfId="0">
      <alignment horizontal="center"/>
      <protection locked="1" hidden="1"/>
    </xf>
    <xf numFmtId="14" fontId="0" fillId="0" borderId="12" applyAlignment="1" applyProtection="1" pivotButton="0" quotePrefix="0" xfId="0">
      <alignment horizontal="center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4" fontId="0" fillId="2" borderId="25" applyAlignment="1" applyProtection="1" pivotButton="0" quotePrefix="0" xfId="0">
      <alignment horizontal="center" vertical="center" wrapText="1"/>
      <protection locked="1" hidden="1"/>
    </xf>
    <xf numFmtId="4" fontId="3" fillId="2" borderId="4" applyProtection="1" pivotButton="0" quotePrefix="0" xfId="0">
      <protection locked="1" hidden="1"/>
    </xf>
    <xf numFmtId="1" fontId="0" fillId="0" borderId="0" applyAlignment="1" applyProtection="1" pivotButton="0" quotePrefix="0" xfId="0">
      <alignment horizontal="left"/>
      <protection locked="1" hidden="1"/>
    </xf>
    <xf numFmtId="4" fontId="0" fillId="0" borderId="12" applyAlignment="1" applyProtection="1" pivotButton="0" quotePrefix="0" xfId="0">
      <alignment horizontal="right"/>
      <protection locked="1" hidden="1"/>
    </xf>
    <xf numFmtId="1" fontId="0" fillId="0" borderId="34" applyAlignment="1" applyProtection="1" pivotButton="0" quotePrefix="0" xfId="0">
      <alignment horizontal="center"/>
      <protection locked="1" hidden="1"/>
    </xf>
    <xf numFmtId="1" fontId="0" fillId="0" borderId="32" applyAlignment="1" applyProtection="1" pivotButton="0" quotePrefix="0" xfId="0">
      <alignment horizontal="center"/>
      <protection locked="1" hidden="1"/>
    </xf>
    <xf numFmtId="1" fontId="0" fillId="0" borderId="35" applyAlignment="1" applyProtection="1" pivotButton="0" quotePrefix="0" xfId="0">
      <alignment horizontal="center"/>
      <protection locked="1" hidden="1"/>
    </xf>
    <xf numFmtId="1" fontId="0" fillId="0" borderId="36" applyAlignment="1" applyProtection="1" pivotButton="0" quotePrefix="0" xfId="0">
      <alignment horizontal="left"/>
      <protection locked="1" hidden="1"/>
    </xf>
    <xf numFmtId="14" fontId="0" fillId="0" borderId="13" applyAlignment="1" applyProtection="1" pivotButton="0" quotePrefix="0" xfId="0">
      <alignment horizontal="center"/>
      <protection locked="1" hidden="1"/>
    </xf>
    <xf numFmtId="4" fontId="0" fillId="0" borderId="26" applyAlignment="1" applyProtection="1" pivotButton="0" quotePrefix="0" xfId="0">
      <alignment horizontal="right"/>
      <protection locked="1" hidden="1"/>
    </xf>
    <xf numFmtId="4" fontId="0" fillId="2" borderId="35" applyAlignment="1" applyProtection="1" pivotButton="0" quotePrefix="0" xfId="0">
      <alignment horizontal="center" vertical="center" wrapText="1"/>
      <protection locked="1" hidden="1"/>
    </xf>
    <xf numFmtId="4" fontId="0" fillId="2" borderId="26" applyAlignment="1" applyProtection="1" pivotButton="0" quotePrefix="0" xfId="0">
      <alignment horizontal="center" vertical="center" wrapText="1"/>
      <protection locked="1" hidden="1"/>
    </xf>
    <xf numFmtId="4" fontId="0" fillId="2" borderId="13" applyAlignment="1" applyProtection="1" pivotButton="0" quotePrefix="0" xfId="0">
      <alignment horizontal="center" vertical="center" wrapText="1"/>
      <protection locked="1" hidden="1"/>
    </xf>
    <xf numFmtId="0" fontId="0" fillId="0" borderId="0" pivotButton="0" quotePrefix="0" xfId="0"/>
    <xf numFmtId="0" fontId="6" fillId="0" borderId="0" applyAlignment="1" pivotButton="0" quotePrefix="0" xfId="0">
      <alignment horizontal="center" wrapText="1"/>
    </xf>
    <xf numFmtId="0" fontId="10" fillId="0" borderId="0" applyAlignment="1" pivotButton="0" quotePrefix="0" xfId="0">
      <alignment horizontal="left" vertical="center" wrapText="1"/>
    </xf>
    <xf numFmtId="49" fontId="6" fillId="0" borderId="0" applyAlignment="1" pivotButton="0" quotePrefix="0" xfId="0">
      <alignment horizontal="center" wrapText="1"/>
    </xf>
    <xf numFmtId="1" fontId="6" fillId="0" borderId="2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3" fontId="2" fillId="2" borderId="3" applyProtection="1" pivotButton="0" quotePrefix="0" xfId="0">
      <protection locked="1" hidden="1"/>
    </xf>
    <xf numFmtId="3" fontId="2" fillId="2" borderId="2" applyProtection="1" pivotButton="0" quotePrefix="0" xfId="0">
      <protection locked="1" hidden="1"/>
    </xf>
    <xf numFmtId="4" fontId="0" fillId="2" borderId="22" applyAlignment="1" applyProtection="1" pivotButton="0" quotePrefix="0" xfId="0">
      <alignment horizontal="center" vertical="center" wrapText="1"/>
      <protection locked="1" hidden="1"/>
    </xf>
    <xf numFmtId="0" fontId="0" fillId="0" borderId="22" pivotButton="0" quotePrefix="0" xfId="0"/>
    <xf numFmtId="1" fontId="0" fillId="2" borderId="32" applyAlignment="1" applyProtection="1" pivotButton="0" quotePrefix="0" xfId="0">
      <alignment horizontal="center" vertical="center" wrapText="1"/>
      <protection locked="1" hidden="1"/>
    </xf>
    <xf numFmtId="0" fontId="0" fillId="0" borderId="32" pivotButton="0" quotePrefix="0" xfId="0"/>
    <xf numFmtId="2" fontId="0" fillId="2" borderId="17" applyAlignment="1" applyProtection="1" pivotButton="0" quotePrefix="0" xfId="0">
      <alignment horizontal="center" vertical="center" wrapText="1"/>
      <protection locked="1" hidden="1"/>
    </xf>
    <xf numFmtId="0" fontId="0" fillId="0" borderId="17" pivotButton="0" quotePrefix="0" xfId="0"/>
    <xf numFmtId="4" fontId="2" fillId="2" borderId="37" applyAlignment="1" applyProtection="1" pivotButton="0" quotePrefix="0" xfId="0">
      <alignment horizontal="center" vertical="center" wrapText="1"/>
      <protection locked="1" hidden="1"/>
    </xf>
    <xf numFmtId="0" fontId="0" fillId="0" borderId="2" pivotButton="0" quotePrefix="0" xfId="0"/>
    <xf numFmtId="0" fontId="0" fillId="0" borderId="4" pivotButton="0" quotePrefix="0" xfId="0"/>
    <xf numFmtId="0" fontId="0" fillId="2" borderId="21" applyProtection="1" pivotButton="0" quotePrefix="0" xfId="0">
      <protection locked="1" hidden="1"/>
    </xf>
    <xf numFmtId="0" fontId="0" fillId="0" borderId="29" pivotButton="0" quotePrefix="0" xfId="0"/>
    <xf numFmtId="0" fontId="0" fillId="2" borderId="23" applyProtection="1" pivotButton="0" quotePrefix="0" xfId="0">
      <protection locked="1" hidden="1"/>
    </xf>
    <xf numFmtId="0" fontId="0" fillId="0" borderId="30" pivotButton="0" quotePrefix="0" xfId="0"/>
    <xf numFmtId="0" fontId="0" fillId="0" borderId="24" pivotButton="0" quotePrefix="0" xfId="0"/>
    <xf numFmtId="0" fontId="0" fillId="2" borderId="39" applyProtection="1" pivotButton="0" quotePrefix="0" xfId="0">
      <protection locked="1" hidden="1"/>
    </xf>
    <xf numFmtId="0" fontId="0" fillId="0" borderId="38" pivotButton="0" quotePrefix="0" xfId="0"/>
    <xf numFmtId="1" fontId="0" fillId="2" borderId="26" applyAlignment="1" applyProtection="1" pivotButton="0" quotePrefix="0" xfId="0">
      <alignment horizontal="center" vertical="center" wrapText="1"/>
      <protection locked="1" hidden="1"/>
    </xf>
    <xf numFmtId="0" fontId="0" fillId="0" borderId="26" pivotButton="0" quotePrefix="0" xfId="0"/>
    <xf numFmtId="0" fontId="0" fillId="2" borderId="6" applyProtection="1" pivotButton="0" quotePrefix="0" xfId="0">
      <protection locked="1" hidden="1"/>
    </xf>
    <xf numFmtId="0" fontId="0" fillId="0" borderId="33" pivotButton="0" quotePrefix="0" xfId="0"/>
    <xf numFmtId="0" fontId="0" fillId="0" borderId="25" pivotButton="0" quotePrefix="0" xfId="0"/>
    <xf numFmtId="164" fontId="2" fillId="3" borderId="24" applyAlignment="1" applyProtection="1" pivotButton="0" quotePrefix="0" xfId="0">
      <alignment horizontal="right"/>
      <protection locked="0" hidden="1"/>
    </xf>
    <xf numFmtId="1" fontId="2" fillId="3" borderId="24" applyAlignment="1" applyProtection="1" pivotButton="0" quotePrefix="0" xfId="0">
      <alignment horizontal="right"/>
      <protection locked="0" hidden="1"/>
    </xf>
    <xf numFmtId="14" fontId="2" fillId="3" borderId="15" applyAlignment="1" applyProtection="1" pivotButton="0" quotePrefix="0" xfId="0">
      <alignment horizontal="right"/>
      <protection locked="0" hidden="1"/>
    </xf>
    <xf numFmtId="0" fontId="0" fillId="0" borderId="15" pivotButton="0" quotePrefix="0" xfId="0"/>
    <xf numFmtId="0" fontId="2" fillId="3" borderId="22" applyAlignment="1" applyProtection="1" pivotButton="0" quotePrefix="0" xfId="0">
      <alignment horizontal="left"/>
      <protection locked="0" hidden="1"/>
    </xf>
    <xf numFmtId="0" fontId="2" fillId="3" borderId="24" applyAlignment="1" applyProtection="1" pivotButton="0" quotePrefix="0" xfId="0">
      <alignment horizontal="left"/>
      <protection locked="0" hidden="1"/>
    </xf>
    <xf numFmtId="0" fontId="2" fillId="3" borderId="24" applyAlignment="1" applyProtection="1" pivotButton="0" quotePrefix="0" xfId="0">
      <alignment horizontal="left"/>
      <protection locked="1" hidden="1"/>
    </xf>
    <xf numFmtId="0" fontId="2" fillId="3" borderId="15" applyAlignment="1" applyProtection="1" pivotButton="0" quotePrefix="0" xfId="0">
      <alignment horizontal="left"/>
      <protection locked="0" hidden="1"/>
    </xf>
    <xf numFmtId="0" fontId="10" fillId="0" borderId="20" applyAlignment="1" pivotButton="0" quotePrefix="0" xfId="0">
      <alignment horizontal="left" vertical="center" wrapText="1"/>
    </xf>
    <xf numFmtId="10" fontId="6" fillId="0" borderId="20" applyAlignment="1" pivotButton="0" quotePrefix="0" xfId="0">
      <alignment horizontal="center"/>
    </xf>
    <xf numFmtId="0" fontId="6" fillId="0" borderId="20" applyAlignment="1" pivotButton="0" quotePrefix="0" xfId="0">
      <alignment horizontal="center"/>
    </xf>
    <xf numFmtId="3" fontId="6" fillId="0" borderId="20" applyAlignment="1" pivotButton="0" quotePrefix="0" xfId="0">
      <alignment horizontal="left"/>
    </xf>
    <xf numFmtId="0" fontId="6" fillId="0" borderId="20" applyAlignment="1" pivotButton="0" quotePrefix="0" xfId="0">
      <alignment horizontal="left" wrapText="1"/>
    </xf>
    <xf numFmtId="49" fontId="6" fillId="0" borderId="20" applyAlignment="1" pivotButton="0" quotePrefix="0" xfId="0">
      <alignment horizontal="left" wrapText="1"/>
    </xf>
    <xf numFmtId="3" fontId="6" fillId="0" borderId="20" applyAlignment="1" pivotButton="0" quotePrefix="0" xfId="0">
      <alignment horizontal="center"/>
    </xf>
    <xf numFmtId="9" fontId="6" fillId="0" borderId="20" applyAlignment="1" pivotButton="0" quotePrefix="0" xfId="0">
      <alignment horizontal="center"/>
    </xf>
    <xf numFmtId="1" fontId="6" fillId="0" borderId="2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6" fillId="0" borderId="20" applyAlignment="1" pivotButton="0" quotePrefix="0" xfId="0">
      <alignment horizontal="left"/>
    </xf>
    <xf numFmtId="4" fontId="2" fillId="5" borderId="27" applyAlignment="1" applyProtection="1" pivotButton="0" quotePrefix="0" xfId="0">
      <alignment horizontal="center"/>
      <protection locked="0" hidden="1"/>
    </xf>
    <xf numFmtId="2" fontId="6" fillId="0" borderId="20" applyAlignment="1" pivotButton="0" quotePrefix="0" xfId="0">
      <alignment horizontal="left"/>
    </xf>
    <xf numFmtId="14" fontId="6" fillId="0" borderId="20" applyAlignment="1" pivotButton="0" quotePrefix="0" xfId="0">
      <alignment horizontal="left"/>
    </xf>
    <xf numFmtId="0" fontId="0" fillId="0" borderId="30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0" fontId="0" fillId="0" borderId="31" pivotButton="0" quotePrefix="0" xfId="0"/>
    <xf numFmtId="2" fontId="6" fillId="5" borderId="20" applyAlignment="1" pivotButton="0" quotePrefix="0" xfId="0">
      <alignment horizontal="left"/>
    </xf>
    <xf numFmtId="49" fontId="6" fillId="0" borderId="0" applyAlignment="1" pivotButton="0" quotePrefix="0" xfId="0">
      <alignment horizontal="center" wrapText="1"/>
    </xf>
    <xf numFmtId="4" fontId="2" fillId="4" borderId="27" applyAlignment="1" applyProtection="1" pivotButton="0" quotePrefix="0" xfId="0">
      <alignment horizontal="center"/>
      <protection locked="0" hidden="1"/>
    </xf>
    <xf numFmtId="0" fontId="8" fillId="0" borderId="20" applyAlignment="1" pivotButton="0" quotePrefix="0" xfId="0">
      <alignment horizontal="left" wrapText="1"/>
    </xf>
    <xf numFmtId="4" fontId="2" fillId="4" borderId="16" applyAlignment="1" applyProtection="1" pivotButton="0" quotePrefix="0" xfId="0">
      <alignment horizontal="center"/>
      <protection locked="0" hidden="1"/>
    </xf>
    <xf numFmtId="0" fontId="0" fillId="0" borderId="28" pivotButton="0" quotePrefix="0" xfId="0"/>
    <xf numFmtId="0" fontId="0" fillId="0" borderId="18" pivotButton="0" quotePrefix="0" xfId="0"/>
    <xf numFmtId="0" fontId="6" fillId="0" borderId="9" applyAlignment="1" pivotButton="0" quotePrefix="0" xfId="0">
      <alignment horizontal="center" wrapText="1"/>
    </xf>
    <xf numFmtId="4" fontId="6" fillId="0" borderId="20" applyAlignment="1" pivotButton="0" quotePrefix="0" xfId="0">
      <alignment horizontal="center" wrapText="1"/>
    </xf>
    <xf numFmtId="4" fontId="6" fillId="0" borderId="20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10" fontId="6" fillId="6" borderId="20" applyAlignment="1" pivotButton="0" quotePrefix="0" xfId="0">
      <alignment horizontal="center"/>
    </xf>
    <xf numFmtId="4" fontId="6" fillId="0" borderId="24" applyAlignment="1" pivotButton="0" quotePrefix="0" xfId="0">
      <alignment horizontal="center"/>
    </xf>
    <xf numFmtId="0" fontId="10" fillId="0" borderId="0" applyAlignment="1" pivotButton="0" quotePrefix="0" xfId="0">
      <alignment horizontal="left" vertical="center" wrapText="1"/>
    </xf>
    <xf numFmtId="0" fontId="6" fillId="0" borderId="16" applyAlignment="1" pivotButton="0" quotePrefix="0" xfId="0">
      <alignment horizontal="center"/>
    </xf>
    <xf numFmtId="0" fontId="6" fillId="0" borderId="20" applyAlignment="1" pivotButton="0" quotePrefix="0" xfId="0">
      <alignment horizontal="center" wrapText="1"/>
    </xf>
    <xf numFmtId="0" fontId="10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left" vertical="center" wrapText="1"/>
    </xf>
    <xf numFmtId="4" fontId="2" fillId="3" borderId="22" applyAlignment="1" applyProtection="1" pivotButton="0" quotePrefix="0" xfId="0">
      <alignment horizontal="right"/>
      <protection locked="0" hidden="1"/>
    </xf>
    <xf numFmtId="0" fontId="0" fillId="0" borderId="41" pivotButton="0" quotePrefix="0" xfId="0"/>
    <xf numFmtId="0" fontId="0" fillId="0" borderId="40" pivotButton="0" quotePrefix="0" xfId="0"/>
    <xf numFmtId="1" fontId="0" fillId="0" borderId="0" applyAlignment="1" applyProtection="1" pivotButton="0" quotePrefix="0" xfId="0">
      <alignment horizontal="left"/>
      <protection locked="1" hidden="1"/>
    </xf>
    <xf numFmtId="4" fontId="0" fillId="0" borderId="42" applyAlignment="1" applyProtection="1" pivotButton="0" quotePrefix="0" xfId="0">
      <alignment horizontal="right"/>
      <protection locked="1" hidden="1"/>
    </xf>
    <xf numFmtId="4" fontId="0" fillId="0" borderId="13" applyAlignment="1" applyProtection="1" pivotButton="0" quotePrefix="0" xfId="0">
      <alignment horizontal="right"/>
      <protection locked="1" hidden="1"/>
    </xf>
  </cellXfs>
  <cellStyles count="2">
    <cellStyle name="Обычный" xfId="0" builtinId="0"/>
    <cellStyle name="Процентный" xfId="1" builtinId="5"/>
  </cellStyles>
  <dxfs count="1">
    <dxf>
      <font>
        <condense val="0"/>
        <color indexed="22"/>
        <extend val="0"/>
      </font>
      <fill>
        <patternFill patternType="solid">
          <bgColor indexed="22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2">
    <outlinePr summaryBelow="1" summaryRight="1"/>
    <pageSetUpPr/>
  </sheetPr>
  <dimension ref="A1:P67"/>
  <sheetViews>
    <sheetView zoomScaleNormal="100" workbookViewId="0">
      <pane ySplit="7" topLeftCell="A8" activePane="bottomLeft" state="frozen"/>
      <selection pane="bottomLeft" activeCell="G19" sqref="G19"/>
    </sheetView>
  </sheetViews>
  <sheetFormatPr baseColWidth="8" defaultColWidth="9.109375" defaultRowHeight="13.2"/>
  <cols>
    <col width="7.6640625" customWidth="1" style="10" min="1" max="1"/>
    <col hidden="1" width="14.44140625" customWidth="1" style="10" min="2" max="2"/>
    <col width="15" customWidth="1" style="42" min="3" max="3"/>
    <col width="11.5546875" customWidth="1" style="7" min="4" max="4"/>
    <col width="12.88671875" customWidth="1" style="7" min="5" max="5"/>
    <col width="12" customWidth="1" style="7" min="6" max="6"/>
    <col width="12.88671875" customWidth="1" style="7" min="7" max="7"/>
    <col hidden="1" width="1.33203125" customWidth="1" style="7" min="8" max="8"/>
    <col hidden="1" width="1.109375" customWidth="1" style="7" min="9" max="9"/>
    <col hidden="1" width="1.109375" customWidth="1" style="8" min="10" max="10"/>
    <col width="9.109375" customWidth="1" style="14" min="11" max="11"/>
    <col width="9.5546875" customWidth="1" style="15" min="12" max="12"/>
    <col width="11.109375" customWidth="1" style="13" min="13" max="13"/>
    <col width="10.6640625" bestFit="1" customWidth="1" style="13" min="14" max="14"/>
    <col width="9.109375" customWidth="1" style="13" min="15" max="25"/>
    <col width="9.109375" customWidth="1" style="13" min="26" max="16384"/>
  </cols>
  <sheetData>
    <row r="1">
      <c r="A1" s="75" t="inlineStr">
        <is>
          <t>Сумма кредита, валюта</t>
        </is>
      </c>
      <c r="B1" s="76" t="n"/>
      <c r="C1" s="67" t="n"/>
      <c r="D1" s="135" t="n">
        <v>1500000</v>
      </c>
      <c r="E1" s="67" t="n"/>
      <c r="F1" s="91" t="inlineStr">
        <is>
          <t>сом</t>
        </is>
      </c>
      <c r="G1" s="67" t="n"/>
      <c r="H1" s="26" t="n"/>
      <c r="I1" s="26" t="n"/>
      <c r="J1" s="3" t="n"/>
    </row>
    <row r="2">
      <c r="A2" s="77" t="inlineStr">
        <is>
          <t>Ставка, % годовых</t>
        </is>
      </c>
      <c r="B2" s="78" t="n"/>
      <c r="C2" s="79" t="n"/>
      <c r="D2" s="87" t="n">
        <v>24</v>
      </c>
      <c r="E2" s="79" t="n"/>
      <c r="F2" s="92" t="inlineStr">
        <is>
          <t>%</t>
        </is>
      </c>
      <c r="G2" s="79" t="n"/>
      <c r="H2" s="1" t="n"/>
      <c r="I2" s="1" t="n"/>
      <c r="J2" s="3" t="n"/>
    </row>
    <row r="3" ht="13.8" customHeight="1" s="105">
      <c r="A3" s="80" t="inlineStr">
        <is>
          <t>Срок кредита, месяцы</t>
        </is>
      </c>
      <c r="B3" s="78" t="n"/>
      <c r="C3" s="81" t="n"/>
      <c r="D3" s="88" t="n">
        <v>36</v>
      </c>
      <c r="E3" s="79" t="n"/>
      <c r="F3" s="93">
        <f>IF(D3&lt;=4,"месяца","месяцев")</f>
        <v/>
      </c>
      <c r="G3" s="79" t="n"/>
      <c r="H3" s="18" t="n"/>
      <c r="I3" s="18" t="n"/>
      <c r="J3" s="3" t="n"/>
    </row>
    <row r="4" ht="13.8" customHeight="1" s="105" thickBot="1">
      <c r="A4" s="84" t="inlineStr">
        <is>
          <t>Дата выдачи кредита</t>
        </is>
      </c>
      <c r="B4" s="85" t="n"/>
      <c r="C4" s="86" t="n"/>
      <c r="D4" s="89" t="n">
        <v>44103.20949074074</v>
      </c>
      <c r="E4" s="90" t="n"/>
      <c r="F4" s="94" t="inlineStr">
        <is>
          <t>года</t>
        </is>
      </c>
      <c r="G4" s="90" t="n"/>
      <c r="H4" s="18" t="n"/>
      <c r="I4" s="18" t="n"/>
      <c r="J4" s="3" t="n"/>
    </row>
    <row r="5" ht="12.75" customHeight="1" s="105" thickBot="1">
      <c r="A5" s="68" t="inlineStr">
        <is>
          <t>Номер платежа</t>
        </is>
      </c>
      <c r="B5" s="82" t="inlineStr">
        <is>
          <t>Месяц, год</t>
        </is>
      </c>
      <c r="C5" s="70" t="inlineStr">
        <is>
          <t>Дата платежа</t>
        </is>
      </c>
      <c r="D5" s="72" t="inlineStr">
        <is>
          <t>Аннуитетный платеж</t>
        </is>
      </c>
      <c r="E5" s="73" t="n"/>
      <c r="F5" s="73" t="n"/>
      <c r="G5" s="74" t="n"/>
      <c r="H5" s="66" t="inlineStr">
        <is>
          <t>Досрочный возврат</t>
        </is>
      </c>
      <c r="I5" s="67" t="n"/>
      <c r="J5" s="3" t="n"/>
    </row>
    <row r="6" ht="40.5" customHeight="1" s="105" thickBot="1">
      <c r="A6" s="69" t="n"/>
      <c r="B6" s="83" t="n"/>
      <c r="C6" s="71" t="n"/>
      <c r="D6" s="53" t="inlineStr">
        <is>
          <t>Всего</t>
        </is>
      </c>
      <c r="E6" s="54" t="inlineStr">
        <is>
          <t>В погашение долга</t>
        </is>
      </c>
      <c r="F6" s="54" t="inlineStr">
        <is>
          <t>В погашение процентов</t>
        </is>
      </c>
      <c r="G6" s="55" t="inlineStr">
        <is>
          <t>Остаток долга после платежа</t>
        </is>
      </c>
      <c r="H6" s="43" t="inlineStr">
        <is>
          <t>Уменьшение платежа</t>
        </is>
      </c>
      <c r="I6" s="6" t="inlineStr">
        <is>
          <t>Уменьшение срока</t>
        </is>
      </c>
      <c r="J6" s="3" t="n"/>
    </row>
    <row r="7" ht="13.8" customHeight="1" s="105" thickBot="1">
      <c r="A7" s="9" t="inlineStr">
        <is>
          <t>Всего:</t>
        </is>
      </c>
      <c r="B7" s="27" t="n"/>
      <c r="C7" s="40" t="n">
        <v>44099.20949074074</v>
      </c>
      <c r="D7" s="64">
        <f>E7+F7</f>
        <v/>
      </c>
      <c r="E7" s="65">
        <f>SUM(E8:E64899)+SUM(H8:I64899)</f>
        <v/>
      </c>
      <c r="F7" s="2">
        <f>SUM(F8:F64899)</f>
        <v/>
      </c>
      <c r="G7" s="44">
        <f>$D$1</f>
        <v/>
      </c>
      <c r="H7" s="4" t="n"/>
      <c r="I7" s="5" t="n"/>
      <c r="J7" s="3">
        <f>ROW(J7)</f>
        <v/>
      </c>
      <c r="M7" s="33">
        <f>D4</f>
        <v/>
      </c>
      <c r="N7" s="34">
        <f>-(graphic!D1-list!E23)</f>
        <v/>
      </c>
      <c r="O7" s="35">
        <f>XIRR(N7:N67,M7:M67)</f>
        <v/>
      </c>
      <c r="P7" s="32" t="n"/>
    </row>
    <row r="8">
      <c r="A8" s="17" t="n">
        <v>1</v>
      </c>
      <c r="B8" s="138">
        <f>CONCATENATE(INT((A8-1)/12)+1,"-й год ",A8-1-INT((A8-1)/12)*12+1,"-й мес")</f>
        <v/>
      </c>
      <c r="C8" s="41">
        <f>DATE(YEAR(C7),MONTH(C7)+1,DAY(C7))</f>
        <v/>
      </c>
      <c r="D8" s="16">
        <f>IF(A8&gt;$D$3,0,(IF($D$2=0,$D$1/$D$3,(IF(L8*$D$2/100/12/(1-(1+$D$2/100/12)^(-K8))&lt;G7,ROUNDUP(L8*$D$2/100/12/(1-(1+$D$2/100/12)^(-K8)),0),G7+F8)))))</f>
        <v/>
      </c>
      <c r="E8" s="11">
        <f>D8-F8</f>
        <v/>
      </c>
      <c r="F8" s="11">
        <f>IF(A8&lt;=$D$3,(IF($D$2=0,0,($D$1*$D$2*(C8-C7)/(DATE(YEAR(C8)+1,1,1)-DATE(YEAR(C8),1,1))/100))),0)</f>
        <v/>
      </c>
      <c r="G8" s="46">
        <f>IF(A8&lt;=$D$3,(G7-E8-H8-I8),0)</f>
        <v/>
      </c>
      <c r="H8" s="19" t="n"/>
      <c r="I8" s="20" t="n"/>
      <c r="J8" s="12">
        <f>IF(ISBLANK(H7),VALUE(J7),ROW(H7))</f>
        <v/>
      </c>
      <c r="K8" s="14">
        <f>$D$3</f>
        <v/>
      </c>
      <c r="L8" s="15">
        <f>INDEX(G:G,J8,1)</f>
        <v/>
      </c>
      <c r="M8" s="33">
        <f>C8</f>
        <v/>
      </c>
      <c r="N8" s="34">
        <f>D8</f>
        <v/>
      </c>
      <c r="O8" s="36" t="n"/>
    </row>
    <row r="9">
      <c r="A9" s="17" t="n">
        <v>2</v>
      </c>
      <c r="B9" s="138">
        <f>CONCATENATE(INT((A9-1)/12)+1,"-й год ",A9-1-INT((A9-1)/12)*12+1,"-й мес")</f>
        <v/>
      </c>
      <c r="C9" s="41">
        <f>DATE(YEAR(C8),MONTH(C8)+1,DAY(C8))</f>
        <v/>
      </c>
      <c r="D9" s="16">
        <f>IF(A9&gt;$D$3,0,(IF($D$2=0,$D$1/$D$3,(IF(L9*$D$2/100/12/(1-(1+$D$2/100/12)^(-K9))&lt;G8,ROUNDUP(L9*$D$2/100/12/(1-(1+$D$2/100/12)^(-K9)),0),G8+F9)))))</f>
        <v/>
      </c>
      <c r="E9" s="11">
        <f>D9-F9</f>
        <v/>
      </c>
      <c r="F9" s="11">
        <f>IF(A9&lt;=$D$3,(IF($D$2=0,0,(G8*$D$2*(C9-C8)/(DATE(YEAR(C9)+1,1,1)-DATE(YEAR(C9),1,1))/100))),0)</f>
        <v/>
      </c>
      <c r="G9" s="46">
        <f>IF(A9&lt;=$D$3,(G8-E9-H9-I9),0)</f>
        <v/>
      </c>
      <c r="H9" s="19" t="n"/>
      <c r="I9" s="20" t="n"/>
      <c r="J9" s="12">
        <f>IF(ISBLANK(H8),VALUE(J8),ROW(H8))</f>
        <v/>
      </c>
      <c r="K9" s="14">
        <f>K8+J8-J9</f>
        <v/>
      </c>
      <c r="L9" s="15">
        <f>INDEX(G:G,J9,1)</f>
        <v/>
      </c>
      <c r="M9" s="33">
        <f>C9</f>
        <v/>
      </c>
      <c r="N9" s="34">
        <f>D9</f>
        <v/>
      </c>
      <c r="O9" s="36" t="n"/>
    </row>
    <row r="10">
      <c r="A10" s="17" t="n">
        <v>3</v>
      </c>
      <c r="B10" s="138">
        <f>CONCATENATE(INT((A10-1)/12)+1,"-й год ",A10-1-INT((A10-1)/12)*12+1,"-й мес")</f>
        <v/>
      </c>
      <c r="C10" s="41">
        <f>DATE(YEAR(C9),MONTH(C9)+1,DAY(C9))</f>
        <v/>
      </c>
      <c r="D10" s="16">
        <f>IF(A10&gt;$D$3,0,(IF($D$2=0,$D$1/$D$3,(IF(L10*$D$2/100/12/(1-(1+$D$2/100/12)^(-K10))&lt;G9,ROUNDUP(L10*$D$2/100/12/(1-(1+$D$2/100/12)^(-K10)),0),G9+F10)))))</f>
        <v/>
      </c>
      <c r="E10" s="11">
        <f>D10-F10</f>
        <v/>
      </c>
      <c r="F10" s="11">
        <f>IF(A10&lt;=$D$3,(IF($D$2=0,0,(G9*$D$2*(C10-C9)/(DATE(YEAR(C10)+1,1,1)-DATE(YEAR(C10),1,1))/100))),0)</f>
        <v/>
      </c>
      <c r="G10" s="46">
        <f>IF(A10&lt;=$D$3,(G9-E10-H10-I10),0)</f>
        <v/>
      </c>
      <c r="H10" s="19" t="n"/>
      <c r="I10" s="20" t="n"/>
      <c r="J10" s="12">
        <f>IF(ISBLANK(H9),VALUE(J9),ROW(H9))</f>
        <v/>
      </c>
      <c r="K10" s="14">
        <f>K9+J9-J10</f>
        <v/>
      </c>
      <c r="L10" s="15">
        <f>INDEX(G:G,J10,1)</f>
        <v/>
      </c>
      <c r="M10" s="33">
        <f>C10</f>
        <v/>
      </c>
      <c r="N10" s="34">
        <f>D10</f>
        <v/>
      </c>
      <c r="O10" s="36" t="n"/>
    </row>
    <row r="11">
      <c r="A11" s="17" t="n">
        <v>4</v>
      </c>
      <c r="B11" s="138">
        <f>CONCATENATE(INT((A11-1)/12)+1,"-й год ",A11-1-INT((A11-1)/12)*12+1,"-й мес")</f>
        <v/>
      </c>
      <c r="C11" s="41">
        <f>DATE(YEAR(C10),MONTH(C10)+1,DAY(C10))</f>
        <v/>
      </c>
      <c r="D11" s="16">
        <f>IF(A11&gt;$D$3,0,(IF($D$2=0,$D$1/$D$3,(IF(L11*$D$2/100/12/(1-(1+$D$2/100/12)^(-K11))&lt;G10,ROUNDUP(L11*$D$2/100/12/(1-(1+$D$2/100/12)^(-K11)),0),G10+F11)))))</f>
        <v/>
      </c>
      <c r="E11" s="11">
        <f>D11-F11</f>
        <v/>
      </c>
      <c r="F11" s="11">
        <f>IF(A11&lt;=$D$3,(IF($D$2=0,0,(G10*$D$2*(C11-C10)/(DATE(YEAR(C11)+1,1,1)-DATE(YEAR(C11),1,1))/100))),0)</f>
        <v/>
      </c>
      <c r="G11" s="46">
        <f>IF(A11&lt;=$D$3,(G10-E11-H11-I11),0)</f>
        <v/>
      </c>
      <c r="H11" s="19" t="n"/>
      <c r="I11" s="20" t="n"/>
      <c r="J11" s="12">
        <f>IF(ISBLANK(H10),VALUE(J10),ROW(H10))</f>
        <v/>
      </c>
      <c r="K11" s="14">
        <f>K10+J10-J11</f>
        <v/>
      </c>
      <c r="L11" s="15">
        <f>INDEX(G:G,J11,1)</f>
        <v/>
      </c>
      <c r="M11" s="33">
        <f>C11</f>
        <v/>
      </c>
      <c r="N11" s="34">
        <f>D11</f>
        <v/>
      </c>
      <c r="O11" s="36" t="n"/>
    </row>
    <row r="12">
      <c r="A12" s="17" t="n">
        <v>5</v>
      </c>
      <c r="B12" s="138">
        <f>CONCATENATE(INT((A12-1)/12)+1,"-й год ",A12-1-INT((A12-1)/12)*12+1,"-й мес")</f>
        <v/>
      </c>
      <c r="C12" s="41">
        <f>DATE(YEAR(C11),MONTH(C11)+1,DAY(C11))</f>
        <v/>
      </c>
      <c r="D12" s="16">
        <f>IF(A12&gt;$D$3,0,(IF($D$2=0,$D$1/$D$3,(IF(L12*$D$2/100/12/(1-(1+$D$2/100/12)^(-K12))&lt;G11,ROUNDUP(L12*$D$2/100/12/(1-(1+$D$2/100/12)^(-K12)),0),G11+F12)))))</f>
        <v/>
      </c>
      <c r="E12" s="11">
        <f>D12-F12</f>
        <v/>
      </c>
      <c r="F12" s="11">
        <f>IF(A12&lt;=$D$3,(IF($D$2=0,0,(G11*$D$2*(C12-C11)/(DATE(YEAR(C12)+1,1,1)-DATE(YEAR(C12),1,1))/100))),0)</f>
        <v/>
      </c>
      <c r="G12" s="46">
        <f>IF(A12&lt;=$D$3,(G11-E12-H12-I12),0)</f>
        <v/>
      </c>
      <c r="H12" s="19" t="n"/>
      <c r="I12" s="20" t="n"/>
      <c r="J12" s="12">
        <f>IF(ISBLANK(H11),VALUE(J11),ROW(H11))</f>
        <v/>
      </c>
      <c r="K12" s="14">
        <f>K11+J11-J12</f>
        <v/>
      </c>
      <c r="L12" s="15">
        <f>INDEX(G:G,J12,1)</f>
        <v/>
      </c>
      <c r="M12" s="33">
        <f>C12</f>
        <v/>
      </c>
      <c r="N12" s="34">
        <f>D12</f>
        <v/>
      </c>
      <c r="O12" s="36" t="n"/>
    </row>
    <row r="13">
      <c r="A13" s="17" t="n">
        <v>6</v>
      </c>
      <c r="B13" s="138">
        <f>CONCATENATE(INT((A13-1)/12)+1,"-й год ",A13-1-INT((A13-1)/12)*12+1,"-й мес")</f>
        <v/>
      </c>
      <c r="C13" s="41">
        <f>DATE(YEAR(C12),MONTH(C12)+1,DAY(C12))</f>
        <v/>
      </c>
      <c r="D13" s="16">
        <f>IF(A13&gt;$D$3,0,(IF($D$2=0,$D$1/$D$3,(IF(L13*$D$2/100/12/(1-(1+$D$2/100/12)^(-K13))&lt;G12,ROUNDUP(L13*$D$2/100/12/(1-(1+$D$2/100/12)^(-K13)),0),G12+F13)))))</f>
        <v/>
      </c>
      <c r="E13" s="11">
        <f>D13-F13</f>
        <v/>
      </c>
      <c r="F13" s="11">
        <f>IF(A13&lt;=$D$3,(IF($D$2=0,0,(G12*$D$2*(C13-C12)/(DATE(YEAR(C13)+1,1,1)-DATE(YEAR(C13),1,1))/100))),0)</f>
        <v/>
      </c>
      <c r="G13" s="46">
        <f>IF(A13&lt;=$D$3,(G12-E13-H13-I13),0)</f>
        <v/>
      </c>
      <c r="H13" s="19" t="n"/>
      <c r="I13" s="20" t="n"/>
      <c r="J13" s="12">
        <f>IF(ISBLANK(H12),VALUE(J12),ROW(H12))</f>
        <v/>
      </c>
      <c r="K13" s="14">
        <f>K12+J12-J13</f>
        <v/>
      </c>
      <c r="L13" s="15">
        <f>INDEX(G:G,J13,1)</f>
        <v/>
      </c>
      <c r="M13" s="33">
        <f>C13</f>
        <v/>
      </c>
      <c r="N13" s="34">
        <f>D13</f>
        <v/>
      </c>
      <c r="O13" s="36" t="n"/>
    </row>
    <row r="14">
      <c r="A14" s="17" t="n">
        <v>7</v>
      </c>
      <c r="B14" s="138">
        <f>CONCATENATE(INT((A14-1)/12)+1,"-й год ",A14-1-INT((A14-1)/12)*12+1,"-й мес")</f>
        <v/>
      </c>
      <c r="C14" s="41">
        <f>DATE(YEAR(C13),MONTH(C13)+1,DAY(C13))</f>
        <v/>
      </c>
      <c r="D14" s="16">
        <f>IF(A14&gt;$D$3,0,(IF($D$2=0,$D$1/$D$3,(IF(L14*$D$2/100/12/(1-(1+$D$2/100/12)^(-K14))&lt;G13,ROUNDUP(L14*$D$2/100/12/(1-(1+$D$2/100/12)^(-K14)),0),G13+F14)))))</f>
        <v/>
      </c>
      <c r="E14" s="11">
        <f>D14-F14</f>
        <v/>
      </c>
      <c r="F14" s="11">
        <f>IF(A14&lt;=$D$3,(IF($D$2=0,0,(G13*$D$2*(C14-C13)/(DATE(YEAR(C14)+1,1,1)-DATE(YEAR(C14),1,1))/100))),0)</f>
        <v/>
      </c>
      <c r="G14" s="46">
        <f>IF(A14&lt;=$D$3,(G13-E14-H14-I14),0)</f>
        <v/>
      </c>
      <c r="H14" s="19" t="n"/>
      <c r="I14" s="20" t="n"/>
      <c r="J14" s="12">
        <f>IF(ISBLANK(H13),VALUE(J13),ROW(H13))</f>
        <v/>
      </c>
      <c r="K14" s="14">
        <f>K13+J13-J14</f>
        <v/>
      </c>
      <c r="L14" s="15">
        <f>INDEX(G:G,J14,1)</f>
        <v/>
      </c>
      <c r="M14" s="33">
        <f>C14</f>
        <v/>
      </c>
      <c r="N14" s="34">
        <f>D14</f>
        <v/>
      </c>
      <c r="O14" s="36" t="n"/>
    </row>
    <row r="15">
      <c r="A15" s="17" t="n">
        <v>8</v>
      </c>
      <c r="B15" s="138">
        <f>CONCATENATE(INT((A15-1)/12)+1,"-й год ",A15-1-INT((A15-1)/12)*12+1,"-й мес")</f>
        <v/>
      </c>
      <c r="C15" s="41">
        <f>DATE(YEAR(C14),MONTH(C14)+1,DAY(C14))</f>
        <v/>
      </c>
      <c r="D15" s="16">
        <f>IF(A15&gt;$D$3,0,(IF($D$2=0,$D$1/$D$3,(IF(L15*$D$2/100/12/(1-(1+$D$2/100/12)^(-K15))&lt;G14,ROUNDUP(L15*$D$2/100/12/(1-(1+$D$2/100/12)^(-K15)),0),G14+F15)))))</f>
        <v/>
      </c>
      <c r="E15" s="11">
        <f>D15-F15</f>
        <v/>
      </c>
      <c r="F15" s="11">
        <f>IF(A15&lt;=$D$3,(IF($D$2=0,0,(G14*$D$2*(C15-C14)/(DATE(YEAR(C15)+1,1,1)-DATE(YEAR(C15),1,1))/100))),0)</f>
        <v/>
      </c>
      <c r="G15" s="46">
        <f>IF(A15&lt;=$D$3,(G14-E15-H15-I15),0)</f>
        <v/>
      </c>
      <c r="H15" s="19" t="n"/>
      <c r="I15" s="20" t="n"/>
      <c r="J15" s="12">
        <f>IF(ISBLANK(H14),VALUE(J14),ROW(H14))</f>
        <v/>
      </c>
      <c r="K15" s="14">
        <f>K14+J14-J15</f>
        <v/>
      </c>
      <c r="L15" s="15">
        <f>INDEX(G:G,J15,1)</f>
        <v/>
      </c>
      <c r="M15" s="33">
        <f>C15</f>
        <v/>
      </c>
      <c r="N15" s="34">
        <f>D15</f>
        <v/>
      </c>
      <c r="O15" s="36" t="n"/>
    </row>
    <row r="16">
      <c r="A16" s="17" t="n">
        <v>9</v>
      </c>
      <c r="B16" s="138">
        <f>CONCATENATE(INT((A16-1)/12)+1,"-й год ",A16-1-INT((A16-1)/12)*12+1,"-й мес")</f>
        <v/>
      </c>
      <c r="C16" s="41">
        <f>DATE(YEAR(C15),MONTH(C15)+1,DAY(C15))</f>
        <v/>
      </c>
      <c r="D16" s="16">
        <f>IF(A16&gt;$D$3,0,(IF($D$2=0,$D$1/$D$3,(IF(L16*$D$2/100/12/(1-(1+$D$2/100/12)^(-K16))&lt;G15,ROUNDUP(L16*$D$2/100/12/(1-(1+$D$2/100/12)^(-K16)),0),G15+F16)))))</f>
        <v/>
      </c>
      <c r="E16" s="11">
        <f>D16-F16</f>
        <v/>
      </c>
      <c r="F16" s="11">
        <f>IF(A16&lt;=$D$3,(IF($D$2=0,0,(G15*$D$2*(C16-C15)/(DATE(YEAR(C16)+1,1,1)-DATE(YEAR(C16),1,1))/100))),0)</f>
        <v/>
      </c>
      <c r="G16" s="46">
        <f>IF(A16&lt;=$D$3,(G15-E16-H16-I16),0)</f>
        <v/>
      </c>
      <c r="H16" s="19" t="n"/>
      <c r="I16" s="20" t="n"/>
      <c r="J16" s="12">
        <f>IF(ISBLANK(H15),VALUE(J15),ROW(H15))</f>
        <v/>
      </c>
      <c r="K16" s="14">
        <f>K15+J15-J16</f>
        <v/>
      </c>
      <c r="L16" s="15">
        <f>INDEX(G:G,J16,1)</f>
        <v/>
      </c>
      <c r="M16" s="33">
        <f>C16</f>
        <v/>
      </c>
      <c r="N16" s="34">
        <f>D16</f>
        <v/>
      </c>
      <c r="O16" s="36" t="n"/>
    </row>
    <row r="17">
      <c r="A17" s="17" t="n">
        <v>10</v>
      </c>
      <c r="B17" s="138">
        <f>CONCATENATE(INT((A17-1)/12)+1,"-й год ",A17-1-INT((A17-1)/12)*12+1,"-й мес")</f>
        <v/>
      </c>
      <c r="C17" s="41">
        <f>DATE(YEAR(C16),MONTH(C16)+1,DAY(C16))</f>
        <v/>
      </c>
      <c r="D17" s="16">
        <f>IF(A17&gt;$D$3,0,(IF($D$2=0,$D$1/$D$3,(IF(L17*$D$2/100/12/(1-(1+$D$2/100/12)^(-K17))&lt;G16,ROUNDUP(L17*$D$2/100/12/(1-(1+$D$2/100/12)^(-K17)),0),G16+F17)))))</f>
        <v/>
      </c>
      <c r="E17" s="11">
        <f>D17-F17</f>
        <v/>
      </c>
      <c r="F17" s="11">
        <f>IF(A17&lt;=$D$3,(IF($D$2=0,0,(G16*$D$2*(C17-C16)/(DATE(YEAR(C17)+1,1,1)-DATE(YEAR(C17),1,1))/100))),0)</f>
        <v/>
      </c>
      <c r="G17" s="46">
        <f>IF(A17&lt;=$D$3,(G16-E17-H17-I17),0)</f>
        <v/>
      </c>
      <c r="H17" s="19" t="n"/>
      <c r="I17" s="20" t="n"/>
      <c r="J17" s="12">
        <f>IF(ISBLANK(H16),VALUE(J16),ROW(H16))</f>
        <v/>
      </c>
      <c r="K17" s="14">
        <f>K16+J16-J17</f>
        <v/>
      </c>
      <c r="L17" s="15">
        <f>INDEX(G:G,J17,1)</f>
        <v/>
      </c>
      <c r="M17" s="33">
        <f>C17</f>
        <v/>
      </c>
      <c r="N17" s="34">
        <f>D17</f>
        <v/>
      </c>
      <c r="O17" s="36" t="n"/>
    </row>
    <row r="18">
      <c r="A18" s="17" t="n">
        <v>11</v>
      </c>
      <c r="B18" s="138">
        <f>CONCATENATE(INT((A18-1)/12)+1,"-й год ",A18-1-INT((A18-1)/12)*12+1,"-й мес")</f>
        <v/>
      </c>
      <c r="C18" s="41">
        <f>DATE(YEAR(C17),MONTH(C17)+1,DAY(C17))</f>
        <v/>
      </c>
      <c r="D18" s="16">
        <f>IF(A18&gt;$D$3,0,(IF($D$2=0,$D$1/$D$3,(IF(L18*$D$2/100/12/(1-(1+$D$2/100/12)^(-K18))&lt;G17,ROUNDUP(L18*$D$2/100/12/(1-(1+$D$2/100/12)^(-K18)),0),G17+F18)))))</f>
        <v/>
      </c>
      <c r="E18" s="11">
        <f>D18-F18</f>
        <v/>
      </c>
      <c r="F18" s="11">
        <f>IF(A18&lt;=$D$3,(IF($D$2=0,0,(G17*$D$2*(C18-C17)/(DATE(YEAR(C18)+1,1,1)-DATE(YEAR(C18),1,1))/100))),0)</f>
        <v/>
      </c>
      <c r="G18" s="46">
        <f>IF(A18&lt;=$D$3,(G17-E18-H18-I18),0)</f>
        <v/>
      </c>
      <c r="H18" s="19" t="n"/>
      <c r="I18" s="20" t="n"/>
      <c r="J18" s="12">
        <f>IF(ISBLANK(H17),VALUE(J17),ROW(H17))</f>
        <v/>
      </c>
      <c r="K18" s="14">
        <f>K17+J17-J18</f>
        <v/>
      </c>
      <c r="L18" s="15">
        <f>INDEX(G:G,J18,1)</f>
        <v/>
      </c>
      <c r="M18" s="33">
        <f>C18</f>
        <v/>
      </c>
      <c r="N18" s="34">
        <f>D18</f>
        <v/>
      </c>
      <c r="O18" s="36" t="n"/>
    </row>
    <row r="19">
      <c r="A19" s="17" t="n">
        <v>12</v>
      </c>
      <c r="B19" s="138">
        <f>CONCATENATE(INT((A19-1)/12)+1,"-й год ",A19-1-INT((A19-1)/12)*12+1,"-й мес")</f>
        <v/>
      </c>
      <c r="C19" s="41">
        <f>DATE(YEAR(C18),MONTH(C18)+1,DAY(C18))</f>
        <v/>
      </c>
      <c r="D19" s="16">
        <f>IF(A19&gt;$D$3,0,(IF($D$2=0,$D$1/$D$3,(IF(L19*$D$2/100/12/(1-(1+$D$2/100/12)^(-K19))&lt;G18,ROUNDUP(L19*$D$2/100/12/(1-(1+$D$2/100/12)^(-K19)),0),G18+F19)))))</f>
        <v/>
      </c>
      <c r="E19" s="11">
        <f>D19-F19</f>
        <v/>
      </c>
      <c r="F19" s="11">
        <f>IF(A19&lt;=$D$3,(IF($D$2=0,0,(G18*$D$2*(C19-C18)/(DATE(YEAR(C19)+1,1,1)-DATE(YEAR(C19),1,1))/100))),0)</f>
        <v/>
      </c>
      <c r="G19" s="46">
        <f>IF(A19&lt;=$D$3,(G18-E19-H19-I19),0)</f>
        <v/>
      </c>
      <c r="H19" s="19" t="n"/>
      <c r="I19" s="20" t="n"/>
      <c r="J19" s="12">
        <f>IF(ISBLANK(H18),VALUE(J18),ROW(H18))</f>
        <v/>
      </c>
      <c r="K19" s="14">
        <f>K18+J18-J19</f>
        <v/>
      </c>
      <c r="L19" s="15">
        <f>INDEX(G:G,J19,1)</f>
        <v/>
      </c>
      <c r="M19" s="33">
        <f>C19</f>
        <v/>
      </c>
      <c r="N19" s="34">
        <f>D19</f>
        <v/>
      </c>
      <c r="O19" s="36" t="n"/>
    </row>
    <row r="20">
      <c r="A20" s="47" t="n">
        <v>13</v>
      </c>
      <c r="B20" s="138">
        <f>CONCATENATE(INT((A20-1)/12)+1,"-й год ",A20-1-INT((A20-1)/12)*12+1,"-й мес")</f>
        <v/>
      </c>
      <c r="C20" s="41">
        <f>DATE(YEAR(C19),MONTH(C19)+1,DAY(C19))</f>
        <v/>
      </c>
      <c r="D20" s="16">
        <f>IF(A20&gt;$D$3,0,(IF($D$2=0,$D$1/$D$3,(IF(L20*$D$2/100/12/(1-(1+$D$2/100/12)^(-K20))&lt;G19,ROUNDUP(L20*$D$2/100/12/(1-(1+$D$2/100/12)^(-K20)),0),G19+F20)))))</f>
        <v/>
      </c>
      <c r="E20" s="21">
        <f>D20-F20</f>
        <v/>
      </c>
      <c r="F20" s="11">
        <f>IF(A20&lt;=$D$3,(IF($D$2=0,0,(G19*$D$2*(C20-C19)/(DATE(YEAR(C20)+1,1,1)-DATE(YEAR(C20),1,1))/100))),0)</f>
        <v/>
      </c>
      <c r="G20" s="46">
        <f>IF(A20&lt;=$D$3,(G19-E20-H20-I20),0)</f>
        <v/>
      </c>
      <c r="H20" s="22" t="n"/>
      <c r="I20" s="25" t="n"/>
      <c r="J20" s="12">
        <f>IF(ISBLANK(H19),VALUE(J19),ROW(H19))</f>
        <v/>
      </c>
      <c r="K20" s="14">
        <f>K19+J19-J20</f>
        <v/>
      </c>
      <c r="L20" s="15">
        <f>INDEX(G:G,J20,1)</f>
        <v/>
      </c>
      <c r="M20" s="33">
        <f>C20</f>
        <v/>
      </c>
      <c r="N20" s="34">
        <f>D20</f>
        <v/>
      </c>
      <c r="O20" s="36" t="n"/>
    </row>
    <row r="21">
      <c r="A21" s="17" t="n">
        <v>14</v>
      </c>
      <c r="B21" s="138">
        <f>CONCATENATE(INT((A21-1)/12)+1,"-й год ",A21-1-INT((A21-1)/12)*12+1,"-й мес")</f>
        <v/>
      </c>
      <c r="C21" s="41">
        <f>DATE(YEAR(C20),MONTH(C20)+1,DAY(C20))</f>
        <v/>
      </c>
      <c r="D21" s="16">
        <f>IF(A21&gt;$D$3,0,(IF($D$2=0,$D$1/$D$3,(IF(L21*$D$2/100/12/(1-(1+$D$2/100/12)^(-K21))&lt;G20,ROUNDUP(L21*$D$2/100/12/(1-(1+$D$2/100/12)^(-K21)),0),G20+F21)))))</f>
        <v/>
      </c>
      <c r="E21" s="11">
        <f>D21-F21</f>
        <v/>
      </c>
      <c r="F21" s="11">
        <f>IF(A21&lt;=$D$3,(IF($D$2=0,0,(G20*$D$2*(C21-C20)/(DATE(YEAR(C21)+1,1,1)-DATE(YEAR(C21),1,1))/100))),0)</f>
        <v/>
      </c>
      <c r="G21" s="46">
        <f>IF(A21&lt;=$D$3,(G20-E21-H21-I21),0)</f>
        <v/>
      </c>
      <c r="H21" s="19" t="n"/>
      <c r="I21" s="25" t="n"/>
      <c r="J21" s="12">
        <f>IF(ISBLANK(H20),VALUE(J20),ROW(H20))</f>
        <v/>
      </c>
      <c r="K21" s="14">
        <f>K20+J20-J21</f>
        <v/>
      </c>
      <c r="L21" s="15">
        <f>INDEX(G:G,J21,1)</f>
        <v/>
      </c>
      <c r="M21" s="33">
        <f>C21</f>
        <v/>
      </c>
      <c r="N21" s="34">
        <f>D21</f>
        <v/>
      </c>
      <c r="O21" s="36" t="n"/>
    </row>
    <row r="22">
      <c r="A22" s="17" t="n">
        <v>15</v>
      </c>
      <c r="B22" s="138">
        <f>CONCATENATE(INT((A22-1)/12)+1,"-й год ",A22-1-INT((A22-1)/12)*12+1,"-й мес")</f>
        <v/>
      </c>
      <c r="C22" s="41">
        <f>DATE(YEAR(C21),MONTH(C21)+1,DAY(C21))</f>
        <v/>
      </c>
      <c r="D22" s="16">
        <f>IF(A22&gt;$D$3,0,(IF($D$2=0,$D$1/$D$3,(IF(L22*$D$2/100/12/(1-(1+$D$2/100/12)^(-K22))&lt;G21,ROUNDUP(L22*$D$2/100/12/(1-(1+$D$2/100/12)^(-K22)),0),G21+F22)))))</f>
        <v/>
      </c>
      <c r="E22" s="11">
        <f>D22-F22</f>
        <v/>
      </c>
      <c r="F22" s="11">
        <f>IF(A22&lt;=$D$3,(IF($D$2=0,0,(G21*$D$2*(C22-C21)/(DATE(YEAR(C22)+1,1,1)-DATE(YEAR(C22),1,1))/100))),0)</f>
        <v/>
      </c>
      <c r="G22" s="46">
        <f>IF(A22&lt;=$D$3,(G21-E22-H22-I22),0)</f>
        <v/>
      </c>
      <c r="H22" s="19" t="n"/>
      <c r="I22" s="25" t="n"/>
      <c r="J22" s="12">
        <f>IF(ISBLANK(H21),VALUE(J21),ROW(H21))</f>
        <v/>
      </c>
      <c r="K22" s="14">
        <f>K21+J21-J22</f>
        <v/>
      </c>
      <c r="L22" s="15">
        <f>INDEX(G:G,J22,1)</f>
        <v/>
      </c>
      <c r="M22" s="33">
        <f>C22</f>
        <v/>
      </c>
      <c r="N22" s="34">
        <f>D22</f>
        <v/>
      </c>
      <c r="O22" s="36" t="n"/>
    </row>
    <row r="23">
      <c r="A23" s="17" t="n">
        <v>16</v>
      </c>
      <c r="B23" s="138">
        <f>CONCATENATE(INT((A23-1)/12)+1,"-й год ",A23-1-INT((A23-1)/12)*12+1,"-й мес")</f>
        <v/>
      </c>
      <c r="C23" s="41">
        <f>DATE(YEAR(C22),MONTH(C22)+1,DAY(C22))</f>
        <v/>
      </c>
      <c r="D23" s="16">
        <f>IF(A23&gt;$D$3,0,(IF($D$2=0,$D$1/$D$3,(IF(L23*$D$2/100/12/(1-(1+$D$2/100/12)^(-K23))&lt;G22,ROUNDUP(L23*$D$2/100/12/(1-(1+$D$2/100/12)^(-K23)),0),G22+F23)))))</f>
        <v/>
      </c>
      <c r="E23" s="11">
        <f>D23-F23</f>
        <v/>
      </c>
      <c r="F23" s="11">
        <f>IF(A23&lt;=$D$3,(IF($D$2=0,0,(G22*$D$2*(C23-C22)/(DATE(YEAR(C23)+1,1,1)-DATE(YEAR(C23),1,1))/100))),0)</f>
        <v/>
      </c>
      <c r="G23" s="46">
        <f>IF(A23&lt;=$D$3,(G22-E23-H23-I23),0)</f>
        <v/>
      </c>
      <c r="H23" s="19" t="n"/>
      <c r="I23" s="25" t="n"/>
      <c r="J23" s="12">
        <f>IF(ISBLANK(H22),VALUE(J22),ROW(H22))</f>
        <v/>
      </c>
      <c r="K23" s="14">
        <f>K22+J22-J23</f>
        <v/>
      </c>
      <c r="L23" s="15">
        <f>INDEX(G:G,J23,1)</f>
        <v/>
      </c>
      <c r="M23" s="33">
        <f>C23</f>
        <v/>
      </c>
      <c r="N23" s="34">
        <f>D23</f>
        <v/>
      </c>
      <c r="O23" s="36" t="n"/>
    </row>
    <row r="24">
      <c r="A24" s="17" t="n">
        <v>17</v>
      </c>
      <c r="B24" s="138">
        <f>CONCATENATE(INT((A24-1)/12)+1,"-й год ",A24-1-INT((A24-1)/12)*12+1,"-й мес")</f>
        <v/>
      </c>
      <c r="C24" s="41">
        <f>DATE(YEAR(C23),MONTH(C23)+1,DAY(C23))</f>
        <v/>
      </c>
      <c r="D24" s="16">
        <f>IF(A24&gt;$D$3,0,(IF($D$2=0,$D$1/$D$3,(IF(L24*$D$2/100/12/(1-(1+$D$2/100/12)^(-K24))&lt;G23,ROUNDUP(L24*$D$2/100/12/(1-(1+$D$2/100/12)^(-K24)),0),G23+F24)))))</f>
        <v/>
      </c>
      <c r="E24" s="11">
        <f>D24-F24</f>
        <v/>
      </c>
      <c r="F24" s="11">
        <f>IF(A24&lt;=$D$3,(IF($D$2=0,0,(G23*$D$2*(C24-C23)/(DATE(YEAR(C24)+1,1,1)-DATE(YEAR(C24),1,1))/100))),0)</f>
        <v/>
      </c>
      <c r="G24" s="46">
        <f>IF(A24&lt;=$D$3,(G23-E24-H24-I24),0)</f>
        <v/>
      </c>
      <c r="H24" s="19" t="n"/>
      <c r="I24" s="25" t="n"/>
      <c r="J24" s="12">
        <f>IF(ISBLANK(H23),VALUE(J23),ROW(H23))</f>
        <v/>
      </c>
      <c r="K24" s="14">
        <f>K23+J23-J24</f>
        <v/>
      </c>
      <c r="L24" s="15">
        <f>INDEX(G:G,J24,1)</f>
        <v/>
      </c>
      <c r="M24" s="33">
        <f>C24</f>
        <v/>
      </c>
      <c r="N24" s="34">
        <f>D24</f>
        <v/>
      </c>
      <c r="O24" s="36" t="n"/>
    </row>
    <row r="25">
      <c r="A25" s="17" t="n">
        <v>18</v>
      </c>
      <c r="B25" s="138">
        <f>CONCATENATE(INT((A25-1)/12)+1,"-й год ",A25-1-INT((A25-1)/12)*12+1,"-й мес")</f>
        <v/>
      </c>
      <c r="C25" s="41">
        <f>DATE(YEAR(C24),MONTH(C24)+1,DAY(C24))</f>
        <v/>
      </c>
      <c r="D25" s="16">
        <f>IF(A25&gt;$D$3,0,(IF($D$2=0,$D$1/$D$3,(IF(L25*$D$2/100/12/(1-(1+$D$2/100/12)^(-K25))&lt;G24,ROUNDUP(L25*$D$2/100/12/(1-(1+$D$2/100/12)^(-K25)),0),G24+F25)))))</f>
        <v/>
      </c>
      <c r="E25" s="11">
        <f>D25-F25</f>
        <v/>
      </c>
      <c r="F25" s="11">
        <f>IF(A25&lt;=$D$3,(IF($D$2=0,0,(G24*$D$2*(C25-C24)/(DATE(YEAR(C25)+1,1,1)-DATE(YEAR(C25),1,1))/100))),0)</f>
        <v/>
      </c>
      <c r="G25" s="46">
        <f>IF(A25&lt;=$D$3,(G24-E25-H25-I25),0)</f>
        <v/>
      </c>
      <c r="H25" s="19" t="n"/>
      <c r="I25" s="25" t="n"/>
      <c r="J25" s="12">
        <f>IF(ISBLANK(H24),VALUE(J24),ROW(H24))</f>
        <v/>
      </c>
      <c r="K25" s="14">
        <f>K24+J24-J25</f>
        <v/>
      </c>
      <c r="L25" s="15">
        <f>INDEX(G:G,J25,1)</f>
        <v/>
      </c>
      <c r="M25" s="33">
        <f>C25</f>
        <v/>
      </c>
      <c r="N25" s="34">
        <f>D25</f>
        <v/>
      </c>
      <c r="O25" s="36" t="n"/>
    </row>
    <row r="26">
      <c r="A26" s="17" t="n">
        <v>19</v>
      </c>
      <c r="B26" s="138">
        <f>CONCATENATE(INT((A26-1)/12)+1,"-й год ",A26-1-INT((A26-1)/12)*12+1,"-й мес")</f>
        <v/>
      </c>
      <c r="C26" s="41">
        <f>DATE(YEAR(C25),MONTH(C25)+1,DAY(C25))</f>
        <v/>
      </c>
      <c r="D26" s="16">
        <f>IF(A26&gt;$D$3,0,(IF($D$2=0,$D$1/$D$3,(IF(L26*$D$2/100/12/(1-(1+$D$2/100/12)^(-K26))&lt;G25,ROUNDUP(L26*$D$2/100/12/(1-(1+$D$2/100/12)^(-K26)),0),G25+F26)))))</f>
        <v/>
      </c>
      <c r="E26" s="11">
        <f>D26-F26</f>
        <v/>
      </c>
      <c r="F26" s="11">
        <f>IF(A26&lt;=$D$3,(IF($D$2=0,0,(G25*$D$2*(C26-C25)/(DATE(YEAR(C26)+1,1,1)-DATE(YEAR(C26),1,1))/100))),0)</f>
        <v/>
      </c>
      <c r="G26" s="46">
        <f>IF(A26&lt;=$D$3,(G25-E26-H26-I26),0)</f>
        <v/>
      </c>
      <c r="H26" s="19" t="n"/>
      <c r="I26" s="25" t="n"/>
      <c r="J26" s="12">
        <f>IF(ISBLANK(H25),VALUE(J25),ROW(H25))</f>
        <v/>
      </c>
      <c r="K26" s="14">
        <f>K25+J25-J26</f>
        <v/>
      </c>
      <c r="L26" s="15">
        <f>INDEX(G:G,J26,1)</f>
        <v/>
      </c>
      <c r="M26" s="33">
        <f>C26</f>
        <v/>
      </c>
      <c r="N26" s="34">
        <f>D26</f>
        <v/>
      </c>
      <c r="O26" s="36" t="n"/>
    </row>
    <row r="27">
      <c r="A27" s="17" t="n">
        <v>20</v>
      </c>
      <c r="B27" s="138">
        <f>CONCATENATE(INT((A27-1)/12)+1,"-й год ",A27-1-INT((A27-1)/12)*12+1,"-й мес")</f>
        <v/>
      </c>
      <c r="C27" s="41">
        <f>DATE(YEAR(C26),MONTH(C26)+1,DAY(C26))</f>
        <v/>
      </c>
      <c r="D27" s="16">
        <f>IF(A27&gt;$D$3,0,(IF($D$2=0,$D$1/$D$3,(IF(L27*$D$2/100/12/(1-(1+$D$2/100/12)^(-K27))&lt;G26,ROUNDUP(L27*$D$2/100/12/(1-(1+$D$2/100/12)^(-K27)),0),G26+F27)))))</f>
        <v/>
      </c>
      <c r="E27" s="11">
        <f>D27-F27</f>
        <v/>
      </c>
      <c r="F27" s="11">
        <f>IF(A27&lt;=$D$3,(IF($D$2=0,0,(G26*$D$2*(C27-C26)/(DATE(YEAR(C27)+1,1,1)-DATE(YEAR(C27),1,1))/100))),0)</f>
        <v/>
      </c>
      <c r="G27" s="46">
        <f>IF(A27&lt;=$D$3,(G26-E27-H27-I27),0)</f>
        <v/>
      </c>
      <c r="H27" s="19" t="n"/>
      <c r="I27" s="25" t="n"/>
      <c r="J27" s="12">
        <f>IF(ISBLANK(H26),VALUE(J26),ROW(H26))</f>
        <v/>
      </c>
      <c r="K27" s="14">
        <f>K26+J26-J27</f>
        <v/>
      </c>
      <c r="L27" s="15">
        <f>INDEX(G:G,J27,1)</f>
        <v/>
      </c>
      <c r="M27" s="33">
        <f>C27</f>
        <v/>
      </c>
      <c r="N27" s="34">
        <f>D27</f>
        <v/>
      </c>
      <c r="O27" s="36" t="n"/>
    </row>
    <row r="28">
      <c r="A28" s="17" t="n">
        <v>21</v>
      </c>
      <c r="B28" s="138">
        <f>CONCATENATE(INT((A28-1)/12)+1,"-й год ",A28-1-INT((A28-1)/12)*12+1,"-й мес")</f>
        <v/>
      </c>
      <c r="C28" s="41">
        <f>DATE(YEAR(C27),MONTH(C27)+1,DAY(C27))</f>
        <v/>
      </c>
      <c r="D28" s="16">
        <f>IF(A28&gt;$D$3,0,(IF($D$2=0,$D$1/$D$3,(IF(L28*$D$2/100/12/(1-(1+$D$2/100/12)^(-K28))&lt;G27,ROUNDUP(L28*$D$2/100/12/(1-(1+$D$2/100/12)^(-K28)),0),G27+F28)))))</f>
        <v/>
      </c>
      <c r="E28" s="11">
        <f>D28-F28</f>
        <v/>
      </c>
      <c r="F28" s="11">
        <f>IF(A28&lt;=$D$3,(IF($D$2=0,0,(G27*$D$2*(C28-C27)/(DATE(YEAR(C28)+1,1,1)-DATE(YEAR(C28),1,1))/100))),0)</f>
        <v/>
      </c>
      <c r="G28" s="46">
        <f>IF(A28&lt;=$D$3,(G27-E28-H28-I28),0)</f>
        <v/>
      </c>
      <c r="H28" s="19" t="n"/>
      <c r="I28" s="25" t="n"/>
      <c r="J28" s="12">
        <f>IF(ISBLANK(H27),VALUE(J27),ROW(H27))</f>
        <v/>
      </c>
      <c r="K28" s="14">
        <f>K27+J27-J28</f>
        <v/>
      </c>
      <c r="L28" s="15">
        <f>INDEX(G:G,J28,1)</f>
        <v/>
      </c>
      <c r="M28" s="33">
        <f>C28</f>
        <v/>
      </c>
      <c r="N28" s="34">
        <f>D28</f>
        <v/>
      </c>
      <c r="O28" s="36" t="n"/>
    </row>
    <row r="29">
      <c r="A29" s="17" t="n">
        <v>22</v>
      </c>
      <c r="B29" s="138">
        <f>CONCATENATE(INT((A29-1)/12)+1,"-й год ",A29-1-INT((A29-1)/12)*12+1,"-й мес")</f>
        <v/>
      </c>
      <c r="C29" s="41">
        <f>DATE(YEAR(C28),MONTH(C28)+1,DAY(C28))</f>
        <v/>
      </c>
      <c r="D29" s="16">
        <f>IF(A29&gt;$D$3,0,(IF($D$2=0,$D$1/$D$3,(IF(L29*$D$2/100/12/(1-(1+$D$2/100/12)^(-K29))&lt;G28,ROUNDUP(L29*$D$2/100/12/(1-(1+$D$2/100/12)^(-K29)),0),G28+F29)))))</f>
        <v/>
      </c>
      <c r="E29" s="11">
        <f>D29-F29</f>
        <v/>
      </c>
      <c r="F29" s="11">
        <f>IF(A29&lt;=$D$3,(IF($D$2=0,0,(G28*$D$2*(C29-C28)/(DATE(YEAR(C29)+1,1,1)-DATE(YEAR(C29),1,1))/100))),0)</f>
        <v/>
      </c>
      <c r="G29" s="46">
        <f>IF(A29&lt;=$D$3,(G28-E29-H29-I29),0)</f>
        <v/>
      </c>
      <c r="H29" s="19" t="n"/>
      <c r="I29" s="25" t="n"/>
      <c r="J29" s="12">
        <f>IF(ISBLANK(H28),VALUE(J28),ROW(H28))</f>
        <v/>
      </c>
      <c r="K29" s="14">
        <f>K28+J28-J29</f>
        <v/>
      </c>
      <c r="L29" s="15">
        <f>INDEX(G:G,J29,1)</f>
        <v/>
      </c>
      <c r="M29" s="33">
        <f>C29</f>
        <v/>
      </c>
      <c r="N29" s="34">
        <f>D29</f>
        <v/>
      </c>
      <c r="O29" s="36" t="n"/>
    </row>
    <row r="30">
      <c r="A30" s="17" t="n">
        <v>23</v>
      </c>
      <c r="B30" s="138">
        <f>CONCATENATE(INT((A30-1)/12)+1,"-й год ",A30-1-INT((A30-1)/12)*12+1,"-й мес")</f>
        <v/>
      </c>
      <c r="C30" s="41">
        <f>DATE(YEAR(C29),MONTH(C29)+1,DAY(C29))</f>
        <v/>
      </c>
      <c r="D30" s="16">
        <f>IF(A30&gt;$D$3,0,(IF($D$2=0,$D$1/$D$3,(IF(L30*$D$2/100/12/(1-(1+$D$2/100/12)^(-K30))&lt;G29,ROUNDUP(L30*$D$2/100/12/(1-(1+$D$2/100/12)^(-K30)),0),G29+F30)))))</f>
        <v/>
      </c>
      <c r="E30" s="11">
        <f>D30-F30</f>
        <v/>
      </c>
      <c r="F30" s="11">
        <f>IF(A30&lt;=$D$3,(IF($D$2=0,0,(G29*$D$2*(C30-C29)/(DATE(YEAR(C30)+1,1,1)-DATE(YEAR(C30),1,1))/100))),0)</f>
        <v/>
      </c>
      <c r="G30" s="46">
        <f>IF(A30&lt;=$D$3,(G29-E30-H30-I30),0)</f>
        <v/>
      </c>
      <c r="H30" s="19" t="n"/>
      <c r="I30" s="25" t="n"/>
      <c r="J30" s="12">
        <f>IF(ISBLANK(H29),VALUE(J29),ROW(H29))</f>
        <v/>
      </c>
      <c r="K30" s="14">
        <f>K29+J29-J30</f>
        <v/>
      </c>
      <c r="L30" s="15">
        <f>INDEX(G:G,J30,1)</f>
        <v/>
      </c>
      <c r="M30" s="33">
        <f>C30</f>
        <v/>
      </c>
      <c r="N30" s="34">
        <f>D30</f>
        <v/>
      </c>
      <c r="O30" s="36" t="n"/>
    </row>
    <row r="31">
      <c r="A31" s="48" t="n">
        <v>24</v>
      </c>
      <c r="B31" s="138">
        <f>CONCATENATE(INT((A31-1)/12)+1,"-й год ",A31-1-INT((A31-1)/12)*12+1,"-й мес")</f>
        <v/>
      </c>
      <c r="C31" s="41">
        <f>DATE(YEAR(C30),MONTH(C30)+1,DAY(C30))</f>
        <v/>
      </c>
      <c r="D31" s="16">
        <f>IF(A31&gt;$D$3,0,(IF($D$2=0,$D$1/$D$3,(IF(L31*$D$2/100/12/(1-(1+$D$2/100/12)^(-K31))&lt;G30,ROUNDUP(L31*$D$2/100/12/(1-(1+$D$2/100/12)^(-K31)),0),G30+F31)))))</f>
        <v/>
      </c>
      <c r="E31" s="23">
        <f>D31-F31</f>
        <v/>
      </c>
      <c r="F31" s="11">
        <f>IF(A31&lt;=$D$3,(IF($D$2=0,0,(G30*$D$2*(C31-C30)/(DATE(YEAR(C31)+1,1,1)-DATE(YEAR(C31),1,1))/100))),0)</f>
        <v/>
      </c>
      <c r="G31" s="46">
        <f>IF(A31&lt;=$D$3,(G30-E31-H31-I31),0)</f>
        <v/>
      </c>
      <c r="H31" s="24" t="n"/>
      <c r="I31" s="25" t="n"/>
      <c r="J31" s="12">
        <f>IF(ISBLANK(H30),VALUE(J30),ROW(H30))</f>
        <v/>
      </c>
      <c r="K31" s="14">
        <f>K30+J30-J31</f>
        <v/>
      </c>
      <c r="L31" s="15">
        <f>INDEX(G:G,J31,1)</f>
        <v/>
      </c>
      <c r="M31" s="33">
        <f>C31</f>
        <v/>
      </c>
      <c r="N31" s="34">
        <f>D31</f>
        <v/>
      </c>
      <c r="O31" s="36" t="n"/>
    </row>
    <row r="32">
      <c r="A32" s="17" t="n">
        <v>25</v>
      </c>
      <c r="B32" s="138">
        <f>CONCATENATE(INT((A32-1)/12)+1,"-й год ",A32-1-INT((A32-1)/12)*12+1,"-й мес")</f>
        <v/>
      </c>
      <c r="C32" s="41">
        <f>DATE(YEAR(C31),MONTH(C31)+1,DAY(C31))</f>
        <v/>
      </c>
      <c r="D32" s="16">
        <f>IF(A32&gt;$D$3,0,(IF($D$2=0,$D$1/$D$3,(IF(L32*$D$2/100/12/(1-(1+$D$2/100/12)^(-K32))&lt;G31,ROUNDUP(L32*$D$2/100/12/(1-(1+$D$2/100/12)^(-K32)),0),G31+F32)))))</f>
        <v/>
      </c>
      <c r="E32" s="11">
        <f>D32-F32</f>
        <v/>
      </c>
      <c r="F32" s="11">
        <f>IF(A32&lt;=$D$3,(IF($D$2=0,0,(G31*$D$2*(C32-C31)/(DATE(YEAR(C32)+1,1,1)-DATE(YEAR(C32),1,1))/100))),0)</f>
        <v/>
      </c>
      <c r="G32" s="46">
        <f>IF(A32&lt;=$D$3,(G31-E32-H32-I32),0)</f>
        <v/>
      </c>
      <c r="H32" s="19" t="n"/>
      <c r="I32" s="25" t="n"/>
      <c r="J32" s="12">
        <f>IF(ISBLANK(H31),VALUE(J31),ROW(H31))</f>
        <v/>
      </c>
      <c r="K32" s="14">
        <f>K31+J31-J32</f>
        <v/>
      </c>
      <c r="L32" s="15">
        <f>INDEX(G:G,J32,1)</f>
        <v/>
      </c>
      <c r="M32" s="33">
        <f>C32</f>
        <v/>
      </c>
      <c r="N32" s="34">
        <f>D32</f>
        <v/>
      </c>
      <c r="O32" s="36" t="n"/>
    </row>
    <row r="33">
      <c r="A33" s="17" t="n">
        <v>26</v>
      </c>
      <c r="B33" s="138">
        <f>CONCATENATE(INT((A33-1)/12)+1,"-й год ",A33-1-INT((A33-1)/12)*12+1,"-й мес")</f>
        <v/>
      </c>
      <c r="C33" s="41">
        <f>DATE(YEAR(C32),MONTH(C32)+1,DAY(C32))</f>
        <v/>
      </c>
      <c r="D33" s="16">
        <f>IF(A33&gt;$D$3,0,(IF($D$2=0,$D$1/$D$3,(IF(L33*$D$2/100/12/(1-(1+$D$2/100/12)^(-K33))&lt;G32,ROUNDUP(L33*$D$2/100/12/(1-(1+$D$2/100/12)^(-K33)),0),G32+F33)))))</f>
        <v/>
      </c>
      <c r="E33" s="11">
        <f>D33-F33</f>
        <v/>
      </c>
      <c r="F33" s="11">
        <f>IF(A33&lt;=$D$3,(IF($D$2=0,0,(G32*$D$2*(C33-C32)/(DATE(YEAR(C33)+1,1,1)-DATE(YEAR(C33),1,1))/100))),0)</f>
        <v/>
      </c>
      <c r="G33" s="46">
        <f>IF(A33&lt;=$D$3,(G32-E33-H33-I33),0)</f>
        <v/>
      </c>
      <c r="H33" s="19" t="n"/>
      <c r="I33" s="25" t="n"/>
      <c r="J33" s="12">
        <f>IF(ISBLANK(H32),VALUE(J32),ROW(H32))</f>
        <v/>
      </c>
      <c r="K33" s="14">
        <f>K32+J32-J33</f>
        <v/>
      </c>
      <c r="L33" s="15">
        <f>INDEX(G:G,J33,1)</f>
        <v/>
      </c>
      <c r="M33" s="33">
        <f>C33</f>
        <v/>
      </c>
      <c r="N33" s="34">
        <f>D33</f>
        <v/>
      </c>
      <c r="O33" s="36" t="n"/>
    </row>
    <row r="34">
      <c r="A34" s="17" t="n">
        <v>27</v>
      </c>
      <c r="B34" s="138">
        <f>CONCATENATE(INT((A34-1)/12)+1,"-й год ",A34-1-INT((A34-1)/12)*12+1,"-й мес")</f>
        <v/>
      </c>
      <c r="C34" s="41">
        <f>DATE(YEAR(C33),MONTH(C33)+1,DAY(C33))</f>
        <v/>
      </c>
      <c r="D34" s="16">
        <f>IF(A34&gt;$D$3,0,(IF($D$2=0,$D$1/$D$3,(IF(L34*$D$2/100/12/(1-(1+$D$2/100/12)^(-K34))&lt;G33,ROUNDUP(L34*$D$2/100/12/(1-(1+$D$2/100/12)^(-K34)),0),G33+F34)))))</f>
        <v/>
      </c>
      <c r="E34" s="11">
        <f>D34-F34</f>
        <v/>
      </c>
      <c r="F34" s="11">
        <f>IF(A34&lt;=$D$3,(IF($D$2=0,0,(G33*$D$2*(C34-C33)/(DATE(YEAR(C34)+1,1,1)-DATE(YEAR(C34),1,1))/100))),0)</f>
        <v/>
      </c>
      <c r="G34" s="46">
        <f>IF(A34&lt;=$D$3,(G33-E34-H34-I34),0)</f>
        <v/>
      </c>
      <c r="H34" s="19" t="n"/>
      <c r="I34" s="25" t="n"/>
      <c r="J34" s="12">
        <f>IF(ISBLANK(H33),VALUE(J33),ROW(H33))</f>
        <v/>
      </c>
      <c r="K34" s="14">
        <f>K33+J33-J34</f>
        <v/>
      </c>
      <c r="L34" s="15">
        <f>INDEX(G:G,J34,1)</f>
        <v/>
      </c>
      <c r="M34" s="33">
        <f>C34</f>
        <v/>
      </c>
      <c r="N34" s="34">
        <f>D34</f>
        <v/>
      </c>
      <c r="O34" s="36" t="n"/>
    </row>
    <row r="35">
      <c r="A35" s="17" t="n">
        <v>28</v>
      </c>
      <c r="B35" s="138">
        <f>CONCATENATE(INT((A35-1)/12)+1,"-й год ",A35-1-INT((A35-1)/12)*12+1,"-й мес")</f>
        <v/>
      </c>
      <c r="C35" s="41">
        <f>DATE(YEAR(C34),MONTH(C34)+1,DAY(C34))</f>
        <v/>
      </c>
      <c r="D35" s="16">
        <f>IF(A35&gt;$D$3,0,(IF($D$2=0,$D$1/$D$3,(IF(L35*$D$2/100/12/(1-(1+$D$2/100/12)^(-K35))&lt;G34,ROUNDUP(L35*$D$2/100/12/(1-(1+$D$2/100/12)^(-K35)),0),G34+F35)))))</f>
        <v/>
      </c>
      <c r="E35" s="11">
        <f>D35-F35</f>
        <v/>
      </c>
      <c r="F35" s="11">
        <f>IF(A35&lt;=$D$3,(IF($D$2=0,0,(G34*$D$2*(C35-C34)/(DATE(YEAR(C35)+1,1,1)-DATE(YEAR(C35),1,1))/100))),0)</f>
        <v/>
      </c>
      <c r="G35" s="46">
        <f>IF(A35&lt;=$D$3,(G34-E35-H35-I35),0)</f>
        <v/>
      </c>
      <c r="H35" s="19" t="n"/>
      <c r="I35" s="25" t="n"/>
      <c r="J35" s="12">
        <f>IF(ISBLANK(H34),VALUE(J34),ROW(H34))</f>
        <v/>
      </c>
      <c r="K35" s="14">
        <f>K34+J34-J35</f>
        <v/>
      </c>
      <c r="L35" s="15">
        <f>INDEX(G:G,J35,1)</f>
        <v/>
      </c>
      <c r="M35" s="33">
        <f>C35</f>
        <v/>
      </c>
      <c r="N35" s="34">
        <f>D35</f>
        <v/>
      </c>
      <c r="O35" s="36" t="n"/>
    </row>
    <row r="36">
      <c r="A36" s="17" t="n">
        <v>29</v>
      </c>
      <c r="B36" s="138">
        <f>CONCATENATE(INT((A36-1)/12)+1,"-й год ",A36-1-INT((A36-1)/12)*12+1,"-й мес")</f>
        <v/>
      </c>
      <c r="C36" s="41">
        <f>DATE(YEAR(C35),MONTH(C35)+1,DAY(C35))</f>
        <v/>
      </c>
      <c r="D36" s="16">
        <f>IF(A36&gt;$D$3,0,(IF($D$2=0,$D$1/$D$3,(IF(L36*$D$2/100/12/(1-(1+$D$2/100/12)^(-K36))&lt;G35,ROUNDUP(L36*$D$2/100/12/(1-(1+$D$2/100/12)^(-K36)),0),G35+F36)))))</f>
        <v/>
      </c>
      <c r="E36" s="11">
        <f>D36-F36</f>
        <v/>
      </c>
      <c r="F36" s="11">
        <f>IF(A36&lt;=$D$3,(IF($D$2=0,0,(G35*$D$2*(C36-C35)/(DATE(YEAR(C36)+1,1,1)-DATE(YEAR(C36),1,1))/100))),0)</f>
        <v/>
      </c>
      <c r="G36" s="46">
        <f>IF(A36&lt;=$D$3,(G35-E36-H36-I36),0)</f>
        <v/>
      </c>
      <c r="H36" s="19" t="n"/>
      <c r="I36" s="25" t="n"/>
      <c r="J36" s="12">
        <f>IF(ISBLANK(H35),VALUE(J35),ROW(H35))</f>
        <v/>
      </c>
      <c r="K36" s="14">
        <f>K35+J35-J36</f>
        <v/>
      </c>
      <c r="L36" s="15">
        <f>INDEX(G:G,J36,1)</f>
        <v/>
      </c>
      <c r="M36" s="33">
        <f>C36</f>
        <v/>
      </c>
      <c r="N36" s="34">
        <f>D36</f>
        <v/>
      </c>
      <c r="O36" s="36" t="n"/>
    </row>
    <row r="37">
      <c r="A37" s="17" t="n">
        <v>30</v>
      </c>
      <c r="B37" s="138">
        <f>CONCATENATE(INT((A37-1)/12)+1,"-й год ",A37-1-INT((A37-1)/12)*12+1,"-й мес")</f>
        <v/>
      </c>
      <c r="C37" s="41">
        <f>DATE(YEAR(C36),MONTH(C36)+1,DAY(C36))</f>
        <v/>
      </c>
      <c r="D37" s="16">
        <f>IF(A37&gt;$D$3,0,(IF($D$2=0,$D$1/$D$3,(IF(L37*$D$2/100/12/(1-(1+$D$2/100/12)^(-K37))&lt;G36,ROUNDUP(L37*$D$2/100/12/(1-(1+$D$2/100/12)^(-K37)),0),G36+F37)))))</f>
        <v/>
      </c>
      <c r="E37" s="11">
        <f>D37-F37</f>
        <v/>
      </c>
      <c r="F37" s="11">
        <f>IF(A37&lt;=$D$3,(IF($D$2=0,0,(G36*$D$2*(C37-C36)/(DATE(YEAR(C37)+1,1,1)-DATE(YEAR(C37),1,1))/100))),0)</f>
        <v/>
      </c>
      <c r="G37" s="46">
        <f>IF(A37&lt;=$D$3,(G36-E37-H37-I37),0)</f>
        <v/>
      </c>
      <c r="H37" s="19" t="n"/>
      <c r="I37" s="25" t="n"/>
      <c r="J37" s="12">
        <f>IF(ISBLANK(H36),VALUE(J36),ROW(H36))</f>
        <v/>
      </c>
      <c r="K37" s="14">
        <f>K36+J36-J37</f>
        <v/>
      </c>
      <c r="L37" s="15">
        <f>INDEX(G:G,J37,1)</f>
        <v/>
      </c>
      <c r="M37" s="33">
        <f>C37</f>
        <v/>
      </c>
      <c r="N37" s="34">
        <f>D37</f>
        <v/>
      </c>
      <c r="O37" s="36" t="n"/>
    </row>
    <row r="38">
      <c r="A38" s="17" t="n">
        <v>31</v>
      </c>
      <c r="B38" s="138">
        <f>CONCATENATE(INT((A38-1)/12)+1,"-й год ",A38-1-INT((A38-1)/12)*12+1,"-й мес")</f>
        <v/>
      </c>
      <c r="C38" s="41">
        <f>DATE(YEAR(C37),MONTH(C37)+1,DAY(C37))</f>
        <v/>
      </c>
      <c r="D38" s="16">
        <f>IF(A38&gt;$D$3,0,(IF($D$2=0,$D$1/$D$3,(IF(L38*$D$2/100/12/(1-(1+$D$2/100/12)^(-K38))&lt;G37,ROUNDUP(L38*$D$2/100/12/(1-(1+$D$2/100/12)^(-K38)),0),G37+F38)))))</f>
        <v/>
      </c>
      <c r="E38" s="11">
        <f>D38-F38</f>
        <v/>
      </c>
      <c r="F38" s="11">
        <f>IF(A38&lt;=$D$3,(IF($D$2=0,0,(G37*$D$2*(C38-C37)/(DATE(YEAR(C38)+1,1,1)-DATE(YEAR(C38),1,1))/100))),0)</f>
        <v/>
      </c>
      <c r="G38" s="46">
        <f>IF(A38&lt;=$D$3,(G37-E38-H38-I38),0)</f>
        <v/>
      </c>
      <c r="H38" s="19" t="n"/>
      <c r="I38" s="25" t="n"/>
      <c r="J38" s="12">
        <f>IF(ISBLANK(H37),VALUE(J37),ROW(H37))</f>
        <v/>
      </c>
      <c r="K38" s="14">
        <f>K37+J37-J38</f>
        <v/>
      </c>
      <c r="L38" s="15">
        <f>INDEX(G:G,J38,1)</f>
        <v/>
      </c>
      <c r="M38" s="33">
        <f>C38</f>
        <v/>
      </c>
      <c r="N38" s="34">
        <f>D38</f>
        <v/>
      </c>
      <c r="O38" s="36" t="n"/>
    </row>
    <row r="39">
      <c r="A39" s="17" t="n">
        <v>32</v>
      </c>
      <c r="B39" s="138">
        <f>CONCATENATE(INT((A39-1)/12)+1,"-й год ",A39-1-INT((A39-1)/12)*12+1,"-й мес")</f>
        <v/>
      </c>
      <c r="C39" s="41">
        <f>DATE(YEAR(C38),MONTH(C38)+1,DAY(C38))</f>
        <v/>
      </c>
      <c r="D39" s="16">
        <f>IF(A39&gt;$D$3,0,(IF($D$2=0,$D$1/$D$3,(IF(L39*$D$2/100/12/(1-(1+$D$2/100/12)^(-K39))&lt;G38,ROUNDUP(L39*$D$2/100/12/(1-(1+$D$2/100/12)^(-K39)),0),G38+F39)))))</f>
        <v/>
      </c>
      <c r="E39" s="11">
        <f>D39-F39</f>
        <v/>
      </c>
      <c r="F39" s="11">
        <f>IF(A39&lt;=$D$3,(IF($D$2=0,0,(G38*$D$2*(C39-C38)/(DATE(YEAR(C39)+1,1,1)-DATE(YEAR(C39),1,1))/100))),0)</f>
        <v/>
      </c>
      <c r="G39" s="46">
        <f>IF(A39&lt;=$D$3,(G38-E39-H39-I39),0)</f>
        <v/>
      </c>
      <c r="H39" s="19" t="n"/>
      <c r="I39" s="25" t="n"/>
      <c r="J39" s="12">
        <f>IF(ISBLANK(H38),VALUE(J38),ROW(H38))</f>
        <v/>
      </c>
      <c r="K39" s="14">
        <f>K38+J38-J39</f>
        <v/>
      </c>
      <c r="L39" s="15">
        <f>INDEX(G:G,J39,1)</f>
        <v/>
      </c>
      <c r="M39" s="33">
        <f>C39</f>
        <v/>
      </c>
      <c r="N39" s="34">
        <f>D39</f>
        <v/>
      </c>
      <c r="O39" s="36" t="n"/>
    </row>
    <row r="40">
      <c r="A40" s="17" t="n">
        <v>33</v>
      </c>
      <c r="B40" s="138">
        <f>CONCATENATE(INT((A40-1)/12)+1,"-й год ",A40-1-INT((A40-1)/12)*12+1,"-й мес")</f>
        <v/>
      </c>
      <c r="C40" s="41">
        <f>DATE(YEAR(C39),MONTH(C39)+1,DAY(C39))</f>
        <v/>
      </c>
      <c r="D40" s="16">
        <f>IF(A40&gt;$D$3,0,(IF($D$2=0,$D$1/$D$3,(IF(L40*$D$2/100/12/(1-(1+$D$2/100/12)^(-K40))&lt;G39,ROUNDUP(L40*$D$2/100/12/(1-(1+$D$2/100/12)^(-K40)),0),G39+F40)))))</f>
        <v/>
      </c>
      <c r="E40" s="11">
        <f>D40-F40</f>
        <v/>
      </c>
      <c r="F40" s="11">
        <f>IF(A40&lt;=$D$3,(IF($D$2=0,0,(G39*$D$2*(C40-C39)/(DATE(YEAR(C40)+1,1,1)-DATE(YEAR(C40),1,1))/100))),0)</f>
        <v/>
      </c>
      <c r="G40" s="46">
        <f>IF(A40&lt;=$D$3,(G39-E40-H40-I40),0)</f>
        <v/>
      </c>
      <c r="H40" s="19" t="n"/>
      <c r="I40" s="25" t="n"/>
      <c r="J40" s="12">
        <f>IF(ISBLANK(H39),VALUE(J39),ROW(H39))</f>
        <v/>
      </c>
      <c r="K40" s="14">
        <f>K39+J39-J40</f>
        <v/>
      </c>
      <c r="L40" s="15">
        <f>INDEX(G:G,J40,1)</f>
        <v/>
      </c>
      <c r="M40" s="33">
        <f>C40</f>
        <v/>
      </c>
      <c r="N40" s="34">
        <f>D40</f>
        <v/>
      </c>
      <c r="O40" s="36" t="n"/>
    </row>
    <row r="41">
      <c r="A41" s="17" t="n">
        <v>34</v>
      </c>
      <c r="B41" s="138">
        <f>CONCATENATE(INT((A41-1)/12)+1,"-й год ",A41-1-INT((A41-1)/12)*12+1,"-й мес")</f>
        <v/>
      </c>
      <c r="C41" s="41">
        <f>DATE(YEAR(C40),MONTH(C40)+1,DAY(C40))</f>
        <v/>
      </c>
      <c r="D41" s="16">
        <f>IF(A41&gt;$D$3,0,(IF($D$2=0,$D$1/$D$3,(IF(L41*$D$2/100/12/(1-(1+$D$2/100/12)^(-K41))&lt;G40,ROUNDUP(L41*$D$2/100/12/(1-(1+$D$2/100/12)^(-K41)),0),G40+F41)))))</f>
        <v/>
      </c>
      <c r="E41" s="11">
        <f>D41-F41</f>
        <v/>
      </c>
      <c r="F41" s="11">
        <f>IF(A41&lt;=$D$3,(IF($D$2=0,0,(G40*$D$2*(C41-C40)/(DATE(YEAR(C41)+1,1,1)-DATE(YEAR(C41),1,1))/100))),0)</f>
        <v/>
      </c>
      <c r="G41" s="46">
        <f>IF(A41&lt;=$D$3,(G40-E41-H41-I41),0)</f>
        <v/>
      </c>
      <c r="H41" s="19" t="n"/>
      <c r="I41" s="25" t="n"/>
      <c r="J41" s="12">
        <f>IF(ISBLANK(H40),VALUE(J40),ROW(H40))</f>
        <v/>
      </c>
      <c r="K41" s="14">
        <f>K40+J40-J41</f>
        <v/>
      </c>
      <c r="L41" s="15">
        <f>INDEX(G:G,J41,1)</f>
        <v/>
      </c>
      <c r="M41" s="33">
        <f>C41</f>
        <v/>
      </c>
      <c r="N41" s="34">
        <f>D41</f>
        <v/>
      </c>
      <c r="O41" s="36" t="n"/>
    </row>
    <row r="42">
      <c r="A42" s="17" t="n">
        <v>35</v>
      </c>
      <c r="B42" s="138">
        <f>CONCATENATE(INT((A42-1)/12)+1,"-й год ",A42-1-INT((A42-1)/12)*12+1,"-й мес")</f>
        <v/>
      </c>
      <c r="C42" s="41">
        <f>DATE(YEAR(C41),MONTH(C41)+1,DAY(C41))</f>
        <v/>
      </c>
      <c r="D42" s="16">
        <f>IF(A42&gt;$D$3,0,(IF($D$2=0,$D$1/$D$3,(IF(L42*$D$2/100/12/(1-(1+$D$2/100/12)^(-K42))&lt;G41,ROUNDUP(L42*$D$2/100/12/(1-(1+$D$2/100/12)^(-K42)),0),G41+F42)))))</f>
        <v/>
      </c>
      <c r="E42" s="11">
        <f>D42-F42</f>
        <v/>
      </c>
      <c r="F42" s="11">
        <f>IF(A42&lt;=$D$3,(IF($D$2=0,0,(G41*$D$2*(C42-C41)/(DATE(YEAR(C42)+1,1,1)-DATE(YEAR(C42),1,1))/100))),0)</f>
        <v/>
      </c>
      <c r="G42" s="46">
        <f>IF(A42&lt;=$D$3,(G41-E42-H42-I42),0)</f>
        <v/>
      </c>
      <c r="H42" s="19" t="n"/>
      <c r="I42" s="25" t="n"/>
      <c r="J42" s="12">
        <f>IF(ISBLANK(H41),VALUE(J41),ROW(H41))</f>
        <v/>
      </c>
      <c r="K42" s="14">
        <f>K41+J41-J42</f>
        <v/>
      </c>
      <c r="L42" s="15">
        <f>INDEX(G:G,J42,1)</f>
        <v/>
      </c>
      <c r="M42" s="33">
        <f>C42</f>
        <v/>
      </c>
      <c r="N42" s="34">
        <f>D42</f>
        <v/>
      </c>
      <c r="O42" s="36" t="n"/>
    </row>
    <row r="43" ht="13.8" customHeight="1" s="105" thickBot="1">
      <c r="A43" s="49" t="n">
        <v>36</v>
      </c>
      <c r="B43" s="50">
        <f>CONCATENATE(INT((A43-1)/12)+1,"-й год ",A43-1-INT((A43-1)/12)*12+1,"-й мес")</f>
        <v/>
      </c>
      <c r="C43" s="51">
        <f>DATE(YEAR(C42),MONTH(C42)+1,DAY(C42))</f>
        <v/>
      </c>
      <c r="D43" s="139">
        <f>IF(A43&gt;$D$3,0,(IF($D$2=0,$D$1/$D$3,(IF(L43*$D$2/100/12/(1-(1+$D$2/100/12)^(-K43))&lt;G42,ROUNDUP(L43*$D$2/100/12/(1-(1+$D$2/100/12)^(-K43)),0),G42+F43)))))</f>
        <v/>
      </c>
      <c r="E43" s="52">
        <f>D43-F43</f>
        <v/>
      </c>
      <c r="F43" s="11">
        <f>IF(A43&lt;=$D$3,(IF($D$2=0,0,(G42*$D$2*(C43-C42)/(DATE(YEAR(C43)+1,1,1)-DATE(YEAR(C43),1,1))/100))),0)</f>
        <v/>
      </c>
      <c r="G43" s="140">
        <f>IF(A43&lt;=$D$3,(G42-E43-H43-I43),0)</f>
        <v/>
      </c>
      <c r="H43" s="19" t="n"/>
      <c r="I43" s="25" t="n"/>
      <c r="J43" s="12">
        <f>IF(ISBLANK(H42),VALUE(J42),ROW(H42))</f>
        <v/>
      </c>
      <c r="K43" s="14">
        <f>K42+J42-J43</f>
        <v/>
      </c>
      <c r="L43" s="15">
        <f>INDEX(G:G,J43,1)</f>
        <v/>
      </c>
      <c r="M43" s="33">
        <f>C43</f>
        <v/>
      </c>
      <c r="N43" s="34">
        <f>D43</f>
        <v/>
      </c>
      <c r="O43" s="36" t="n"/>
    </row>
    <row r="44">
      <c r="A44" s="17" t="n">
        <v>37</v>
      </c>
      <c r="B44" s="138">
        <f>CONCATENATE(INT((A44-1)/12)+1,"-й год ",A44-1-INT((A44-1)/12)*12+1,"-й мес")</f>
        <v/>
      </c>
      <c r="C44" s="41">
        <f>DATE(YEAR(C43),MONTH(C43)+1,DAY(C43))</f>
        <v/>
      </c>
      <c r="D44" s="16">
        <f>IF(A44&gt;$D$3,0,(IF($D$2=0,$D$1/$D$3,(IF(L44*$D$2/100/12/(1-(1+$D$2/100/12)^(-K44))&lt;G43,ROUNDUP(L44*$D$2/100/12/(1-(1+$D$2/100/12)^(-K44)),0),G43+F44)))))</f>
        <v/>
      </c>
      <c r="E44" s="11">
        <f>D44-F44</f>
        <v/>
      </c>
      <c r="F44" s="11">
        <f>IF(A44&lt;=$D$3,(IF($D$2=0,0,(G43*$D$2*(C44-C43)/(DATE(YEAR(C44)+1,1,1)-DATE(YEAR(C44),1,1))/100))),0)</f>
        <v/>
      </c>
      <c r="G44" s="46">
        <f>IF(A44&lt;=$D$3,(G43-E44-H44-I44),0)</f>
        <v/>
      </c>
      <c r="H44" s="22" t="n"/>
      <c r="I44" s="25" t="n"/>
      <c r="J44" s="12">
        <f>IF(ISBLANK(H43),VALUE(J43),ROW(H43))</f>
        <v/>
      </c>
      <c r="K44" s="14">
        <f>K43+J43-J44</f>
        <v/>
      </c>
      <c r="L44" s="15">
        <f>INDEX(G:G,J44,1)</f>
        <v/>
      </c>
      <c r="M44" s="33">
        <f>C44</f>
        <v/>
      </c>
      <c r="N44" s="34">
        <f>D44</f>
        <v/>
      </c>
      <c r="O44" s="36" t="n"/>
    </row>
    <row r="45">
      <c r="A45" s="17" t="n">
        <v>38</v>
      </c>
      <c r="B45" s="138">
        <f>CONCATENATE(INT((A45-1)/12)+1,"-й год ",A45-1-INT((A45-1)/12)*12+1,"-й мес")</f>
        <v/>
      </c>
      <c r="C45" s="41">
        <f>DATE(YEAR(C44),MONTH(C44)+1,DAY(C44))</f>
        <v/>
      </c>
      <c r="D45" s="16">
        <f>IF(A45&gt;$D$3,0,(IF($D$2=0,$D$1/$D$3,(IF(L45*$D$2/100/12/(1-(1+$D$2/100/12)^(-K45))&lt;G44,ROUNDUP(L45*$D$2/100/12/(1-(1+$D$2/100/12)^(-K45)),0),G44+F45)))))</f>
        <v/>
      </c>
      <c r="E45" s="11">
        <f>D45-F45</f>
        <v/>
      </c>
      <c r="F45" s="11">
        <f>IF(A45&lt;=$D$3,(IF($D$2=0,0,(G44*$D$2*(C45-C44)/(DATE(YEAR(C45)+1,1,1)-DATE(YEAR(C45),1,1))/100))),0)</f>
        <v/>
      </c>
      <c r="G45" s="46">
        <f>IF(A45&lt;=$D$3,(G44-E45-H45-I45),0)</f>
        <v/>
      </c>
      <c r="H45" s="19" t="n"/>
      <c r="I45" s="25" t="n"/>
      <c r="J45" s="12">
        <f>IF(ISBLANK(H44),VALUE(J44),ROW(H44))</f>
        <v/>
      </c>
      <c r="K45" s="14">
        <f>K44+J44-J45</f>
        <v/>
      </c>
      <c r="L45" s="15">
        <f>INDEX(G:G,J45,1)</f>
        <v/>
      </c>
      <c r="M45" s="33">
        <f>C45</f>
        <v/>
      </c>
      <c r="N45" s="34">
        <f>D45</f>
        <v/>
      </c>
      <c r="O45" s="36" t="n"/>
    </row>
    <row r="46">
      <c r="A46" s="17" t="n">
        <v>39</v>
      </c>
      <c r="B46" s="138">
        <f>CONCATENATE(INT((A46-1)/12)+1,"-й год ",A46-1-INT((A46-1)/12)*12+1,"-й мес")</f>
        <v/>
      </c>
      <c r="C46" s="41">
        <f>DATE(YEAR(C45),MONTH(C45)+1,DAY(C45))</f>
        <v/>
      </c>
      <c r="D46" s="16">
        <f>IF(A46&gt;$D$3,0,(IF($D$2=0,$D$1/$D$3,(IF(L46*$D$2/100/12/(1-(1+$D$2/100/12)^(-K46))&lt;G45,ROUNDUP(L46*$D$2/100/12/(1-(1+$D$2/100/12)^(-K46)),0),G45+F46)))))</f>
        <v/>
      </c>
      <c r="E46" s="11">
        <f>D46-F46</f>
        <v/>
      </c>
      <c r="F46" s="11">
        <f>IF(A46&lt;=$D$3,(IF($D$2=0,0,(G45*$D$2*(C46-C45)/(DATE(YEAR(C46)+1,1,1)-DATE(YEAR(C46),1,1))/100))),0)</f>
        <v/>
      </c>
      <c r="G46" s="46">
        <f>IF(A46&lt;=$D$3,(G45-E46-H46-I46),0)</f>
        <v/>
      </c>
      <c r="H46" s="19" t="n"/>
      <c r="I46" s="25" t="n"/>
      <c r="J46" s="12">
        <f>IF(ISBLANK(H45),VALUE(J45),ROW(H45))</f>
        <v/>
      </c>
      <c r="K46" s="14">
        <f>K45+J45-J46</f>
        <v/>
      </c>
      <c r="L46" s="15">
        <f>INDEX(G:G,J46,1)</f>
        <v/>
      </c>
      <c r="M46" s="33">
        <f>C46</f>
        <v/>
      </c>
      <c r="N46" s="34">
        <f>D46</f>
        <v/>
      </c>
      <c r="O46" s="36" t="n"/>
    </row>
    <row r="47">
      <c r="A47" s="17" t="n">
        <v>40</v>
      </c>
      <c r="B47" s="138">
        <f>CONCATENATE(INT((A47-1)/12)+1,"-й год ",A47-1-INT((A47-1)/12)*12+1,"-й мес")</f>
        <v/>
      </c>
      <c r="C47" s="41">
        <f>DATE(YEAR(C46),MONTH(C46)+1,DAY(C46))</f>
        <v/>
      </c>
      <c r="D47" s="16">
        <f>IF(A47&gt;$D$3,0,(IF($D$2=0,$D$1/$D$3,(IF(L47*$D$2/100/12/(1-(1+$D$2/100/12)^(-K47))&lt;G46,ROUNDUP(L47*$D$2/100/12/(1-(1+$D$2/100/12)^(-K47)),0),G46+F47)))))</f>
        <v/>
      </c>
      <c r="E47" s="11">
        <f>D47-F47</f>
        <v/>
      </c>
      <c r="F47" s="11">
        <f>IF(A47&lt;=$D$3,(IF($D$2=0,0,(G46*$D$2*(C47-C46)/(DATE(YEAR(C47)+1,1,1)-DATE(YEAR(C47),1,1))/100))),0)</f>
        <v/>
      </c>
      <c r="G47" s="46">
        <f>IF(A47&lt;=$D$3,(G46-E47-H47-I47),0)</f>
        <v/>
      </c>
      <c r="H47" s="19" t="n"/>
      <c r="I47" s="25" t="n"/>
      <c r="J47" s="12">
        <f>IF(ISBLANK(H46),VALUE(J46),ROW(H46))</f>
        <v/>
      </c>
      <c r="K47" s="14">
        <f>K46+J46-J47</f>
        <v/>
      </c>
      <c r="L47" s="15">
        <f>INDEX(G:G,J47,1)</f>
        <v/>
      </c>
      <c r="M47" s="33">
        <f>C47</f>
        <v/>
      </c>
      <c r="N47" s="34">
        <f>D47</f>
        <v/>
      </c>
      <c r="O47" s="36" t="n"/>
    </row>
    <row r="48">
      <c r="A48" s="17" t="n">
        <v>41</v>
      </c>
      <c r="B48" s="138">
        <f>CONCATENATE(INT((A48-1)/12)+1,"-й год ",A48-1-INT((A48-1)/12)*12+1,"-й мес")</f>
        <v/>
      </c>
      <c r="C48" s="41">
        <f>DATE(YEAR(C47),MONTH(C47)+1,DAY(C47))</f>
        <v/>
      </c>
      <c r="D48" s="16">
        <f>IF(A48&gt;$D$3,0,(IF($D$2=0,$D$1/$D$3,(IF(L48*$D$2/100/12/(1-(1+$D$2/100/12)^(-K48))&lt;G47,ROUNDUP(L48*$D$2/100/12/(1-(1+$D$2/100/12)^(-K48)),0),G47+F48)))))</f>
        <v/>
      </c>
      <c r="E48" s="11">
        <f>D48-F48</f>
        <v/>
      </c>
      <c r="F48" s="11">
        <f>IF(A48&lt;=$D$3,(IF($D$2=0,0,(G47*$D$2*(C48-C47)/(DATE(YEAR(C48)+1,1,1)-DATE(YEAR(C48),1,1))/100))),0)</f>
        <v/>
      </c>
      <c r="G48" s="46">
        <f>IF(A48&lt;=$D$3,(G47-E48-H48-I48),0)</f>
        <v/>
      </c>
      <c r="H48" s="19" t="n"/>
      <c r="I48" s="25" t="n"/>
      <c r="J48" s="12">
        <f>IF(ISBLANK(H47),VALUE(J47),ROW(H47))</f>
        <v/>
      </c>
      <c r="K48" s="14">
        <f>K47+J47-J48</f>
        <v/>
      </c>
      <c r="L48" s="15">
        <f>INDEX(G:G,J48,1)</f>
        <v/>
      </c>
      <c r="M48" s="33">
        <f>C48</f>
        <v/>
      </c>
      <c r="N48" s="34">
        <f>D48</f>
        <v/>
      </c>
      <c r="O48" s="36" t="n"/>
    </row>
    <row r="49">
      <c r="A49" s="17" t="n">
        <v>42</v>
      </c>
      <c r="B49" s="138">
        <f>CONCATENATE(INT((A49-1)/12)+1,"-й год ",A49-1-INT((A49-1)/12)*12+1,"-й мес")</f>
        <v/>
      </c>
      <c r="C49" s="41">
        <f>DATE(YEAR(C48),MONTH(C48)+1,DAY(C48))</f>
        <v/>
      </c>
      <c r="D49" s="16">
        <f>IF(A49&gt;$D$3,0,(IF($D$2=0,$D$1/$D$3,(IF(L49*$D$2/100/12/(1-(1+$D$2/100/12)^(-K49))&lt;G48,ROUNDUP(L49*$D$2/100/12/(1-(1+$D$2/100/12)^(-K49)),0),G48+F49)))))</f>
        <v/>
      </c>
      <c r="E49" s="11">
        <f>D49-F49</f>
        <v/>
      </c>
      <c r="F49" s="11">
        <f>IF(A49&lt;=$D$3,(IF($D$2=0,0,(G48*$D$2*(C49-C48)/(DATE(YEAR(C49)+1,1,1)-DATE(YEAR(C49),1,1))/100))),0)</f>
        <v/>
      </c>
      <c r="G49" s="46">
        <f>IF(A49&lt;=$D$3,(G48-E49-H49-I49),0)</f>
        <v/>
      </c>
      <c r="H49" s="19" t="n"/>
      <c r="I49" s="25" t="n"/>
      <c r="J49" s="12">
        <f>IF(ISBLANK(H48),VALUE(J48),ROW(H48))</f>
        <v/>
      </c>
      <c r="K49" s="14">
        <f>K48+J48-J49</f>
        <v/>
      </c>
      <c r="L49" s="15">
        <f>INDEX(G:G,J49,1)</f>
        <v/>
      </c>
      <c r="M49" s="33">
        <f>C49</f>
        <v/>
      </c>
      <c r="N49" s="34">
        <f>D49</f>
        <v/>
      </c>
      <c r="O49" s="36" t="n"/>
    </row>
    <row r="50">
      <c r="A50" s="17" t="n">
        <v>43</v>
      </c>
      <c r="B50" s="138">
        <f>CONCATENATE(INT((A50-1)/12)+1,"-й год ",A50-1-INT((A50-1)/12)*12+1,"-й мес")</f>
        <v/>
      </c>
      <c r="C50" s="41">
        <f>DATE(YEAR(C49),MONTH(C49)+1,DAY(C49))</f>
        <v/>
      </c>
      <c r="D50" s="16">
        <f>IF(A50&gt;$D$3,0,(IF($D$2=0,$D$1/$D$3,(IF(L50*$D$2/100/12/(1-(1+$D$2/100/12)^(-K50))&lt;G49,ROUNDUP(L50*$D$2/100/12/(1-(1+$D$2/100/12)^(-K50)),0),G49+F50)))))</f>
        <v/>
      </c>
      <c r="E50" s="11">
        <f>D50-F50</f>
        <v/>
      </c>
      <c r="F50" s="11">
        <f>IF(A50&lt;=$D$3,(IF($D$2=0,0,(G49*$D$2*(C50-C49)/(DATE(YEAR(C50)+1,1,1)-DATE(YEAR(C50),1,1))/100))),0)</f>
        <v/>
      </c>
      <c r="G50" s="46">
        <f>IF(A50&lt;=$D$3,(G49-E50-H50-I50),0)</f>
        <v/>
      </c>
      <c r="H50" s="19" t="n"/>
      <c r="I50" s="25" t="n"/>
      <c r="J50" s="12">
        <f>IF(ISBLANK(H49),VALUE(J49),ROW(H49))</f>
        <v/>
      </c>
      <c r="K50" s="14">
        <f>K49+J49-J50</f>
        <v/>
      </c>
      <c r="L50" s="15">
        <f>INDEX(G:G,J50,1)</f>
        <v/>
      </c>
      <c r="M50" s="33">
        <f>C50</f>
        <v/>
      </c>
      <c r="N50" s="34">
        <f>D50</f>
        <v/>
      </c>
      <c r="O50" s="36" t="n"/>
    </row>
    <row r="51">
      <c r="A51" s="17" t="n">
        <v>44</v>
      </c>
      <c r="B51" s="138">
        <f>CONCATENATE(INT((A51-1)/12)+1,"-й год ",A51-1-INT((A51-1)/12)*12+1,"-й мес")</f>
        <v/>
      </c>
      <c r="C51" s="41">
        <f>DATE(YEAR(C50),MONTH(C50)+1,DAY(C50))</f>
        <v/>
      </c>
      <c r="D51" s="16">
        <f>IF(A51&gt;$D$3,0,(IF($D$2=0,$D$1/$D$3,(IF(L51*$D$2/100/12/(1-(1+$D$2/100/12)^(-K51))&lt;G50,ROUNDUP(L51*$D$2/100/12/(1-(1+$D$2/100/12)^(-K51)),0),G50+F51)))))</f>
        <v/>
      </c>
      <c r="E51" s="11">
        <f>D51-F51</f>
        <v/>
      </c>
      <c r="F51" s="11">
        <f>IF(A51&lt;=$D$3,(IF($D$2=0,0,(G50*$D$2*(C51-C50)/(DATE(YEAR(C51)+1,1,1)-DATE(YEAR(C51),1,1))/100))),0)</f>
        <v/>
      </c>
      <c r="G51" s="46">
        <f>IF(A51&lt;=$D$3,(G50-E51-H51-I51),0)</f>
        <v/>
      </c>
      <c r="H51" s="19" t="n"/>
      <c r="I51" s="25" t="n"/>
      <c r="J51" s="12">
        <f>IF(ISBLANK(H50),VALUE(J50),ROW(H50))</f>
        <v/>
      </c>
      <c r="K51" s="14">
        <f>K50+J50-J51</f>
        <v/>
      </c>
      <c r="L51" s="15">
        <f>INDEX(G:G,J51,1)</f>
        <v/>
      </c>
      <c r="M51" s="33">
        <f>C51</f>
        <v/>
      </c>
      <c r="N51" s="34">
        <f>D51</f>
        <v/>
      </c>
      <c r="O51" s="36" t="n"/>
    </row>
    <row r="52">
      <c r="A52" s="17" t="n">
        <v>45</v>
      </c>
      <c r="B52" s="138">
        <f>CONCATENATE(INT((A52-1)/12)+1,"-й год ",A52-1-INT((A52-1)/12)*12+1,"-й мес")</f>
        <v/>
      </c>
      <c r="C52" s="41">
        <f>DATE(YEAR(C51),MONTH(C51)+1,DAY(C51))</f>
        <v/>
      </c>
      <c r="D52" s="16">
        <f>IF(A52&gt;$D$3,0,(IF($D$2=0,$D$1/$D$3,(IF(L52*$D$2/100/12/(1-(1+$D$2/100/12)^(-K52))&lt;G51,ROUNDUP(L52*$D$2/100/12/(1-(1+$D$2/100/12)^(-K52)),0),G51+F52)))))</f>
        <v/>
      </c>
      <c r="E52" s="11">
        <f>D52-F52</f>
        <v/>
      </c>
      <c r="F52" s="11">
        <f>IF(A52&lt;=$D$3,(IF($D$2=0,0,(G51*$D$2*(C52-C51)/(DATE(YEAR(C52)+1,1,1)-DATE(YEAR(C52),1,1))/100))),0)</f>
        <v/>
      </c>
      <c r="G52" s="46">
        <f>IF(A52&lt;=$D$3,(G51-E52-H52-I52),0)</f>
        <v/>
      </c>
      <c r="H52" s="19" t="n"/>
      <c r="I52" s="25" t="n"/>
      <c r="J52" s="12">
        <f>IF(ISBLANK(H51),VALUE(J51),ROW(H51))</f>
        <v/>
      </c>
      <c r="K52" s="14">
        <f>K51+J51-J52</f>
        <v/>
      </c>
      <c r="L52" s="15">
        <f>INDEX(G:G,J52,1)</f>
        <v/>
      </c>
      <c r="M52" s="33">
        <f>C52</f>
        <v/>
      </c>
      <c r="N52" s="34">
        <f>D52</f>
        <v/>
      </c>
      <c r="O52" s="36" t="n"/>
    </row>
    <row r="53">
      <c r="A53" s="17" t="n">
        <v>46</v>
      </c>
      <c r="B53" s="138">
        <f>CONCATENATE(INT((A53-1)/12)+1,"-й год ",A53-1-INT((A53-1)/12)*12+1,"-й мес")</f>
        <v/>
      </c>
      <c r="C53" s="41">
        <f>DATE(YEAR(C52),MONTH(C52)+1,DAY(C52))</f>
        <v/>
      </c>
      <c r="D53" s="16">
        <f>IF(A53&gt;$D$3,0,(IF($D$2=0,$D$1/$D$3,(IF(L53*$D$2/100/12/(1-(1+$D$2/100/12)^(-K53))&lt;G52,ROUNDUP(L53*$D$2/100/12/(1-(1+$D$2/100/12)^(-K53)),0),G52+F53)))))</f>
        <v/>
      </c>
      <c r="E53" s="11">
        <f>D53-F53</f>
        <v/>
      </c>
      <c r="F53" s="11">
        <f>IF(A53&lt;=$D$3,(IF($D$2=0,0,(G52*$D$2*(C53-C52)/(DATE(YEAR(C53)+1,1,1)-DATE(YEAR(C53),1,1))/100))),0)</f>
        <v/>
      </c>
      <c r="G53" s="46">
        <f>IF(A53&lt;=$D$3,(G52-E53-H53-I53),0)</f>
        <v/>
      </c>
      <c r="H53" s="19" t="n"/>
      <c r="I53" s="25" t="n"/>
      <c r="J53" s="12">
        <f>IF(ISBLANK(H52),VALUE(J52),ROW(H52))</f>
        <v/>
      </c>
      <c r="K53" s="14">
        <f>K52+J52-J53</f>
        <v/>
      </c>
      <c r="L53" s="15">
        <f>INDEX(G:G,J53,1)</f>
        <v/>
      </c>
      <c r="M53" s="33">
        <f>C53</f>
        <v/>
      </c>
      <c r="N53" s="34">
        <f>D53</f>
        <v/>
      </c>
      <c r="O53" s="36" t="n"/>
    </row>
    <row r="54">
      <c r="A54" s="17" t="n">
        <v>47</v>
      </c>
      <c r="B54" s="138">
        <f>CONCATENATE(INT((A54-1)/12)+1,"-й год ",A54-1-INT((A54-1)/12)*12+1,"-й мес")</f>
        <v/>
      </c>
      <c r="C54" s="41">
        <f>DATE(YEAR(C53),MONTH(C53)+1,DAY(C53))</f>
        <v/>
      </c>
      <c r="D54" s="16">
        <f>IF(A54&gt;$D$3,0,(IF($D$2=0,$D$1/$D$3,(IF(L54*$D$2/100/12/(1-(1+$D$2/100/12)^(-K54))&lt;G53,ROUNDUP(L54*$D$2/100/12/(1-(1+$D$2/100/12)^(-K54)),0),G53+F54)))))</f>
        <v/>
      </c>
      <c r="E54" s="11">
        <f>D54-F54</f>
        <v/>
      </c>
      <c r="F54" s="11">
        <f>IF(A54&lt;=$D$3,(IF($D$2=0,0,(G53*$D$2*(C54-C53)/(DATE(YEAR(C54)+1,1,1)-DATE(YEAR(C54),1,1))/100))),0)</f>
        <v/>
      </c>
      <c r="G54" s="46">
        <f>IF(A54&lt;=$D$3,(G53-E54-H54-I54),0)</f>
        <v/>
      </c>
      <c r="H54" s="19" t="n"/>
      <c r="I54" s="25" t="n"/>
      <c r="J54" s="12">
        <f>IF(ISBLANK(H53),VALUE(J53),ROW(H53))</f>
        <v/>
      </c>
      <c r="K54" s="14">
        <f>K53+J53-J54</f>
        <v/>
      </c>
      <c r="L54" s="15">
        <f>INDEX(G:G,J54,1)</f>
        <v/>
      </c>
      <c r="M54" s="33">
        <f>C54</f>
        <v/>
      </c>
      <c r="N54" s="34">
        <f>D54</f>
        <v/>
      </c>
      <c r="O54" s="36" t="n"/>
    </row>
    <row r="55">
      <c r="A55" s="48" t="n">
        <v>48</v>
      </c>
      <c r="B55" s="138">
        <f>CONCATENATE(INT((A55-1)/12)+1,"-й год ",A55-1-INT((A55-1)/12)*12+1,"-й мес")</f>
        <v/>
      </c>
      <c r="C55" s="41">
        <f>DATE(YEAR(C54),MONTH(C54)+1,DAY(C54))</f>
        <v/>
      </c>
      <c r="D55" s="16">
        <f>IF(A55&gt;$D$3,0,(IF($D$2=0,$D$1/$D$3,(IF(L55*$D$2/100/12/(1-(1+$D$2/100/12)^(-K55))&lt;G54,ROUNDUP(L55*$D$2/100/12/(1-(1+$D$2/100/12)^(-K55)),0),G54+F55)))))</f>
        <v/>
      </c>
      <c r="E55" s="23">
        <f>D55-F55</f>
        <v/>
      </c>
      <c r="F55" s="11">
        <f>IF(A55&lt;=$D$3,(IF($D$2=0,0,(G54*$D$2*(C55-C54)/(DATE(YEAR(C55)+1,1,1)-DATE(YEAR(C55),1,1))/100))),0)</f>
        <v/>
      </c>
      <c r="G55" s="46">
        <f>IF(A55&lt;=$D$3,(G54-E55-H55-I55),0)</f>
        <v/>
      </c>
      <c r="H55" s="24" t="n"/>
      <c r="I55" s="25" t="n"/>
      <c r="J55" s="12">
        <f>IF(ISBLANK(H54),VALUE(J54),ROW(H54))</f>
        <v/>
      </c>
      <c r="K55" s="14">
        <f>K54+J54-J55</f>
        <v/>
      </c>
      <c r="L55" s="15">
        <f>INDEX(G:G,J55,1)</f>
        <v/>
      </c>
      <c r="M55" s="33">
        <f>C55</f>
        <v/>
      </c>
      <c r="N55" s="34">
        <f>D55</f>
        <v/>
      </c>
      <c r="O55" s="36" t="n"/>
    </row>
    <row r="56">
      <c r="A56" s="17" t="n">
        <v>49</v>
      </c>
      <c r="B56" s="138">
        <f>CONCATENATE(INT((A56-1)/12)+1,"-й год ",A56-1-INT((A56-1)/12)*12+1,"-й мес")</f>
        <v/>
      </c>
      <c r="C56" s="41">
        <f>DATE(YEAR(C55),MONTH(C55)+1,DAY(C55))</f>
        <v/>
      </c>
      <c r="D56" s="16">
        <f>IF(A56&gt;$D$3,0,(IF($D$2=0,$D$1/$D$3,(IF(L56*$D$2/100/12/(1-(1+$D$2/100/12)^(-K56))&lt;G55,ROUNDUP(L56*$D$2/100/12/(1-(1+$D$2/100/12)^(-K56)),0),G55+F56)))))</f>
        <v/>
      </c>
      <c r="E56" s="11">
        <f>D56-F56</f>
        <v/>
      </c>
      <c r="F56" s="11">
        <f>IF(A56&lt;=$D$3,(IF($D$2=0,0,(G55*$D$2*(C56-C55)/(DATE(YEAR(C56)+1,1,1)-DATE(YEAR(C56),1,1))/100))),0)</f>
        <v/>
      </c>
      <c r="G56" s="46">
        <f>IF(A56&lt;=$D$3,(G55-E56-H56-I56),0)</f>
        <v/>
      </c>
      <c r="H56" s="19" t="n"/>
      <c r="I56" s="25" t="n"/>
      <c r="J56" s="12">
        <f>IF(ISBLANK(H55),VALUE(J55),ROW(H55))</f>
        <v/>
      </c>
      <c r="K56" s="14">
        <f>K55+J55-J56</f>
        <v/>
      </c>
      <c r="L56" s="15">
        <f>INDEX(G:G,J56,1)</f>
        <v/>
      </c>
      <c r="M56" s="33">
        <f>C56</f>
        <v/>
      </c>
      <c r="N56" s="34">
        <f>D56</f>
        <v/>
      </c>
      <c r="O56" s="36" t="n"/>
    </row>
    <row r="57">
      <c r="A57" s="17" t="n">
        <v>50</v>
      </c>
      <c r="B57" s="138">
        <f>CONCATENATE(INT((A57-1)/12)+1,"-й год ",A57-1-INT((A57-1)/12)*12+1,"-й мес")</f>
        <v/>
      </c>
      <c r="C57" s="41">
        <f>DATE(YEAR(C56),MONTH(C56)+1,DAY(C56))</f>
        <v/>
      </c>
      <c r="D57" s="16">
        <f>IF(A57&gt;$D$3,0,(IF($D$2=0,$D$1/$D$3,(IF(L57*$D$2/100/12/(1-(1+$D$2/100/12)^(-K57))&lt;G56,ROUNDUP(L57*$D$2/100/12/(1-(1+$D$2/100/12)^(-K57)),0),G56+F57)))))</f>
        <v/>
      </c>
      <c r="E57" s="11">
        <f>D57-F57</f>
        <v/>
      </c>
      <c r="F57" s="11">
        <f>IF(A57&lt;=$D$3,(IF($D$2=0,0,(G56*$D$2*(C57-C56)/(DATE(YEAR(C57)+1,1,1)-DATE(YEAR(C57),1,1))/100))),0)</f>
        <v/>
      </c>
      <c r="G57" s="46">
        <f>IF(A57&lt;=$D$3,(G56-E57-H57-I57),0)</f>
        <v/>
      </c>
      <c r="H57" s="19" t="n"/>
      <c r="I57" s="25" t="n"/>
      <c r="J57" s="12">
        <f>IF(ISBLANK(H56),VALUE(J56),ROW(H56))</f>
        <v/>
      </c>
      <c r="K57" s="14">
        <f>K56+J56-J57</f>
        <v/>
      </c>
      <c r="L57" s="15">
        <f>INDEX(G:G,J57,1)</f>
        <v/>
      </c>
      <c r="M57" s="33">
        <f>C57</f>
        <v/>
      </c>
      <c r="N57" s="34">
        <f>D57</f>
        <v/>
      </c>
      <c r="O57" s="36" t="n"/>
    </row>
    <row r="58">
      <c r="A58" s="17" t="n">
        <v>51</v>
      </c>
      <c r="B58" s="138">
        <f>CONCATENATE(INT((A58-1)/12)+1,"-й год ",A58-1-INT((A58-1)/12)*12+1,"-й мес")</f>
        <v/>
      </c>
      <c r="C58" s="41">
        <f>DATE(YEAR(C57),MONTH(C57)+1,DAY(C57))</f>
        <v/>
      </c>
      <c r="D58" s="16">
        <f>IF(A58&gt;$D$3,0,(IF($D$2=0,$D$1/$D$3,(IF(L58*$D$2/100/12/(1-(1+$D$2/100/12)^(-K58))&lt;G57,ROUNDUP(L58*$D$2/100/12/(1-(1+$D$2/100/12)^(-K58)),0),G57+F58)))))</f>
        <v/>
      </c>
      <c r="E58" s="11">
        <f>D58-F58</f>
        <v/>
      </c>
      <c r="F58" s="11">
        <f>IF(A58&lt;=$D$3,(IF($D$2=0,0,(G57*$D$2*(C58-C57)/(DATE(YEAR(C58)+1,1,1)-DATE(YEAR(C58),1,1))/100))),0)</f>
        <v/>
      </c>
      <c r="G58" s="46">
        <f>IF(A58&lt;=$D$3,(G57-E58-H58-I58),0)</f>
        <v/>
      </c>
      <c r="H58" s="19" t="n"/>
      <c r="I58" s="25" t="n"/>
      <c r="J58" s="12">
        <f>IF(ISBLANK(H57),VALUE(J57),ROW(H57))</f>
        <v/>
      </c>
      <c r="K58" s="14">
        <f>K57+J57-J58</f>
        <v/>
      </c>
      <c r="L58" s="15">
        <f>INDEX(G:G,J58,1)</f>
        <v/>
      </c>
      <c r="M58" s="33">
        <f>C58</f>
        <v/>
      </c>
      <c r="N58" s="34">
        <f>D58</f>
        <v/>
      </c>
      <c r="O58" s="36" t="n"/>
    </row>
    <row r="59">
      <c r="A59" s="17" t="n">
        <v>52</v>
      </c>
      <c r="B59" s="138">
        <f>CONCATENATE(INT((A59-1)/12)+1,"-й год ",A59-1-INT((A59-1)/12)*12+1,"-й мес")</f>
        <v/>
      </c>
      <c r="C59" s="41">
        <f>DATE(YEAR(C58),MONTH(C58)+1,DAY(C58))</f>
        <v/>
      </c>
      <c r="D59" s="16">
        <f>IF(A59&gt;$D$3,0,(IF($D$2=0,$D$1/$D$3,(IF(L59*$D$2/100/12/(1-(1+$D$2/100/12)^(-K59))&lt;G58,ROUNDUP(L59*$D$2/100/12/(1-(1+$D$2/100/12)^(-K59)),0),G58+F59)))))</f>
        <v/>
      </c>
      <c r="E59" s="11">
        <f>D59-F59</f>
        <v/>
      </c>
      <c r="F59" s="11">
        <f>IF(A59&lt;=$D$3,(IF($D$2=0,0,(G58*$D$2*(C59-C58)/(DATE(YEAR(C59)+1,1,1)-DATE(YEAR(C59),1,1))/100))),0)</f>
        <v/>
      </c>
      <c r="G59" s="46">
        <f>IF(A59&lt;=$D$3,(G58-E59-H59-I59),0)</f>
        <v/>
      </c>
      <c r="H59" s="19" t="n"/>
      <c r="I59" s="25" t="n"/>
      <c r="J59" s="12">
        <f>IF(ISBLANK(H58),VALUE(J58),ROW(H58))</f>
        <v/>
      </c>
      <c r="K59" s="14">
        <f>K58+J58-J59</f>
        <v/>
      </c>
      <c r="L59" s="15">
        <f>INDEX(G:G,J59,1)</f>
        <v/>
      </c>
      <c r="M59" s="33">
        <f>C59</f>
        <v/>
      </c>
      <c r="N59" s="34">
        <f>D59</f>
        <v/>
      </c>
      <c r="O59" s="36" t="n"/>
    </row>
    <row r="60">
      <c r="A60" s="17" t="n">
        <v>53</v>
      </c>
      <c r="B60" s="138">
        <f>CONCATENATE(INT((A60-1)/12)+1,"-й год ",A60-1-INT((A60-1)/12)*12+1,"-й мес")</f>
        <v/>
      </c>
      <c r="C60" s="41">
        <f>DATE(YEAR(C59),MONTH(C59)+1,DAY(C59))</f>
        <v/>
      </c>
      <c r="D60" s="16">
        <f>IF(A60&gt;$D$3,0,(IF($D$2=0,$D$1/$D$3,(IF(L60*$D$2/100/12/(1-(1+$D$2/100/12)^(-K60))&lt;G59,ROUNDUP(L60*$D$2/100/12/(1-(1+$D$2/100/12)^(-K60)),0),G59+F60)))))</f>
        <v/>
      </c>
      <c r="E60" s="11">
        <f>D60-F60</f>
        <v/>
      </c>
      <c r="F60" s="11">
        <f>IF(A60&lt;=$D$3,(IF($D$2=0,0,(G59*$D$2*(C60-C59)/(DATE(YEAR(C60)+1,1,1)-DATE(YEAR(C60),1,1))/100))),0)</f>
        <v/>
      </c>
      <c r="G60" s="46">
        <f>IF(A60&lt;=$D$3,(G59-E60-H60-I60),0)</f>
        <v/>
      </c>
      <c r="H60" s="19" t="n"/>
      <c r="I60" s="25" t="n"/>
      <c r="J60" s="12">
        <f>IF(ISBLANK(H59),VALUE(J59),ROW(H59))</f>
        <v/>
      </c>
      <c r="K60" s="14">
        <f>K59+J59-J60</f>
        <v/>
      </c>
      <c r="L60" s="15">
        <f>INDEX(G:G,J60,1)</f>
        <v/>
      </c>
      <c r="M60" s="33">
        <f>C60</f>
        <v/>
      </c>
      <c r="N60" s="34">
        <f>D60</f>
        <v/>
      </c>
      <c r="O60" s="36" t="n"/>
    </row>
    <row r="61">
      <c r="A61" s="17" t="n">
        <v>54</v>
      </c>
      <c r="B61" s="138">
        <f>CONCATENATE(INT((A61-1)/12)+1,"-й год ",A61-1-INT((A61-1)/12)*12+1,"-й мес")</f>
        <v/>
      </c>
      <c r="C61" s="41">
        <f>DATE(YEAR(C60),MONTH(C60)+1,DAY(C60))</f>
        <v/>
      </c>
      <c r="D61" s="16">
        <f>IF(A61&gt;$D$3,0,(IF($D$2=0,$D$1/$D$3,(IF(L61*$D$2/100/12/(1-(1+$D$2/100/12)^(-K61))&lt;G60,ROUNDUP(L61*$D$2/100/12/(1-(1+$D$2/100/12)^(-K61)),0),G60+F61)))))</f>
        <v/>
      </c>
      <c r="E61" s="11">
        <f>D61-F61</f>
        <v/>
      </c>
      <c r="F61" s="11">
        <f>IF(A61&lt;=$D$3,(IF($D$2=0,0,(G60*$D$2*(C61-C60)/(DATE(YEAR(C61)+1,1,1)-DATE(YEAR(C61),1,1))/100))),0)</f>
        <v/>
      </c>
      <c r="G61" s="46">
        <f>IF(A61&lt;=$D$3,(G60-E61-H61-I61),0)</f>
        <v/>
      </c>
      <c r="H61" s="19" t="n"/>
      <c r="I61" s="25" t="n"/>
      <c r="J61" s="12">
        <f>IF(ISBLANK(H60),VALUE(J60),ROW(H60))</f>
        <v/>
      </c>
      <c r="K61" s="14">
        <f>K60+J60-J61</f>
        <v/>
      </c>
      <c r="L61" s="15">
        <f>INDEX(G:G,J61,1)</f>
        <v/>
      </c>
      <c r="M61" s="33">
        <f>C61</f>
        <v/>
      </c>
      <c r="N61" s="34">
        <f>D61</f>
        <v/>
      </c>
      <c r="O61" s="36" t="n"/>
    </row>
    <row r="62">
      <c r="A62" s="17" t="n">
        <v>55</v>
      </c>
      <c r="B62" s="138">
        <f>CONCATENATE(INT((A62-1)/12)+1,"-й год ",A62-1-INT((A62-1)/12)*12+1,"-й мес")</f>
        <v/>
      </c>
      <c r="C62" s="41">
        <f>DATE(YEAR(C61),MONTH(C61)+1,DAY(C61))</f>
        <v/>
      </c>
      <c r="D62" s="16">
        <f>IF(A62&gt;$D$3,0,(IF($D$2=0,$D$1/$D$3,(IF(L62*$D$2/100/12/(1-(1+$D$2/100/12)^(-K62))&lt;G61,ROUNDUP(L62*$D$2/100/12/(1-(1+$D$2/100/12)^(-K62)),0),G61+F62)))))</f>
        <v/>
      </c>
      <c r="E62" s="11">
        <f>D62-F62</f>
        <v/>
      </c>
      <c r="F62" s="11">
        <f>IF(A62&lt;=$D$3,(IF($D$2=0,0,(G61*$D$2*(C62-C61)/(DATE(YEAR(C62)+1,1,1)-DATE(YEAR(C62),1,1))/100))),0)</f>
        <v/>
      </c>
      <c r="G62" s="46">
        <f>IF(A62&lt;=$D$3,(G61-E62-H62-I62),0)</f>
        <v/>
      </c>
      <c r="H62" s="19" t="n"/>
      <c r="I62" s="25" t="n"/>
      <c r="J62" s="12">
        <f>IF(ISBLANK(H61),VALUE(J61),ROW(H61))</f>
        <v/>
      </c>
      <c r="K62" s="14">
        <f>K61+J61-J62</f>
        <v/>
      </c>
      <c r="L62" s="15">
        <f>INDEX(G:G,J62,1)</f>
        <v/>
      </c>
      <c r="M62" s="33">
        <f>C62</f>
        <v/>
      </c>
      <c r="N62" s="34">
        <f>D62</f>
        <v/>
      </c>
      <c r="O62" s="36" t="n"/>
    </row>
    <row r="63">
      <c r="A63" s="17" t="n">
        <v>56</v>
      </c>
      <c r="B63" s="138">
        <f>CONCATENATE(INT((A63-1)/12)+1,"-й год ",A63-1-INT((A63-1)/12)*12+1,"-й мес")</f>
        <v/>
      </c>
      <c r="C63" s="41">
        <f>DATE(YEAR(C62),MONTH(C62)+1,DAY(C62))</f>
        <v/>
      </c>
      <c r="D63" s="16">
        <f>IF(A63&gt;$D$3,0,(IF($D$2=0,$D$1/$D$3,(IF(L63*$D$2/100/12/(1-(1+$D$2/100/12)^(-K63))&lt;G62,ROUNDUP(L63*$D$2/100/12/(1-(1+$D$2/100/12)^(-K63)),0),G62+F63)))))</f>
        <v/>
      </c>
      <c r="E63" s="11">
        <f>D63-F63</f>
        <v/>
      </c>
      <c r="F63" s="11">
        <f>IF(A63&lt;=$D$3,(IF($D$2=0,0,(G62*$D$2*(C63-C62)/(DATE(YEAR(C63)+1,1,1)-DATE(YEAR(C63),1,1))/100))),0)</f>
        <v/>
      </c>
      <c r="G63" s="46">
        <f>IF(A63&lt;=$D$3,(G62-E63-H63-I63),0)</f>
        <v/>
      </c>
      <c r="H63" s="19" t="n"/>
      <c r="I63" s="25" t="n"/>
      <c r="J63" s="12">
        <f>IF(ISBLANK(H62),VALUE(J62),ROW(H62))</f>
        <v/>
      </c>
      <c r="K63" s="14">
        <f>K62+J62-J63</f>
        <v/>
      </c>
      <c r="L63" s="15">
        <f>INDEX(G:G,J63,1)</f>
        <v/>
      </c>
      <c r="M63" s="33">
        <f>C63</f>
        <v/>
      </c>
      <c r="N63" s="34">
        <f>D63</f>
        <v/>
      </c>
      <c r="O63" s="36" t="n"/>
    </row>
    <row r="64">
      <c r="A64" s="17" t="n">
        <v>57</v>
      </c>
      <c r="B64" s="138">
        <f>CONCATENATE(INT((A64-1)/12)+1,"-й год ",A64-1-INT((A64-1)/12)*12+1,"-й мес")</f>
        <v/>
      </c>
      <c r="C64" s="41">
        <f>DATE(YEAR(C63),MONTH(C63)+1,DAY(C63))</f>
        <v/>
      </c>
      <c r="D64" s="16">
        <f>IF(A64&gt;$D$3,0,(IF($D$2=0,$D$1/$D$3,(IF(L64*$D$2/100/12/(1-(1+$D$2/100/12)^(-K64))&lt;G63,ROUNDUP(L64*$D$2/100/12/(1-(1+$D$2/100/12)^(-K64)),0),G63+F64)))))</f>
        <v/>
      </c>
      <c r="E64" s="11">
        <f>D64-F64</f>
        <v/>
      </c>
      <c r="F64" s="11">
        <f>IF(A64&lt;=$D$3,(IF($D$2=0,0,(G63*$D$2*(C64-C63)/(DATE(YEAR(C64)+1,1,1)-DATE(YEAR(C64),1,1))/100))),0)</f>
        <v/>
      </c>
      <c r="G64" s="46">
        <f>IF(A64&lt;=$D$3,(G63-E64-H64-I64),0)</f>
        <v/>
      </c>
      <c r="H64" s="19" t="n"/>
      <c r="I64" s="25" t="n"/>
      <c r="J64" s="12">
        <f>IF(ISBLANK(H63),VALUE(J63),ROW(H63))</f>
        <v/>
      </c>
      <c r="K64" s="14">
        <f>K63+J63-J64</f>
        <v/>
      </c>
      <c r="L64" s="15">
        <f>INDEX(G:G,J64,1)</f>
        <v/>
      </c>
      <c r="M64" s="33">
        <f>C64</f>
        <v/>
      </c>
      <c r="N64" s="34">
        <f>D64</f>
        <v/>
      </c>
      <c r="O64" s="36" t="n"/>
    </row>
    <row r="65">
      <c r="A65" s="17" t="n">
        <v>58</v>
      </c>
      <c r="B65" s="138">
        <f>CONCATENATE(INT((A65-1)/12)+1,"-й год ",A65-1-INT((A65-1)/12)*12+1,"-й мес")</f>
        <v/>
      </c>
      <c r="C65" s="41">
        <f>DATE(YEAR(C64),MONTH(C64)+1,DAY(C64))</f>
        <v/>
      </c>
      <c r="D65" s="16">
        <f>IF(A65&gt;$D$3,0,(IF($D$2=0,$D$1/$D$3,(IF(L65*$D$2/100/12/(1-(1+$D$2/100/12)^(-K65))&lt;G64,ROUNDUP(L65*$D$2/100/12/(1-(1+$D$2/100/12)^(-K65)),0),G64+F65)))))</f>
        <v/>
      </c>
      <c r="E65" s="11">
        <f>D65-F65</f>
        <v/>
      </c>
      <c r="F65" s="11">
        <f>IF(A65&lt;=$D$3,(IF($D$2=0,0,(G64*$D$2*(C65-C64)/(DATE(YEAR(C65)+1,1,1)-DATE(YEAR(C65),1,1))/100))),0)</f>
        <v/>
      </c>
      <c r="G65" s="46">
        <f>IF(A65&lt;=$D$3,(G64-E65-H65-I65),0)</f>
        <v/>
      </c>
      <c r="H65" s="19" t="n"/>
      <c r="I65" s="25" t="n"/>
      <c r="J65" s="12">
        <f>IF(ISBLANK(H64),VALUE(J64),ROW(H64))</f>
        <v/>
      </c>
      <c r="K65" s="14">
        <f>K64+J64-J65</f>
        <v/>
      </c>
      <c r="L65" s="15">
        <f>INDEX(G:G,J65,1)</f>
        <v/>
      </c>
      <c r="M65" s="33">
        <f>C65</f>
        <v/>
      </c>
      <c r="N65" s="34">
        <f>D65</f>
        <v/>
      </c>
      <c r="O65" s="36" t="n"/>
    </row>
    <row r="66">
      <c r="A66" s="17" t="n">
        <v>59</v>
      </c>
      <c r="B66" s="138">
        <f>CONCATENATE(INT((A66-1)/12)+1,"-й год ",A66-1-INT((A66-1)/12)*12+1,"-й мес")</f>
        <v/>
      </c>
      <c r="C66" s="41">
        <f>DATE(YEAR(C65),MONTH(C65)+1,DAY(C65))</f>
        <v/>
      </c>
      <c r="D66" s="16">
        <f>IF(A66&gt;$D$3,0,(IF($D$2=0,$D$1/$D$3,(IF(L66*$D$2/100/12/(1-(1+$D$2/100/12)^(-K66))&lt;G65,ROUNDUP(L66*$D$2/100/12/(1-(1+$D$2/100/12)^(-K66)),0),G65+F66)))))</f>
        <v/>
      </c>
      <c r="E66" s="11">
        <f>D66-F66</f>
        <v/>
      </c>
      <c r="F66" s="11">
        <f>IF(A66&lt;=$D$3,(IF($D$2=0,0,(G65*$D$2*(C66-C65)/(DATE(YEAR(C66)+1,1,1)-DATE(YEAR(C66),1,1))/100))),0)</f>
        <v/>
      </c>
      <c r="G66" s="46">
        <f>IF(A66&lt;=$D$3,(G65-E66-H66-I66),0)</f>
        <v/>
      </c>
      <c r="H66" s="19" t="n"/>
      <c r="I66" s="25" t="n"/>
      <c r="J66" s="12">
        <f>IF(ISBLANK(H65),VALUE(J65),ROW(H65))</f>
        <v/>
      </c>
      <c r="K66" s="14">
        <f>K65+J65-J66</f>
        <v/>
      </c>
      <c r="L66" s="15">
        <f>INDEX(G:G,J66,1)</f>
        <v/>
      </c>
      <c r="M66" s="33">
        <f>C66</f>
        <v/>
      </c>
      <c r="N66" s="34">
        <f>D66</f>
        <v/>
      </c>
      <c r="O66" s="36" t="n"/>
    </row>
    <row r="67" ht="13.8" customHeight="1" s="105" thickBot="1">
      <c r="A67" s="49" t="n">
        <v>60</v>
      </c>
      <c r="B67" s="50">
        <f>CONCATENATE(INT((A67-1)/12)+1,"-й год ",A67-1-INT((A67-1)/12)*12+1,"-й мес")</f>
        <v/>
      </c>
      <c r="C67" s="51">
        <f>DATE(YEAR(C66),MONTH(C66)+1,DAY(C66))</f>
        <v/>
      </c>
      <c r="D67" s="16">
        <f>IF(A67&gt;$D$3,0,(IF($D$2=0,$D$1/$D$3,(IF(L67*$D$2/100/12/(1-(1+$D$2/100/12)^(-K67))&lt;G66,ROUNDUP(L67*$D$2/100/12/(1-(1+$D$2/100/12)^(-K67)),0),G66+F67)))))</f>
        <v/>
      </c>
      <c r="E67" s="52">
        <f>D67-F67</f>
        <v/>
      </c>
      <c r="F67" s="11">
        <f>IF(A67&lt;=$D$3,(IF($D$2=0,0,(G66*$D$2*(C67-C66)/(DATE(YEAR(C67)+1,1,1)-DATE(YEAR(C67),1,1))/100))),0)</f>
        <v/>
      </c>
      <c r="G67" s="46">
        <f>IF(A67&lt;=$D$3,(G66-E67-H67-I67),0)</f>
        <v/>
      </c>
      <c r="H67" s="19" t="n"/>
      <c r="I67" s="25" t="n"/>
      <c r="J67" s="12">
        <f>IF(ISBLANK(H66),VALUE(J66),ROW(H66))</f>
        <v/>
      </c>
      <c r="K67" s="14">
        <f>K66+J66-J67</f>
        <v/>
      </c>
      <c r="L67" s="15">
        <f>INDEX(G:G,J67,1)</f>
        <v/>
      </c>
      <c r="M67" s="33">
        <f>C67</f>
        <v/>
      </c>
      <c r="N67" s="34">
        <f>D67</f>
        <v/>
      </c>
      <c r="O67" s="36" t="n"/>
    </row>
  </sheetData>
  <mergeCells count="17">
    <mergeCell ref="F4:G4"/>
    <mergeCell ref="H5:I5"/>
    <mergeCell ref="A5:A6"/>
    <mergeCell ref="C5:C6"/>
    <mergeCell ref="D5:G5"/>
    <mergeCell ref="A1:C1"/>
    <mergeCell ref="A2:C2"/>
    <mergeCell ref="A3:C3"/>
    <mergeCell ref="B5:B6"/>
    <mergeCell ref="A4:C4"/>
    <mergeCell ref="D1:E1"/>
    <mergeCell ref="D2:E2"/>
    <mergeCell ref="D3:E3"/>
    <mergeCell ref="D4:E4"/>
    <mergeCell ref="F1:G1"/>
    <mergeCell ref="F2:G2"/>
    <mergeCell ref="F3:G3"/>
  </mergeCells>
  <conditionalFormatting sqref="A8:J67">
    <cfRule type="expression" priority="2" dxfId="0" stopIfTrue="1">
      <formula>IF($D8+#REF!=0,1,0)</formula>
    </cfRule>
  </conditionalFormatting>
  <pageMargins left="0.75" right="0.75" top="1" bottom="1" header="0.5" footer="0.5"/>
  <pageSetup orientation="portrait" paperSize="9" scale="115"/>
  <rowBreaks count="1" manualBreakCount="1">
    <brk id="43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J62"/>
  <sheetViews>
    <sheetView tabSelected="1" view="pageBreakPreview" topLeftCell="A16" zoomScaleNormal="130" zoomScaleSheetLayoutView="100" workbookViewId="0">
      <selection activeCell="E21" sqref="E21:I21"/>
    </sheetView>
  </sheetViews>
  <sheetFormatPr baseColWidth="8" defaultRowHeight="13.2"/>
  <cols>
    <col width="9.33203125" customWidth="1" style="105" min="2" max="2"/>
    <col width="6.33203125" customWidth="1" style="105" min="3" max="3"/>
    <col width="14.5546875" customWidth="1" style="105" min="4" max="4"/>
    <col width="6.6640625" customWidth="1" style="105" min="5" max="5"/>
    <col width="15" customWidth="1" style="105" min="6" max="6"/>
    <col width="11.88671875" customWidth="1" style="105" min="9" max="9"/>
    <col width="10.6640625" bestFit="1" customWidth="1" style="105" min="10" max="10"/>
  </cols>
  <sheetData>
    <row r="2" ht="15.6" customHeight="1" s="105">
      <c r="A2" s="104" t="inlineStr">
        <is>
          <t>ЛИСТОК</t>
        </is>
      </c>
    </row>
    <row r="3" ht="15.6" customHeight="1" s="105">
      <c r="A3" s="106" t="inlineStr">
        <is>
          <t>КЛЮЧЕВЫХ ДАННЫХ О ПОТЕНЦИАЛЬНОМ КРЕДИТЕ</t>
        </is>
      </c>
    </row>
    <row r="4" ht="15.6" customHeight="1" s="105">
      <c r="A4" s="106" t="n"/>
      <c r="B4" s="106" t="n"/>
      <c r="C4" s="106" t="n"/>
      <c r="D4" s="106" t="n"/>
      <c r="E4" s="106" t="n"/>
      <c r="F4" s="106" t="n"/>
      <c r="G4" s="106" t="n"/>
      <c r="H4" s="106" t="n"/>
      <c r="I4" s="106" t="n"/>
    </row>
    <row r="5" ht="15.6" customHeight="1" s="105">
      <c r="A5" s="107" t="inlineStr">
        <is>
          <t>*Настоящий листок не заменяет собой кредитный договор или заявку на кредит,</t>
        </is>
      </c>
    </row>
    <row r="6" ht="15.6" customHeight="1" s="105">
      <c r="A6" s="107" t="inlineStr">
        <is>
          <t>а помогает сравнить условия кредитования нескольких учреждений*</t>
        </is>
      </c>
    </row>
    <row r="7" ht="16.2" customHeight="1" s="105" thickBot="1">
      <c r="A7" s="107" t="n"/>
      <c r="B7" s="107" t="n"/>
      <c r="C7" s="107" t="n"/>
      <c r="D7" s="107" t="n"/>
      <c r="E7" s="107" t="n"/>
      <c r="F7" s="107" t="n"/>
      <c r="G7" s="107" t="n"/>
      <c r="H7" s="107" t="n"/>
      <c r="I7" s="107" t="n"/>
    </row>
    <row r="8" ht="19.5" customHeight="1" s="105">
      <c r="A8" s="95" t="inlineStr">
        <is>
          <t xml:space="preserve">ФИО заявителя </t>
        </is>
      </c>
      <c r="B8" s="78" t="n"/>
      <c r="C8" s="78" t="n"/>
      <c r="D8" s="79" t="n"/>
      <c r="E8" s="109" t="inlineStr">
        <is>
          <t>Токтомамбетов Эйнар Эркинбекович</t>
        </is>
      </c>
      <c r="F8" s="76" t="n"/>
      <c r="G8" s="76" t="n"/>
      <c r="H8" s="76" t="n"/>
      <c r="I8" s="76" t="n"/>
    </row>
    <row r="9" ht="15.6" customHeight="1" s="105">
      <c r="A9" s="108" t="n"/>
      <c r="B9" s="78" t="n"/>
      <c r="C9" s="78" t="n"/>
      <c r="D9" s="78" t="n"/>
      <c r="E9" s="78" t="n"/>
      <c r="F9" s="78" t="n"/>
      <c r="G9" s="78" t="n"/>
      <c r="H9" s="78" t="n"/>
      <c r="I9" s="79" t="n"/>
    </row>
    <row r="10" ht="33.75" customHeight="1" s="105">
      <c r="A10" s="95" t="inlineStr">
        <is>
          <t xml:space="preserve">Кем подготовлено   (ФИО и должность) </t>
        </is>
      </c>
      <c r="B10" s="78" t="n"/>
      <c r="C10" s="78" t="n"/>
      <c r="D10" s="79" t="n"/>
      <c r="E10" s="108" t="inlineStr">
        <is>
          <t>Администратор</t>
        </is>
      </c>
      <c r="F10" s="78" t="n"/>
      <c r="G10" s="78" t="n"/>
      <c r="H10" s="78" t="n"/>
      <c r="I10" s="79" t="n"/>
    </row>
    <row r="11" ht="23.25" customHeight="1" s="105">
      <c r="A11" s="95" t="inlineStr">
        <is>
          <t xml:space="preserve">Дата подготовки: </t>
        </is>
      </c>
      <c r="B11" s="78" t="n"/>
      <c r="C11" s="78" t="n"/>
      <c r="D11" s="79" t="n"/>
      <c r="E11" s="111">
        <f>graphic!D4</f>
        <v/>
      </c>
      <c r="F11" s="78" t="n"/>
      <c r="G11" s="78" t="n"/>
      <c r="H11" s="78" t="n"/>
      <c r="I11" s="79" t="n"/>
    </row>
    <row r="12">
      <c r="A12" s="112" t="n"/>
      <c r="B12" s="78" t="n"/>
      <c r="C12" s="78" t="n"/>
      <c r="D12" s="78" t="n"/>
      <c r="E12" s="78" t="n"/>
      <c r="F12" s="78" t="n"/>
      <c r="G12" s="78" t="n"/>
      <c r="H12" s="78" t="n"/>
      <c r="I12" s="78" t="n"/>
    </row>
    <row r="13" ht="18" customHeight="1" s="105">
      <c r="A13" s="113" t="inlineStr">
        <is>
          <t>РАЗДЕЛ 1. Данные по кредиту</t>
        </is>
      </c>
      <c r="B13" s="114" t="n"/>
      <c r="C13" s="114" t="n"/>
      <c r="D13" s="114" t="n"/>
      <c r="E13" s="114" t="n"/>
      <c r="F13" s="114" t="n"/>
      <c r="G13" s="114" t="n"/>
      <c r="H13" s="114" t="n"/>
      <c r="I13" s="114" t="n"/>
    </row>
    <row r="14" ht="21.75" customHeight="1" s="105">
      <c r="A14" s="95" t="inlineStr">
        <is>
          <t>1. Цель кредита</t>
        </is>
      </c>
      <c r="B14" s="78" t="n"/>
      <c r="C14" s="78" t="n"/>
      <c r="D14" s="79" t="n"/>
      <c r="E14" s="115" t="inlineStr">
        <is>
          <t>потребительская</t>
        </is>
      </c>
      <c r="F14" s="78" t="n"/>
      <c r="G14" s="78" t="n"/>
      <c r="H14" s="78" t="n"/>
      <c r="I14" s="79" t="n"/>
    </row>
    <row r="15" ht="21.75" customHeight="1" s="105">
      <c r="A15" s="95" t="inlineStr">
        <is>
          <t xml:space="preserve">2. Валюта кредита </t>
        </is>
      </c>
      <c r="B15" s="78" t="n"/>
      <c r="C15" s="78" t="n"/>
      <c r="D15" s="79" t="n"/>
      <c r="E15" s="110">
        <f>graphic!F1</f>
        <v/>
      </c>
      <c r="F15" s="78" t="n"/>
      <c r="G15" s="78" t="n"/>
      <c r="H15" s="78" t="n"/>
      <c r="I15" s="79" t="n"/>
    </row>
    <row r="16" ht="32.25" customHeight="1" s="105">
      <c r="A16" s="95" t="inlineStr">
        <is>
          <t xml:space="preserve">3. Сумма кредита   (сумма, которую Вы хотите получить) </t>
        </is>
      </c>
      <c r="B16" s="78" t="n"/>
      <c r="C16" s="78" t="n"/>
      <c r="D16" s="79" t="n"/>
      <c r="E16" s="98">
        <f>graphic!D1</f>
        <v/>
      </c>
      <c r="F16" s="78" t="n"/>
      <c r="G16" s="78" t="n"/>
      <c r="H16" s="78" t="n"/>
      <c r="I16" s="79" t="n"/>
    </row>
    <row r="17" ht="30.75" customHeight="1" s="105">
      <c r="A17" s="99" t="inlineStr">
        <is>
          <t>4. Процентная ставка (номинальная)</t>
        </is>
      </c>
      <c r="B17" s="78" t="n"/>
      <c r="C17" s="78" t="n"/>
      <c r="D17" s="79" t="n"/>
      <c r="E17" s="97">
        <f>graphic!D2</f>
        <v/>
      </c>
      <c r="F17" s="79" t="n"/>
      <c r="G17" s="101">
        <f>graphic!F7</f>
        <v/>
      </c>
      <c r="H17" s="78" t="n"/>
      <c r="I17" s="79" t="n"/>
    </row>
    <row r="18" ht="72.75" customHeight="1" s="105">
      <c r="A18" s="99" t="inlineStr">
        <is>
          <t xml:space="preserve">5. Годовая эффективная процентная ставка (включает номинальную процентную ставку и расходы по обслуживанию кредита) </t>
        </is>
      </c>
      <c r="B18" s="78" t="n"/>
      <c r="C18" s="78" t="n"/>
      <c r="D18" s="79" t="n"/>
      <c r="E18" s="102" t="n">
        <v>0.28</v>
      </c>
      <c r="F18" s="78" t="n"/>
      <c r="G18" s="78" t="n"/>
      <c r="H18" s="78" t="n"/>
      <c r="I18" s="79" t="n"/>
      <c r="J18" s="28" t="n"/>
    </row>
    <row r="19" ht="31.5" customHeight="1" s="105">
      <c r="A19" s="99" t="inlineStr">
        <is>
          <t>6. Срок кредита (кредитного договора)</t>
        </is>
      </c>
      <c r="B19" s="78" t="n"/>
      <c r="C19" s="78" t="n"/>
      <c r="D19" s="79" t="n"/>
      <c r="E19" s="103">
        <f>graphic!D3</f>
        <v/>
      </c>
      <c r="F19" s="78" t="n"/>
      <c r="G19" s="78" t="n"/>
      <c r="H19" s="78" t="n"/>
      <c r="I19" s="79" t="n"/>
    </row>
    <row r="20" ht="31.5" customHeight="1" s="105">
      <c r="A20" s="99" t="inlineStr">
        <is>
          <t>7. Частота выплат</t>
        </is>
      </c>
      <c r="B20" s="78" t="n"/>
      <c r="C20" s="78" t="n"/>
      <c r="D20" s="79" t="n"/>
      <c r="E20" s="103" t="inlineStr">
        <is>
          <t>ежемесячно</t>
        </is>
      </c>
      <c r="F20" s="78" t="n"/>
      <c r="G20" s="78" t="n"/>
      <c r="H20" s="78" t="n"/>
      <c r="I20" s="79" t="n"/>
    </row>
    <row r="21" ht="15.6" customHeight="1" s="105">
      <c r="A21" s="99" t="inlineStr">
        <is>
          <t>8. Сумма разового платежа</t>
        </is>
      </c>
      <c r="B21" s="78" t="n"/>
      <c r="C21" s="78" t="n"/>
      <c r="D21" s="79" t="n"/>
      <c r="E21" s="119">
        <f>graphic!D8</f>
        <v/>
      </c>
      <c r="F21" s="120" t="n"/>
      <c r="G21" s="120" t="n"/>
      <c r="H21" s="120" t="n"/>
      <c r="I21" s="121" t="n"/>
    </row>
    <row r="22" ht="12" customHeight="1" s="105" thickBot="1">
      <c r="A22" s="122" t="n"/>
    </row>
    <row r="23" ht="37.5" customHeight="1" s="105">
      <c r="A23" s="118" t="inlineStr">
        <is>
          <t>9. Расходы по обслуживанию кредита, в том числе:</t>
        </is>
      </c>
      <c r="B23" s="78" t="n"/>
      <c r="C23" s="78" t="n"/>
      <c r="D23" s="79" t="n"/>
      <c r="E23" s="117">
        <f>G24+G25</f>
        <v/>
      </c>
      <c r="F23" s="76" t="n"/>
      <c r="G23" s="76" t="n"/>
      <c r="H23" s="76" t="n"/>
      <c r="I23" s="76" t="n"/>
    </row>
    <row r="24" ht="29.25" customHeight="1" s="105">
      <c r="A24" s="100" t="inlineStr">
        <is>
          <t>- комиссии и сборы ФКУ по видам</t>
        </is>
      </c>
      <c r="B24" s="78" t="n"/>
      <c r="C24" s="78" t="n"/>
      <c r="D24" s="79" t="n"/>
      <c r="E24" s="126" t="n">
        <v>0</v>
      </c>
      <c r="F24" s="79" t="n"/>
      <c r="G24" s="127">
        <f>E24*E16</f>
        <v/>
      </c>
      <c r="H24" s="78" t="n"/>
      <c r="I24" s="79" t="n"/>
    </row>
    <row r="25" ht="15.6" customHeight="1" s="105">
      <c r="A25" s="100" t="inlineStr">
        <is>
          <t>- обналичивание</t>
        </is>
      </c>
      <c r="B25" s="78" t="n"/>
      <c r="C25" s="78" t="n"/>
      <c r="D25" s="79" t="n"/>
      <c r="E25" s="96" t="n">
        <v>0</v>
      </c>
      <c r="F25" s="79" t="n"/>
      <c r="G25" s="97">
        <f>E16*E25</f>
        <v/>
      </c>
      <c r="H25" s="78" t="n"/>
      <c r="I25" s="79" t="n"/>
    </row>
    <row r="26" ht="15.6" customHeight="1" s="105">
      <c r="A26" s="37" t="n"/>
      <c r="B26" s="37" t="n"/>
      <c r="C26" s="37" t="n"/>
      <c r="D26" s="37" t="n"/>
      <c r="E26" s="38" t="n"/>
      <c r="F26" s="104" t="n"/>
      <c r="G26" s="104" t="n"/>
      <c r="H26" s="104" t="n"/>
      <c r="I26" s="104" t="n"/>
    </row>
    <row r="27" ht="46.8" customHeight="1" s="105">
      <c r="A27" s="116" t="inlineStr">
        <is>
          <t>Сумма кредита</t>
        </is>
      </c>
      <c r="C27" s="37" t="n"/>
      <c r="D27" s="37" t="inlineStr">
        <is>
          <t>Проценты</t>
        </is>
      </c>
      <c r="E27" s="38" t="n"/>
      <c r="F27" s="125" t="inlineStr">
        <is>
          <t>Расходы по обслуживанию</t>
        </is>
      </c>
      <c r="G27" s="104" t="n"/>
      <c r="H27" s="125" t="inlineStr">
        <is>
          <t>Полная стоимость кредита</t>
        </is>
      </c>
    </row>
    <row r="28" ht="15.6" customHeight="1" s="105">
      <c r="A28" s="123">
        <f>E16</f>
        <v/>
      </c>
      <c r="B28" s="79" t="n"/>
      <c r="C28" s="116" t="inlineStr">
        <is>
          <t>+</t>
        </is>
      </c>
      <c r="D28" s="39">
        <f>G17</f>
        <v/>
      </c>
      <c r="E28" s="38" t="inlineStr">
        <is>
          <t>+</t>
        </is>
      </c>
      <c r="F28" s="103">
        <f>E23</f>
        <v/>
      </c>
      <c r="G28" s="104" t="n"/>
      <c r="H28" s="124">
        <f>A28+D28+F28</f>
        <v/>
      </c>
      <c r="I28" s="79" t="n"/>
    </row>
    <row r="29" ht="15.6" customHeight="1" s="105">
      <c r="A29" s="37" t="n"/>
      <c r="B29" s="37" t="n"/>
      <c r="C29" s="37" t="n"/>
      <c r="D29" s="37" t="n"/>
      <c r="E29" s="38" t="n"/>
      <c r="F29" s="104" t="n"/>
      <c r="G29" s="104" t="n"/>
      <c r="H29" s="104" t="n"/>
      <c r="I29" s="104" t="n"/>
    </row>
    <row r="30" ht="15.6" customHeight="1" s="105">
      <c r="A30" s="37" t="n"/>
      <c r="B30" s="116" t="inlineStr">
        <is>
          <t>Внимательно изучите прежде чем согласиться на кредит!</t>
        </is>
      </c>
      <c r="I30" s="104" t="n"/>
    </row>
    <row r="31" ht="15.6" customHeight="1" s="105">
      <c r="A31" s="37" t="n"/>
      <c r="B31" s="37" t="n"/>
      <c r="C31" s="37" t="n"/>
      <c r="D31" s="37" t="n"/>
      <c r="E31" s="38" t="n"/>
      <c r="F31" s="104" t="n"/>
      <c r="G31" s="104" t="n"/>
      <c r="H31" s="104" t="n"/>
      <c r="I31" s="104" t="n"/>
    </row>
    <row r="32" ht="22.5" customHeight="1" s="105">
      <c r="A32" s="129" t="inlineStr">
        <is>
          <t xml:space="preserve">РАЗДЕЛ 2. Другие важные условия </t>
        </is>
      </c>
      <c r="B32" s="120" t="n"/>
      <c r="C32" s="120" t="n"/>
      <c r="D32" s="120" t="n"/>
      <c r="E32" s="120" t="n"/>
      <c r="F32" s="120" t="n"/>
      <c r="G32" s="120" t="n"/>
      <c r="H32" s="120" t="n"/>
      <c r="I32" s="121" t="n"/>
    </row>
    <row r="33" ht="30.75" customHeight="1" s="105">
      <c r="A33" s="99" t="inlineStr">
        <is>
          <t xml:space="preserve">1. Неустойка за нарушение условий кредитного договора (указать все) </t>
        </is>
      </c>
      <c r="B33" s="78" t="n"/>
      <c r="C33" s="78" t="n"/>
      <c r="D33" s="79" t="n"/>
      <c r="E33" s="97">
        <f>E17</f>
        <v/>
      </c>
      <c r="F33" s="78" t="n"/>
      <c r="G33" s="78" t="n"/>
      <c r="H33" s="78" t="n"/>
      <c r="I33" s="79" t="n"/>
    </row>
    <row r="34" ht="46.5" customHeight="1" s="105">
      <c r="A34" s="99" t="inlineStr">
        <is>
          <t xml:space="preserve">2. Неустойка за просроченный платеж применяется, если оплату произвели с опозданием на: </t>
        </is>
      </c>
      <c r="B34" s="78" t="n"/>
      <c r="C34" s="78" t="n"/>
      <c r="D34" s="79" t="n"/>
      <c r="E34" s="97" t="inlineStr">
        <is>
          <t>на 1 день</t>
        </is>
      </c>
      <c r="F34" s="78" t="n"/>
      <c r="G34" s="78" t="n"/>
      <c r="H34" s="78" t="n"/>
      <c r="I34" s="79" t="n"/>
    </row>
    <row r="35" ht="31.5" customHeight="1" s="105">
      <c r="A35" s="108" t="inlineStr">
        <is>
          <t xml:space="preserve">3. Обеспечение кредита </t>
        </is>
      </c>
      <c r="B35" s="78" t="n"/>
      <c r="C35" s="78" t="n"/>
      <c r="D35" s="79" t="n"/>
      <c r="E35" s="130" t="inlineStr">
        <is>
          <t>Доход от бизнеса</t>
        </is>
      </c>
      <c r="F35" s="78" t="n"/>
      <c r="G35" s="78" t="n"/>
      <c r="H35" s="78" t="n"/>
      <c r="I35" s="79" t="n"/>
    </row>
    <row r="36" ht="24.75" customHeight="1" s="105">
      <c r="A36" s="108" t="inlineStr">
        <is>
          <t xml:space="preserve">4. Метод погашения кредита  </t>
        </is>
      </c>
      <c r="B36" s="78" t="n"/>
      <c r="C36" s="78" t="n"/>
      <c r="D36" s="79" t="n"/>
      <c r="E36" s="97" t="inlineStr">
        <is>
          <t>аннуитет</t>
        </is>
      </c>
      <c r="F36" s="78" t="n"/>
      <c r="G36" s="78" t="n"/>
      <c r="H36" s="78" t="n"/>
      <c r="I36" s="79" t="n"/>
    </row>
    <row r="37" ht="30" customHeight="1" s="105">
      <c r="A37" s="99" t="inlineStr">
        <is>
          <t xml:space="preserve">Информация, содержащаяся в разделах 1 и 2 настоящего листка, не является окончательной и может быть изменена в кредитном договоре. </t>
        </is>
      </c>
      <c r="B37" s="78" t="n"/>
      <c r="C37" s="78" t="n"/>
      <c r="D37" s="78" t="n"/>
      <c r="E37" s="78" t="n"/>
      <c r="F37" s="78" t="n"/>
      <c r="G37" s="78" t="n"/>
      <c r="H37" s="78" t="n"/>
      <c r="I37" s="79" t="n"/>
    </row>
    <row r="39" hidden="1" s="105">
      <c r="A39" t="inlineStr">
        <is>
          <t>* услуги гос.нотариуса (не срочное)-___________ сом/за 1 единицу недвижимости</t>
        </is>
      </c>
    </row>
    <row r="40" hidden="1" s="105">
      <c r="A40" t="inlineStr">
        <is>
          <t xml:space="preserve"> услуги гос.нотариуса (срочное)-___________ сом/за 1 единицу недвижимости</t>
        </is>
      </c>
    </row>
    <row r="41" hidden="1" s="105">
      <c r="A41" t="inlineStr">
        <is>
          <t>* услуги гос.регистра (не срочное)-___________ сом/за 1 единицу недвижимости</t>
        </is>
      </c>
    </row>
    <row r="42" hidden="1" s="105">
      <c r="A42" t="inlineStr">
        <is>
          <t xml:space="preserve"> услуги гос.регистра (срочное)-___________ сом/за 1 единицу недвижимости</t>
        </is>
      </c>
    </row>
    <row r="43" hidden="1" s="105">
      <c r="A43" t="inlineStr">
        <is>
          <t>* услуги ЦЗРК ________________ сом</t>
        </is>
      </c>
    </row>
    <row r="44" hidden="1" s="105"/>
    <row r="45" ht="15.6" customHeight="1" s="105">
      <c r="A45" s="131" t="inlineStr">
        <is>
          <t xml:space="preserve">РАЗДЕЛ 3. Ваши права как потенциального заемщика </t>
        </is>
      </c>
    </row>
    <row r="46" ht="15.6" customHeight="1" s="105">
      <c r="A46" s="29" t="n"/>
      <c r="B46" s="30" t="n"/>
      <c r="C46" s="30" t="n"/>
      <c r="D46" s="30" t="n"/>
      <c r="E46" s="30" t="n"/>
      <c r="F46" s="30" t="n"/>
      <c r="G46" s="30" t="n"/>
      <c r="H46" s="30" t="n"/>
      <c r="I46" s="30" t="n"/>
    </row>
    <row r="47" ht="15.6" customHeight="1" s="105">
      <c r="A47" s="128" t="inlineStr">
        <is>
          <t xml:space="preserve">1. Вы свободны в выборе ФКУ и финансовой услуги. </t>
        </is>
      </c>
    </row>
    <row r="48" ht="31.5" customHeight="1" s="105">
      <c r="A48" s="128" t="inlineStr">
        <is>
          <t xml:space="preserve">2. Вы вправе отказаться от подписания кредитного договора или иного договора, соглашения. </t>
        </is>
      </c>
    </row>
    <row r="49" ht="33.75" customHeight="1" s="105">
      <c r="A49" s="128" t="inlineStr">
        <is>
          <t xml:space="preserve">3. Вы вправе выбрать язык кредитного договора: государственный (кыргызский), официальный (русский) или иной по соглашению. </t>
        </is>
      </c>
    </row>
    <row r="50" ht="52.5" customHeight="1" s="105">
      <c r="A50" s="128" t="inlineStr">
        <is>
          <t xml:space="preserve">4. Вы вправе получить на руки проект кредитного договора со всеми прилагаемыми документами и в течение 1-3 дней обратиться за консультацией за пределами Компании. </t>
        </is>
      </c>
    </row>
    <row r="51" ht="78.75" customHeight="1" s="105">
      <c r="A51" s="128" t="inlineStr">
        <is>
          <t xml:space="preserve">5. Вы вправе получить исчерпывающую информацию и разъяснения об условиях и стоимости кредита, о платежах и порядке расчетов по кредиту (проценты, пени, штраф), о Ваших правах и обязанностях по кредитному договору, о рисках, последствиях и ответственности по нему, а также об иных неясных Вам вопросах об условиях кредита. </t>
        </is>
      </c>
    </row>
    <row r="52" ht="31.5" customHeight="1" s="105">
      <c r="A52" s="128" t="inlineStr">
        <is>
          <t xml:space="preserve">6. После подписания кредитного договора, но до момента фактического получения денежных средств Вы вправе безвозмездно отказаться от кредита. </t>
        </is>
      </c>
    </row>
    <row r="53" ht="15.6" customHeight="1" s="105">
      <c r="A53" s="128" t="n"/>
      <c r="B53" s="31" t="n"/>
      <c r="C53" s="31" t="n"/>
      <c r="D53" s="31" t="n"/>
      <c r="E53" s="31" t="n"/>
      <c r="F53" s="31" t="n"/>
      <c r="G53" s="31" t="n"/>
      <c r="H53" s="31" t="n"/>
      <c r="I53" s="31" t="n"/>
    </row>
    <row r="54" ht="33" customHeight="1" s="105">
      <c r="A54" s="134" t="inlineStr">
        <is>
          <t xml:space="preserve">Сотрудники ФКУ не вправе содействовать в получении кредита за вознаграждение. </t>
        </is>
      </c>
    </row>
    <row r="55" ht="15.6" customHeight="1" s="105">
      <c r="A55" s="128" t="n"/>
      <c r="B55" s="31" t="n"/>
      <c r="C55" s="31" t="n"/>
      <c r="D55" s="31" t="n"/>
      <c r="E55" s="31" t="n"/>
      <c r="F55" s="31" t="n"/>
      <c r="G55" s="31" t="n"/>
      <c r="H55" s="31" t="n"/>
      <c r="I55" s="31" t="n"/>
    </row>
    <row r="56" ht="58.5" customHeight="1" s="105">
      <c r="A56" s="128" t="inlineStr">
        <is>
          <t>Если у Вас имеются жалобы или предложения Вы можете позвонить по 0312 561351, либо отправить их по адресу г.Бишкек, ул.Ахунбаева, 48/1 или на электронный адрес info@changan.kg</t>
        </is>
      </c>
    </row>
    <row r="57" ht="15" customHeight="1" s="105">
      <c r="A57" s="132" t="inlineStr">
        <is>
          <t xml:space="preserve">ПРАВИЛЬНОСТЬ   И ДОСТОВЕРНОСТЬ   УДОСТОВЕРЕНА </t>
        </is>
      </c>
      <c r="E57" s="125" t="inlineStr">
        <is>
          <t xml:space="preserve">Я ПОДТВЕРЖДАЮ ПОЛУЧЕНИЕ ЛИСТКА </t>
        </is>
      </c>
    </row>
    <row r="58" ht="10.5" customHeight="1" s="105"/>
    <row r="59" ht="3.75" customHeight="1" s="105"/>
    <row r="60" ht="12.75" customHeight="1" s="105"/>
    <row r="61" ht="12.75" customHeight="1" s="105"/>
    <row r="62" ht="44.25" customHeight="1" s="105">
      <c r="A62" s="125" t="inlineStr">
        <is>
          <t xml:space="preserve">____________ </t>
        </is>
      </c>
      <c r="C62" s="125">
        <f>E10</f>
        <v/>
      </c>
      <c r="E62" s="133" t="inlineStr">
        <is>
          <t xml:space="preserve">  _______________</t>
        </is>
      </c>
      <c r="G62" s="125">
        <f>E8</f>
        <v/>
      </c>
    </row>
  </sheetData>
  <mergeCells count="69">
    <mergeCell ref="A57:D61"/>
    <mergeCell ref="E57:I61"/>
    <mergeCell ref="E62:F62"/>
    <mergeCell ref="G62:I62"/>
    <mergeCell ref="A52:I52"/>
    <mergeCell ref="A54:I54"/>
    <mergeCell ref="A56:I56"/>
    <mergeCell ref="A62:B62"/>
    <mergeCell ref="C62:D62"/>
    <mergeCell ref="A51:I51"/>
    <mergeCell ref="A35:D35"/>
    <mergeCell ref="A36:D36"/>
    <mergeCell ref="A37:I37"/>
    <mergeCell ref="A32:I32"/>
    <mergeCell ref="E34:I34"/>
    <mergeCell ref="E35:I35"/>
    <mergeCell ref="E36:I36"/>
    <mergeCell ref="A33:D33"/>
    <mergeCell ref="E33:I33"/>
    <mergeCell ref="A34:D34"/>
    <mergeCell ref="A45:I45"/>
    <mergeCell ref="A47:I47"/>
    <mergeCell ref="A48:I48"/>
    <mergeCell ref="A49:I49"/>
    <mergeCell ref="A50:I50"/>
    <mergeCell ref="B30:H30"/>
    <mergeCell ref="E23:I23"/>
    <mergeCell ref="A19:D19"/>
    <mergeCell ref="A21:D21"/>
    <mergeCell ref="A23:D23"/>
    <mergeCell ref="A24:D24"/>
    <mergeCell ref="E21:I21"/>
    <mergeCell ref="A20:D20"/>
    <mergeCell ref="E20:I20"/>
    <mergeCell ref="A22:I22"/>
    <mergeCell ref="A28:B28"/>
    <mergeCell ref="H28:I28"/>
    <mergeCell ref="A27:B27"/>
    <mergeCell ref="H27:I27"/>
    <mergeCell ref="E24:F24"/>
    <mergeCell ref="G24:I24"/>
    <mergeCell ref="A10:D10"/>
    <mergeCell ref="E8:I8"/>
    <mergeCell ref="E15:I15"/>
    <mergeCell ref="E11:I11"/>
    <mergeCell ref="E10:I10"/>
    <mergeCell ref="A12:I12"/>
    <mergeCell ref="A14:D14"/>
    <mergeCell ref="A13:I13"/>
    <mergeCell ref="E14:I14"/>
    <mergeCell ref="A15:D15"/>
    <mergeCell ref="A11:D11"/>
    <mergeCell ref="A2:I2"/>
    <mergeCell ref="A3:I3"/>
    <mergeCell ref="A5:I5"/>
    <mergeCell ref="A6:I6"/>
    <mergeCell ref="A9:I9"/>
    <mergeCell ref="A8:D8"/>
    <mergeCell ref="A16:D16"/>
    <mergeCell ref="E25:F25"/>
    <mergeCell ref="G25:I25"/>
    <mergeCell ref="E16:I16"/>
    <mergeCell ref="A17:D17"/>
    <mergeCell ref="A18:D18"/>
    <mergeCell ref="A25:D25"/>
    <mergeCell ref="E17:F17"/>
    <mergeCell ref="G17:I17"/>
    <mergeCell ref="E18:I18"/>
    <mergeCell ref="E19:I19"/>
  </mergeCells>
  <pageMargins left="0.7" right="0.7" top="0.75" bottom="0.75" header="0.3" footer="0.3"/>
  <pageSetup orientation="portrait" paperSize="9" scale="98"/>
  <rowBreaks count="1" manualBreakCount="1">
    <brk id="31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Pif</dc:creator>
  <dcterms:created xsi:type="dcterms:W3CDTF">2007-10-02T10:49:11Z</dcterms:created>
  <dcterms:modified xsi:type="dcterms:W3CDTF">2020-12-02T17:27:09Z</dcterms:modified>
  <cp:lastModifiedBy>admin</cp:lastModifiedBy>
  <cp:lastPrinted>2020-12-02T17:21:17Z</cp:lastPrinted>
</cp:coreProperties>
</file>