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jj\OneDrive\Desktop\IT-supported process chains\"/>
    </mc:Choice>
  </mc:AlternateContent>
  <xr:revisionPtr revIDLastSave="0" documentId="13_ncr:1_{DD3ADB53-EB2D-47D2-B2C5-F8A847059F48}" xr6:coauthVersionLast="47" xr6:coauthVersionMax="47" xr10:uidLastSave="{00000000-0000-0000-0000-000000000000}"/>
  <bookViews>
    <workbookView xWindow="-103" yWindow="-103" windowWidth="24892" windowHeight="13372" activeTab="5" xr2:uid="{00000000-000D-0000-FFFF-FFFF00000000}"/>
  </bookViews>
  <sheets>
    <sheet name="Sensitivity Analysis" sheetId="1" r:id="rId1"/>
    <sheet name="Total Cost" sheetId="2" r:id="rId2"/>
    <sheet name="Volume vs Cost" sheetId="8" r:id="rId3"/>
    <sheet name="MFCA" sheetId="4" r:id="rId4"/>
    <sheet name="LCA &amp; Functional" sheetId="5" r:id="rId5"/>
    <sheet name="Ternary Diagram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vPnHwv392MU+68wQD4u9yIoJx68QBSAUd0Je8uy0c+M="/>
    </ext>
  </extLst>
</workbook>
</file>

<file path=xl/calcChain.xml><?xml version="1.0" encoding="utf-8"?>
<calcChain xmlns="http://schemas.openxmlformats.org/spreadsheetml/2006/main">
  <c r="J26" i="8" l="1"/>
  <c r="G26" i="8"/>
  <c r="E26" i="8"/>
  <c r="B26" i="8"/>
  <c r="J25" i="8"/>
  <c r="G25" i="8"/>
  <c r="E25" i="8"/>
  <c r="B25" i="8"/>
  <c r="J24" i="8"/>
  <c r="G24" i="8"/>
  <c r="E24" i="8"/>
  <c r="B24" i="8"/>
  <c r="J21" i="8"/>
  <c r="G21" i="8"/>
  <c r="E21" i="8"/>
  <c r="B21" i="8"/>
  <c r="J20" i="8"/>
  <c r="G20" i="8"/>
  <c r="E20" i="8"/>
  <c r="B20" i="8"/>
  <c r="J19" i="8"/>
  <c r="G19" i="8"/>
  <c r="E19" i="8"/>
  <c r="B19" i="8"/>
  <c r="J16" i="8"/>
  <c r="G16" i="8"/>
  <c r="E16" i="8"/>
  <c r="B16" i="8"/>
  <c r="J15" i="8"/>
  <c r="G15" i="8"/>
  <c r="E15" i="8"/>
  <c r="B15" i="8"/>
  <c r="J14" i="8"/>
  <c r="G14" i="8"/>
  <c r="E14" i="8"/>
  <c r="B14" i="8"/>
  <c r="J11" i="8"/>
  <c r="G11" i="8"/>
  <c r="E11" i="8"/>
  <c r="B11" i="8"/>
  <c r="J10" i="8"/>
  <c r="G10" i="8"/>
  <c r="E10" i="8"/>
  <c r="B10" i="8"/>
  <c r="J9" i="8"/>
  <c r="G9" i="8"/>
  <c r="E9" i="8"/>
  <c r="B9" i="8"/>
  <c r="J6" i="8"/>
  <c r="G6" i="8"/>
  <c r="E6" i="8"/>
  <c r="J5" i="8"/>
  <c r="G5" i="8"/>
  <c r="E5" i="8"/>
  <c r="J4" i="8"/>
  <c r="G4" i="8"/>
  <c r="E4" i="8"/>
  <c r="H22" i="1"/>
  <c r="H21" i="1"/>
  <c r="AG29" i="1"/>
  <c r="AH29" i="1"/>
  <c r="AF29" i="1"/>
  <c r="N4" i="1"/>
  <c r="O4" i="1"/>
  <c r="M4" i="1"/>
  <c r="D146" i="1"/>
  <c r="E146" i="1"/>
  <c r="C146" i="1"/>
  <c r="D125" i="1"/>
  <c r="E125" i="1"/>
  <c r="C125" i="1"/>
  <c r="D104" i="1"/>
  <c r="E104" i="1"/>
  <c r="C104" i="1"/>
  <c r="D83" i="1"/>
  <c r="E83" i="1"/>
  <c r="C83" i="1"/>
  <c r="D58" i="1"/>
  <c r="E58" i="1"/>
  <c r="C58" i="1"/>
  <c r="D43" i="1"/>
  <c r="E43" i="1"/>
  <c r="C43" i="1"/>
  <c r="D28" i="1"/>
  <c r="E28" i="1"/>
  <c r="C28" i="1"/>
  <c r="C2" i="2"/>
  <c r="C9" i="7"/>
  <c r="D9" i="7"/>
  <c r="B9" i="7"/>
  <c r="F9" i="7"/>
  <c r="G9" i="7"/>
  <c r="E9" i="7"/>
  <c r="B83" i="7"/>
  <c r="B78" i="7"/>
  <c r="B79" i="7" s="1"/>
  <c r="B72" i="7"/>
  <c r="B73" i="7" s="1"/>
  <c r="B65" i="7"/>
  <c r="B66" i="7" s="1"/>
  <c r="B67" i="7" s="1"/>
  <c r="B57" i="7"/>
  <c r="B58" i="7" s="1"/>
  <c r="B48" i="7"/>
  <c r="B49" i="7" s="1"/>
  <c r="B37" i="7"/>
  <c r="B38" i="7" s="1"/>
  <c r="C36" i="7"/>
  <c r="C47" i="7" s="1"/>
  <c r="C35" i="7"/>
  <c r="D35" i="7" s="1"/>
  <c r="C25" i="7"/>
  <c r="C37" i="7" s="1"/>
  <c r="C48" i="7" s="1"/>
  <c r="B25" i="7"/>
  <c r="D24" i="7"/>
  <c r="D23" i="7"/>
  <c r="D11" i="7"/>
  <c r="D12" i="7" s="1"/>
  <c r="D13" i="7" s="1"/>
  <c r="D14" i="7" s="1"/>
  <c r="D15" i="7" s="1"/>
  <c r="D16" i="7" s="1"/>
  <c r="D17" i="7" s="1"/>
  <c r="D18" i="7" s="1"/>
  <c r="D19" i="7" s="1"/>
  <c r="D20" i="7" s="1"/>
  <c r="B11" i="7"/>
  <c r="L11" i="5"/>
  <c r="M11" i="5"/>
  <c r="K11" i="5"/>
  <c r="F35" i="5"/>
  <c r="G35" i="5"/>
  <c r="F36" i="5"/>
  <c r="G36" i="5"/>
  <c r="E35" i="5"/>
  <c r="E36" i="5"/>
  <c r="G28" i="5"/>
  <c r="G34" i="5" s="1"/>
  <c r="G29" i="5"/>
  <c r="G30" i="5"/>
  <c r="G27" i="5"/>
  <c r="G33" i="5" s="1"/>
  <c r="F28" i="5"/>
  <c r="F34" i="5" s="1"/>
  <c r="F29" i="5"/>
  <c r="F30" i="5"/>
  <c r="F27" i="5"/>
  <c r="F33" i="5" s="1"/>
  <c r="E30" i="5"/>
  <c r="E28" i="5"/>
  <c r="E34" i="5" s="1"/>
  <c r="E29" i="5"/>
  <c r="E27" i="5"/>
  <c r="E33" i="5" s="1"/>
  <c r="F37" i="5" l="1"/>
  <c r="M7" i="5" s="1"/>
  <c r="G37" i="5"/>
  <c r="M8" i="5" s="1"/>
  <c r="E37" i="5"/>
  <c r="M6" i="5" s="1"/>
  <c r="C26" i="7"/>
  <c r="D25" i="7"/>
  <c r="B26" i="7"/>
  <c r="B27" i="7" s="1"/>
  <c r="B28" i="7" s="1"/>
  <c r="C57" i="7"/>
  <c r="D48" i="7"/>
  <c r="B39" i="7"/>
  <c r="B59" i="7"/>
  <c r="B74" i="7"/>
  <c r="D47" i="7"/>
  <c r="C56" i="7"/>
  <c r="C46" i="7"/>
  <c r="D37" i="7"/>
  <c r="B12" i="7"/>
  <c r="B50" i="7"/>
  <c r="B68" i="7"/>
  <c r="D36" i="7"/>
  <c r="M12" i="5" l="1"/>
  <c r="M14" i="5"/>
  <c r="M13" i="5"/>
  <c r="D26" i="7"/>
  <c r="C27" i="7"/>
  <c r="C38" i="7"/>
  <c r="B60" i="7"/>
  <c r="B51" i="7"/>
  <c r="B40" i="7"/>
  <c r="C64" i="7"/>
  <c r="D56" i="7"/>
  <c r="C55" i="7"/>
  <c r="D46" i="7"/>
  <c r="B29" i="7"/>
  <c r="B13" i="7"/>
  <c r="C65" i="7"/>
  <c r="D57" i="7"/>
  <c r="C49" i="7" l="1"/>
  <c r="D38" i="7"/>
  <c r="C39" i="7"/>
  <c r="D27" i="7"/>
  <c r="C28" i="7"/>
  <c r="D65" i="7"/>
  <c r="C72" i="7"/>
  <c r="B14" i="7"/>
  <c r="D64" i="7"/>
  <c r="C71" i="7"/>
  <c r="B30" i="7"/>
  <c r="B61" i="7"/>
  <c r="B41" i="7"/>
  <c r="C63" i="7"/>
  <c r="D55" i="7"/>
  <c r="B52" i="7"/>
  <c r="D39" i="7" l="1"/>
  <c r="C50" i="7"/>
  <c r="C29" i="7"/>
  <c r="D28" i="7"/>
  <c r="C40" i="7"/>
  <c r="C58" i="7"/>
  <c r="D49" i="7"/>
  <c r="B53" i="7"/>
  <c r="B42" i="7"/>
  <c r="D71" i="7"/>
  <c r="C77" i="7"/>
  <c r="B31" i="7"/>
  <c r="C78" i="7"/>
  <c r="D72" i="7"/>
  <c r="D63" i="7"/>
  <c r="C70" i="7"/>
  <c r="B15" i="7"/>
  <c r="D40" i="7" l="1"/>
  <c r="C51" i="7"/>
  <c r="D58" i="7"/>
  <c r="C66" i="7"/>
  <c r="C59" i="7"/>
  <c r="D50" i="7"/>
  <c r="C41" i="7"/>
  <c r="D29" i="7"/>
  <c r="C30" i="7"/>
  <c r="B16" i="7"/>
  <c r="B32" i="7"/>
  <c r="C83" i="7"/>
  <c r="D78" i="7"/>
  <c r="B43" i="7"/>
  <c r="C82" i="7"/>
  <c r="D77" i="7"/>
  <c r="C76" i="7"/>
  <c r="D70" i="7"/>
  <c r="C67" i="7" l="1"/>
  <c r="D59" i="7"/>
  <c r="C73" i="7"/>
  <c r="D66" i="7"/>
  <c r="D30" i="7"/>
  <c r="C42" i="7"/>
  <c r="C31" i="7"/>
  <c r="C60" i="7"/>
  <c r="D51" i="7"/>
  <c r="C52" i="7"/>
  <c r="D41" i="7"/>
  <c r="C81" i="7"/>
  <c r="D76" i="7"/>
  <c r="D83" i="7"/>
  <c r="B17" i="7"/>
  <c r="D82" i="7"/>
  <c r="C86" i="7"/>
  <c r="C32" i="7" l="1"/>
  <c r="D31" i="7"/>
  <c r="C43" i="7"/>
  <c r="D73" i="7"/>
  <c r="C79" i="7"/>
  <c r="D79" i="7" s="1"/>
  <c r="D52" i="7"/>
  <c r="C61" i="7"/>
  <c r="D61" i="7" s="1"/>
  <c r="C74" i="7"/>
  <c r="D74" i="7" s="1"/>
  <c r="D67" i="7"/>
  <c r="C53" i="7"/>
  <c r="D42" i="7"/>
  <c r="C68" i="7"/>
  <c r="D68" i="7" s="1"/>
  <c r="D60" i="7"/>
  <c r="D86" i="7"/>
  <c r="D81" i="7"/>
  <c r="C85" i="7"/>
  <c r="B18" i="7"/>
  <c r="D53" i="7" l="1"/>
  <c r="D43" i="7"/>
  <c r="D32" i="7"/>
  <c r="B19" i="7"/>
  <c r="D85" i="7"/>
  <c r="B20" i="7" l="1"/>
  <c r="D10" i="5" l="1"/>
  <c r="E10" i="5"/>
  <c r="C10" i="5"/>
  <c r="C11" i="2"/>
  <c r="T32" i="4"/>
  <c r="S32" i="4"/>
  <c r="R32" i="4"/>
  <c r="N32" i="4"/>
  <c r="M32" i="4"/>
  <c r="L32" i="4"/>
  <c r="K32" i="4"/>
  <c r="T28" i="4"/>
  <c r="T29" i="4" s="1"/>
  <c r="T31" i="4" s="1"/>
  <c r="T33" i="4" s="1"/>
  <c r="U27" i="4"/>
  <c r="N27" i="4"/>
  <c r="T26" i="4"/>
  <c r="S26" i="4"/>
  <c r="S28" i="4" s="1"/>
  <c r="S29" i="4" s="1"/>
  <c r="S31" i="4" s="1"/>
  <c r="S33" i="4" s="1"/>
  <c r="N26" i="4"/>
  <c r="M26" i="4"/>
  <c r="M28" i="4" s="1"/>
  <c r="M29" i="4" s="1"/>
  <c r="M31" i="4" s="1"/>
  <c r="L26" i="4"/>
  <c r="L28" i="4" s="1"/>
  <c r="L29" i="4" s="1"/>
  <c r="L31" i="4" s="1"/>
  <c r="K26" i="4"/>
  <c r="K28" i="4" s="1"/>
  <c r="K29" i="4" s="1"/>
  <c r="K31" i="4" s="1"/>
  <c r="T23" i="4"/>
  <c r="S23" i="4"/>
  <c r="M23" i="4"/>
  <c r="U22" i="4"/>
  <c r="U32" i="4" s="1"/>
  <c r="N21" i="4"/>
  <c r="M21" i="4"/>
  <c r="L21" i="4"/>
  <c r="L23" i="4" s="1"/>
  <c r="K21" i="4"/>
  <c r="K23" i="4" s="1"/>
  <c r="K18" i="4"/>
  <c r="U17" i="4"/>
  <c r="T17" i="4"/>
  <c r="S17" i="4"/>
  <c r="R17" i="4"/>
  <c r="N16" i="4"/>
  <c r="N18" i="4" s="1"/>
  <c r="M16" i="4"/>
  <c r="M18" i="4" s="1"/>
  <c r="L16" i="4"/>
  <c r="L18" i="4" s="1"/>
  <c r="K16" i="4"/>
  <c r="T12" i="4"/>
  <c r="R12" i="4"/>
  <c r="T11" i="4"/>
  <c r="T16" i="4" s="1"/>
  <c r="S10" i="4"/>
  <c r="U10" i="4" s="1"/>
  <c r="U12" i="4" s="1"/>
  <c r="S9" i="4"/>
  <c r="S11" i="4" s="1"/>
  <c r="R9" i="4"/>
  <c r="R11" i="4" s="1"/>
  <c r="T8" i="4"/>
  <c r="S7" i="4"/>
  <c r="S8" i="4" s="1"/>
  <c r="R7" i="4"/>
  <c r="R8" i="4" s="1"/>
  <c r="AF11" i="1"/>
  <c r="AG11" i="1"/>
  <c r="AH11" i="1"/>
  <c r="AF12" i="1"/>
  <c r="AG12" i="1"/>
  <c r="AH12" i="1"/>
  <c r="AF13" i="1"/>
  <c r="AG13" i="1"/>
  <c r="AH13" i="1"/>
  <c r="AF6" i="1"/>
  <c r="AH7" i="1"/>
  <c r="AH8" i="1"/>
  <c r="AH9" i="1"/>
  <c r="AH10" i="1"/>
  <c r="AH6" i="1"/>
  <c r="AG10" i="1"/>
  <c r="AG7" i="1"/>
  <c r="AG8" i="1"/>
  <c r="AG9" i="1"/>
  <c r="AG6" i="1"/>
  <c r="AF7" i="1"/>
  <c r="AF8" i="1"/>
  <c r="AF9" i="1"/>
  <c r="AF10" i="1"/>
  <c r="J9" i="2"/>
  <c r="J4" i="2"/>
  <c r="J5" i="2"/>
  <c r="J6" i="2"/>
  <c r="J7" i="2"/>
  <c r="J8" i="2"/>
  <c r="J10" i="2"/>
  <c r="J3" i="2"/>
  <c r="N28" i="4" l="1"/>
  <c r="N29" i="4" s="1"/>
  <c r="N31" i="4" s="1"/>
  <c r="N23" i="4"/>
  <c r="T18" i="4"/>
  <c r="T19" i="4" s="1"/>
  <c r="F10" i="5"/>
  <c r="J6" i="5"/>
  <c r="J12" i="5" s="1"/>
  <c r="H10" i="5"/>
  <c r="J8" i="5"/>
  <c r="J14" i="5" s="1"/>
  <c r="G10" i="5"/>
  <c r="J7" i="5"/>
  <c r="J13" i="5" s="1"/>
  <c r="E20" i="5"/>
  <c r="G20" i="5"/>
  <c r="F20" i="5"/>
  <c r="M33" i="4"/>
  <c r="K33" i="4"/>
  <c r="L33" i="4"/>
  <c r="S12" i="4"/>
  <c r="T13" i="4"/>
  <c r="R16" i="4"/>
  <c r="R13" i="4"/>
  <c r="S13" i="4"/>
  <c r="S16" i="4"/>
  <c r="S18" i="4" s="1"/>
  <c r="U9" i="4"/>
  <c r="U11" i="4" s="1"/>
  <c r="U7" i="4"/>
  <c r="U8" i="4" s="1"/>
  <c r="I20" i="1"/>
  <c r="J20" i="1"/>
  <c r="H20" i="1"/>
  <c r="C5" i="2"/>
  <c r="C11" i="5" s="1"/>
  <c r="F11" i="5" s="1"/>
  <c r="J21" i="1"/>
  <c r="J22" i="1" s="1"/>
  <c r="I21" i="1"/>
  <c r="I22" i="1" s="1"/>
  <c r="I23" i="1" s="1"/>
  <c r="AG30" i="1" s="1"/>
  <c r="H23" i="1"/>
  <c r="AF30" i="1" s="1"/>
  <c r="D16" i="1"/>
  <c r="C16" i="1"/>
  <c r="J15" i="1"/>
  <c r="J10" i="1"/>
  <c r="H6" i="1"/>
  <c r="N33" i="4" l="1"/>
  <c r="C14" i="5"/>
  <c r="F14" i="5" s="1"/>
  <c r="U13" i="4"/>
  <c r="U16" i="4"/>
  <c r="U18" i="4" s="1"/>
  <c r="R18" i="4"/>
  <c r="R19" i="4"/>
  <c r="D44" i="2"/>
  <c r="D45" i="2" s="1"/>
  <c r="M9" i="2" s="1"/>
  <c r="D40" i="2"/>
  <c r="C44" i="2"/>
  <c r="C45" i="2" s="1"/>
  <c r="L9" i="2" s="1"/>
  <c r="C40" i="2"/>
  <c r="H9" i="1"/>
  <c r="J23" i="1"/>
  <c r="AH30" i="1" s="1"/>
  <c r="E9" i="2"/>
  <c r="D31" i="2"/>
  <c r="D32" i="2" s="1"/>
  <c r="D48" i="2"/>
  <c r="C48" i="2"/>
  <c r="E31" i="2"/>
  <c r="E32" i="2" s="1"/>
  <c r="N7" i="2" s="1"/>
  <c r="C31" i="2"/>
  <c r="C32" i="2" s="1"/>
  <c r="L7" i="2" s="1"/>
  <c r="D6" i="2"/>
  <c r="E6" i="2"/>
  <c r="C9" i="2"/>
  <c r="C19" i="2"/>
  <c r="C20" i="2" s="1"/>
  <c r="L4" i="2" s="1"/>
  <c r="E5" i="2"/>
  <c r="C6" i="2"/>
  <c r="C7" i="2"/>
  <c r="E7" i="2"/>
  <c r="E8" i="2" s="1"/>
  <c r="D7" i="2"/>
  <c r="D8" i="2" s="1"/>
  <c r="C15" i="2"/>
  <c r="D9" i="2"/>
  <c r="D5" i="2"/>
  <c r="E40" i="2" l="1"/>
  <c r="E41" i="2" s="1"/>
  <c r="N8" i="2" s="1"/>
  <c r="U4" i="2"/>
  <c r="D41" i="2"/>
  <c r="M8" i="2" s="1"/>
  <c r="V4" i="2"/>
  <c r="R20" i="4"/>
  <c r="E27" i="2"/>
  <c r="E28" i="2" s="1"/>
  <c r="N6" i="2" s="1"/>
  <c r="E13" i="5"/>
  <c r="H13" i="5" s="1"/>
  <c r="D27" i="2"/>
  <c r="D28" i="2" s="1"/>
  <c r="D13" i="5"/>
  <c r="G13" i="5" s="1"/>
  <c r="C27" i="2"/>
  <c r="C13" i="5"/>
  <c r="F13" i="5" s="1"/>
  <c r="F15" i="5" s="1"/>
  <c r="F16" i="5" s="1"/>
  <c r="L6" i="5" s="1"/>
  <c r="E15" i="2"/>
  <c r="E16" i="2" s="1"/>
  <c r="N3" i="2" s="1"/>
  <c r="E11" i="5"/>
  <c r="E19" i="2"/>
  <c r="E12" i="5"/>
  <c r="H12" i="5" s="1"/>
  <c r="D19" i="2"/>
  <c r="D12" i="5"/>
  <c r="G12" i="5" s="1"/>
  <c r="D15" i="2"/>
  <c r="D16" i="2" s="1"/>
  <c r="M3" i="2" s="1"/>
  <c r="D11" i="5"/>
  <c r="R21" i="4"/>
  <c r="U19" i="4"/>
  <c r="D51" i="2"/>
  <c r="AB5" i="1" s="1"/>
  <c r="E48" i="2"/>
  <c r="E49" i="2" s="1"/>
  <c r="N10" i="2" s="1"/>
  <c r="E44" i="2"/>
  <c r="E45" i="2" s="1"/>
  <c r="N9" i="2" s="1"/>
  <c r="D23" i="2"/>
  <c r="D24" i="2" s="1"/>
  <c r="M5" i="2" s="1"/>
  <c r="E23" i="2"/>
  <c r="E24" i="2" s="1"/>
  <c r="N5" i="2" s="1"/>
  <c r="C23" i="2"/>
  <c r="C24" i="2" s="1"/>
  <c r="L5" i="2" s="1"/>
  <c r="H8" i="1"/>
  <c r="M7" i="2"/>
  <c r="C51" i="2"/>
  <c r="Y5" i="1" s="1"/>
  <c r="C41" i="2"/>
  <c r="C16" i="2"/>
  <c r="L3" i="2" s="1"/>
  <c r="C49" i="2"/>
  <c r="L10" i="2" s="1"/>
  <c r="D49" i="2"/>
  <c r="M10" i="2" s="1"/>
  <c r="W4" i="2" l="1"/>
  <c r="D20" i="2"/>
  <c r="M4" i="2" s="1"/>
  <c r="V3" i="2"/>
  <c r="V5" i="2" s="1"/>
  <c r="V6" i="2" s="1"/>
  <c r="E20" i="2"/>
  <c r="N4" i="2" s="1"/>
  <c r="N11" i="2" s="1"/>
  <c r="K8" i="5" s="1"/>
  <c r="W3" i="2"/>
  <c r="C28" i="2"/>
  <c r="L6" i="2" s="1"/>
  <c r="U3" i="2"/>
  <c r="U5" i="2" s="1"/>
  <c r="U6" i="2" s="1"/>
  <c r="E14" i="5"/>
  <c r="H14" i="5" s="1"/>
  <c r="H11" i="5"/>
  <c r="D14" i="5"/>
  <c r="G14" i="5" s="1"/>
  <c r="G11" i="5"/>
  <c r="R26" i="4"/>
  <c r="R28" i="4" s="1"/>
  <c r="R29" i="4" s="1"/>
  <c r="R31" i="4" s="1"/>
  <c r="R33" i="4" s="1"/>
  <c r="R23" i="4"/>
  <c r="U21" i="4"/>
  <c r="E51" i="2"/>
  <c r="AE5" i="1" s="1"/>
  <c r="C34" i="2"/>
  <c r="C55" i="2" s="1"/>
  <c r="D34" i="2"/>
  <c r="D55" i="2" s="1"/>
  <c r="D147" i="1" s="1"/>
  <c r="E34" i="2"/>
  <c r="D52" i="2"/>
  <c r="E52" i="2"/>
  <c r="L8" i="2"/>
  <c r="C52" i="2"/>
  <c r="M6" i="2"/>
  <c r="W5" i="2" l="1"/>
  <c r="W6" i="2" s="1"/>
  <c r="D35" i="2"/>
  <c r="AA5" i="1" s="1"/>
  <c r="E35" i="2"/>
  <c r="AD5" i="1" s="1"/>
  <c r="C35" i="2"/>
  <c r="X5" i="1" s="1"/>
  <c r="G15" i="5"/>
  <c r="G16" i="5" s="1"/>
  <c r="L7" i="5" s="1"/>
  <c r="H15" i="5"/>
  <c r="H16" i="5" s="1"/>
  <c r="L8" i="5" s="1"/>
  <c r="U23" i="4"/>
  <c r="U26" i="4"/>
  <c r="U28" i="4" s="1"/>
  <c r="U29" i="4" s="1"/>
  <c r="U31" i="4" s="1"/>
  <c r="U33" i="4" s="1"/>
  <c r="E55" i="2"/>
  <c r="E56" i="2" s="1"/>
  <c r="O5" i="1" s="1"/>
  <c r="D29" i="1"/>
  <c r="D56" i="2"/>
  <c r="N5" i="1" s="1"/>
  <c r="D44" i="1"/>
  <c r="D59" i="1"/>
  <c r="D84" i="1"/>
  <c r="D126" i="1"/>
  <c r="D105" i="1"/>
  <c r="C147" i="1"/>
  <c r="C105" i="1"/>
  <c r="C126" i="1"/>
  <c r="C84" i="1"/>
  <c r="C59" i="1"/>
  <c r="L11" i="2"/>
  <c r="K6" i="5" s="1"/>
  <c r="C44" i="1"/>
  <c r="C56" i="2"/>
  <c r="C29" i="1"/>
  <c r="M11" i="2"/>
  <c r="K7" i="5" s="1"/>
  <c r="L13" i="5" l="1"/>
  <c r="L14" i="5"/>
  <c r="L12" i="5"/>
  <c r="K12" i="5"/>
  <c r="K14" i="5"/>
  <c r="K13" i="5"/>
  <c r="E147" i="1"/>
  <c r="E29" i="1"/>
  <c r="E105" i="1"/>
  <c r="E84" i="1"/>
  <c r="E59" i="1"/>
  <c r="E44" i="1"/>
  <c r="E126" i="1"/>
  <c r="E46" i="2"/>
  <c r="C46" i="2"/>
  <c r="M5" i="1"/>
  <c r="D46" i="2"/>
  <c r="C53" i="2"/>
  <c r="E53" i="2"/>
  <c r="D53" i="2"/>
  <c r="E29" i="2"/>
  <c r="E33" i="2"/>
  <c r="E42" i="2"/>
  <c r="E21" i="2"/>
  <c r="E25" i="2"/>
  <c r="E17" i="2"/>
  <c r="E50" i="2"/>
  <c r="E36" i="2"/>
  <c r="C42" i="2"/>
  <c r="C33" i="2"/>
  <c r="C17" i="2"/>
  <c r="C36" i="2"/>
  <c r="C29" i="2"/>
  <c r="C25" i="2"/>
  <c r="C21" i="2"/>
  <c r="C50" i="2"/>
  <c r="D33" i="2"/>
  <c r="D42" i="2"/>
  <c r="D36" i="2"/>
  <c r="D25" i="2"/>
  <c r="D29" i="2"/>
  <c r="D17" i="2"/>
  <c r="D21" i="2"/>
  <c r="D50" i="2"/>
  <c r="G10" i="7" l="1"/>
  <c r="G11" i="7"/>
  <c r="G23" i="7"/>
  <c r="G35" i="7"/>
  <c r="G47" i="7"/>
  <c r="G59" i="7"/>
  <c r="G71" i="7"/>
  <c r="G83" i="7"/>
  <c r="G55" i="7"/>
  <c r="G70" i="7"/>
  <c r="G12" i="7"/>
  <c r="G24" i="7"/>
  <c r="G36" i="7"/>
  <c r="G48" i="7"/>
  <c r="G60" i="7"/>
  <c r="G72" i="7"/>
  <c r="G18" i="7"/>
  <c r="G20" i="7"/>
  <c r="G81" i="7"/>
  <c r="G82" i="7"/>
  <c r="G13" i="7"/>
  <c r="G25" i="7"/>
  <c r="G37" i="7"/>
  <c r="G49" i="7"/>
  <c r="G61" i="7"/>
  <c r="G73" i="7"/>
  <c r="G85" i="7"/>
  <c r="G30" i="7"/>
  <c r="G67" i="7"/>
  <c r="G14" i="7"/>
  <c r="G26" i="7"/>
  <c r="G38" i="7"/>
  <c r="G50" i="7"/>
  <c r="G74" i="7"/>
  <c r="G86" i="7"/>
  <c r="G42" i="7"/>
  <c r="G79" i="7"/>
  <c r="G68" i="7"/>
  <c r="G15" i="7"/>
  <c r="G27" i="7"/>
  <c r="G39" i="7"/>
  <c r="G51" i="7"/>
  <c r="G63" i="7"/>
  <c r="G65" i="7"/>
  <c r="G66" i="7"/>
  <c r="G31" i="7"/>
  <c r="G57" i="7"/>
  <c r="G46" i="7"/>
  <c r="G16" i="7"/>
  <c r="G28" i="7"/>
  <c r="G40" i="7"/>
  <c r="G52" i="7"/>
  <c r="G64" i="7"/>
  <c r="G76" i="7"/>
  <c r="G88" i="7"/>
  <c r="G53" i="7"/>
  <c r="G78" i="7"/>
  <c r="G43" i="7"/>
  <c r="G56" i="7"/>
  <c r="G58" i="7"/>
  <c r="G17" i="7"/>
  <c r="G29" i="7"/>
  <c r="G41" i="7"/>
  <c r="G77" i="7"/>
  <c r="G19" i="7"/>
  <c r="G32" i="7"/>
  <c r="F57" i="7"/>
  <c r="F81" i="7"/>
  <c r="F35" i="7"/>
  <c r="F59" i="7"/>
  <c r="F48" i="7"/>
  <c r="F63" i="7"/>
  <c r="F67" i="7"/>
  <c r="F68" i="7"/>
  <c r="F46" i="7"/>
  <c r="F58" i="7"/>
  <c r="F70" i="7"/>
  <c r="F82" i="7"/>
  <c r="F23" i="7"/>
  <c r="F47" i="7"/>
  <c r="F71" i="7"/>
  <c r="F24" i="7"/>
  <c r="F60" i="7"/>
  <c r="F72" i="7"/>
  <c r="F74" i="7"/>
  <c r="F64" i="7"/>
  <c r="F31" i="7"/>
  <c r="F83" i="7"/>
  <c r="F86" i="7"/>
  <c r="F39" i="7"/>
  <c r="F28" i="7"/>
  <c r="F53" i="7"/>
  <c r="F43" i="7"/>
  <c r="F32" i="7"/>
  <c r="F36" i="7"/>
  <c r="F38" i="7"/>
  <c r="F27" i="7"/>
  <c r="F52" i="7"/>
  <c r="F88" i="7"/>
  <c r="F29" i="7"/>
  <c r="F65" i="7"/>
  <c r="F42" i="7"/>
  <c r="F78" i="7"/>
  <c r="F55" i="7"/>
  <c r="F25" i="7"/>
  <c r="F37" i="7"/>
  <c r="F49" i="7"/>
  <c r="F61" i="7"/>
  <c r="F73" i="7"/>
  <c r="F85" i="7"/>
  <c r="F26" i="7"/>
  <c r="F50" i="7"/>
  <c r="F51" i="7"/>
  <c r="F40" i="7"/>
  <c r="F76" i="7"/>
  <c r="F41" i="7"/>
  <c r="F77" i="7"/>
  <c r="F30" i="7"/>
  <c r="F66" i="7"/>
  <c r="F79" i="7"/>
  <c r="F56" i="7"/>
  <c r="F10" i="7"/>
  <c r="F11" i="7"/>
  <c r="F12" i="7"/>
  <c r="F13" i="7"/>
  <c r="F19" i="7"/>
  <c r="F14" i="7"/>
  <c r="F15" i="7"/>
  <c r="F16" i="7"/>
  <c r="F17" i="7"/>
  <c r="F18" i="7"/>
  <c r="F20" i="7"/>
  <c r="E82" i="7"/>
  <c r="E23" i="7"/>
  <c r="E35" i="7"/>
  <c r="E47" i="7"/>
  <c r="E59" i="7"/>
  <c r="E71" i="7"/>
  <c r="E83" i="7"/>
  <c r="E24" i="7"/>
  <c r="E36" i="7"/>
  <c r="E48" i="7"/>
  <c r="E60" i="7"/>
  <c r="E72" i="7"/>
  <c r="E37" i="7"/>
  <c r="E49" i="7"/>
  <c r="E61" i="7"/>
  <c r="E73" i="7"/>
  <c r="E85" i="7"/>
  <c r="E26" i="7"/>
  <c r="E38" i="7"/>
  <c r="E50" i="7"/>
  <c r="E74" i="7"/>
  <c r="E27" i="7"/>
  <c r="E39" i="7"/>
  <c r="E51" i="7"/>
  <c r="E63" i="7"/>
  <c r="E28" i="7"/>
  <c r="E40" i="7"/>
  <c r="E52" i="7"/>
  <c r="E64" i="7"/>
  <c r="E76" i="7"/>
  <c r="E88" i="7"/>
  <c r="E29" i="7"/>
  <c r="E41" i="7"/>
  <c r="E65" i="7"/>
  <c r="E77" i="7"/>
  <c r="E42" i="7"/>
  <c r="E66" i="7"/>
  <c r="E78" i="7"/>
  <c r="E43" i="7"/>
  <c r="E67" i="7"/>
  <c r="E32" i="7"/>
  <c r="E56" i="7"/>
  <c r="E57" i="7"/>
  <c r="E81" i="7"/>
  <c r="E58" i="7"/>
  <c r="E86" i="7"/>
  <c r="E53" i="7"/>
  <c r="E30" i="7"/>
  <c r="E31" i="7"/>
  <c r="E55" i="7"/>
  <c r="E79" i="7"/>
  <c r="E68" i="7"/>
  <c r="E46" i="7"/>
  <c r="E70" i="7"/>
  <c r="E25" i="7"/>
  <c r="E11" i="7"/>
  <c r="E12" i="7"/>
  <c r="E19" i="7"/>
  <c r="E13" i="7"/>
  <c r="E16" i="7"/>
  <c r="E18" i="7"/>
  <c r="E20" i="7"/>
  <c r="E14" i="7"/>
  <c r="E15" i="7"/>
  <c r="E17" i="7"/>
  <c r="E10" i="7"/>
  <c r="H60" i="7" l="1"/>
  <c r="I60" i="7" s="1"/>
  <c r="AC15" i="7" s="1"/>
  <c r="H13" i="7"/>
  <c r="I13" i="7" s="1"/>
  <c r="AE9" i="7" s="1"/>
  <c r="H81" i="7"/>
  <c r="I81" i="7" s="1"/>
  <c r="T14" i="7" s="1"/>
  <c r="H53" i="7"/>
  <c r="I53" i="7" s="1"/>
  <c r="AF16" i="7" s="1"/>
  <c r="H30" i="7"/>
  <c r="I30" i="7" s="1"/>
  <c r="AH14" i="7" s="1"/>
  <c r="H16" i="7"/>
  <c r="I16" i="7" s="1"/>
  <c r="AH12" i="7" s="1"/>
  <c r="H51" i="7"/>
  <c r="I51" i="7" s="1"/>
  <c r="AD14" i="7" s="1"/>
  <c r="H42" i="7"/>
  <c r="I42" i="7" s="1"/>
  <c r="AG15" i="7" s="1"/>
  <c r="H11" i="7"/>
  <c r="I11" i="7" s="1"/>
  <c r="H72" i="7"/>
  <c r="I72" i="7" s="1"/>
  <c r="X14" i="7" s="1"/>
  <c r="H68" i="7"/>
  <c r="I68" i="7" s="1"/>
  <c r="AB16" i="7" s="1"/>
  <c r="H39" i="7"/>
  <c r="H19" i="7"/>
  <c r="H65" i="7"/>
  <c r="H27" i="7"/>
  <c r="H41" i="7"/>
  <c r="H74" i="7"/>
  <c r="I74" i="7" s="1"/>
  <c r="H29" i="7"/>
  <c r="I29" i="7" s="1"/>
  <c r="H50" i="7"/>
  <c r="I50" i="7" s="1"/>
  <c r="H77" i="7"/>
  <c r="I77" i="7" s="1"/>
  <c r="H88" i="7"/>
  <c r="I88" i="7" s="1"/>
  <c r="H26" i="7"/>
  <c r="I26" i="7" s="1"/>
  <c r="H64" i="7"/>
  <c r="I64" i="7" s="1"/>
  <c r="H85" i="7"/>
  <c r="I85" i="7" s="1"/>
  <c r="H52" i="7"/>
  <c r="I52" i="7" s="1"/>
  <c r="AE15" i="7" s="1"/>
  <c r="H36" i="7"/>
  <c r="I36" i="7" s="1"/>
  <c r="H58" i="7"/>
  <c r="H48" i="7"/>
  <c r="I48" i="7" s="1"/>
  <c r="H57" i="7"/>
  <c r="H76" i="7"/>
  <c r="H67" i="7"/>
  <c r="H12" i="7"/>
  <c r="I12" i="7" s="1"/>
  <c r="H83" i="7"/>
  <c r="I83" i="7" s="1"/>
  <c r="H70" i="7"/>
  <c r="I70" i="7" s="1"/>
  <c r="H73" i="7"/>
  <c r="I73" i="7" s="1"/>
  <c r="H86" i="7"/>
  <c r="H40" i="7"/>
  <c r="H24" i="7"/>
  <c r="I24" i="7" s="1"/>
  <c r="H71" i="7"/>
  <c r="I71" i="7" s="1"/>
  <c r="H59" i="7"/>
  <c r="H38" i="7"/>
  <c r="I38" i="7" s="1"/>
  <c r="H47" i="7"/>
  <c r="H17" i="7"/>
  <c r="H32" i="7"/>
  <c r="I32" i="7" s="1"/>
  <c r="H14" i="7"/>
  <c r="H61" i="7"/>
  <c r="I61" i="7" s="1"/>
  <c r="H35" i="7"/>
  <c r="I35" i="7" s="1"/>
  <c r="H25" i="7"/>
  <c r="H46" i="7"/>
  <c r="H15" i="7"/>
  <c r="H79" i="7"/>
  <c r="H20" i="7"/>
  <c r="H55" i="7"/>
  <c r="H78" i="7"/>
  <c r="I78" i="7" s="1"/>
  <c r="H28" i="7"/>
  <c r="H49" i="7"/>
  <c r="I49" i="7" s="1"/>
  <c r="H23" i="7"/>
  <c r="I23" i="7" s="1"/>
  <c r="H56" i="7"/>
  <c r="I56" i="7" s="1"/>
  <c r="H43" i="7"/>
  <c r="H18" i="7"/>
  <c r="I18" i="7" s="1"/>
  <c r="H31" i="7"/>
  <c r="I31" i="7" s="1"/>
  <c r="H66" i="7"/>
  <c r="I66" i="7" s="1"/>
  <c r="H63" i="7"/>
  <c r="I63" i="7" s="1"/>
  <c r="H37" i="7"/>
  <c r="I37" i="7" s="1"/>
  <c r="H82" i="7"/>
  <c r="I82" i="7" s="1"/>
  <c r="H10" i="7"/>
  <c r="I10" i="7" s="1"/>
  <c r="U15" i="7" l="1"/>
  <c r="AC11" i="7"/>
  <c r="Z16" i="7"/>
  <c r="I47" i="7"/>
  <c r="Z10" i="7" s="1"/>
  <c r="I59" i="7"/>
  <c r="AB14" i="7" s="1"/>
  <c r="AB10" i="7"/>
  <c r="AB8" i="7"/>
  <c r="AG13" i="7"/>
  <c r="I58" i="7"/>
  <c r="AA13" i="7" s="1"/>
  <c r="I27" i="7"/>
  <c r="AE11" i="7" s="1"/>
  <c r="AC13" i="7"/>
  <c r="W11" i="7"/>
  <c r="S15" i="7"/>
  <c r="I67" i="7"/>
  <c r="AA15" i="7" s="1"/>
  <c r="I65" i="7"/>
  <c r="Y13" i="7" s="1"/>
  <c r="AJ14" i="7"/>
  <c r="Z8" i="7"/>
  <c r="Y15" i="7"/>
  <c r="X12" i="7"/>
  <c r="I28" i="7"/>
  <c r="AF12" i="7" s="1"/>
  <c r="I40" i="7"/>
  <c r="AE13" i="7" s="1"/>
  <c r="I46" i="7"/>
  <c r="Y9" i="7" s="1"/>
  <c r="I86" i="7"/>
  <c r="T16" i="7" s="1"/>
  <c r="W15" i="7"/>
  <c r="AA11" i="7"/>
  <c r="W13" i="7"/>
  <c r="AA9" i="7"/>
  <c r="AI15" i="7"/>
  <c r="Y11" i="7"/>
  <c r="AD16" i="7"/>
  <c r="V12" i="7"/>
  <c r="AD10" i="7"/>
  <c r="I55" i="7"/>
  <c r="X10" i="7" s="1"/>
  <c r="I43" i="7"/>
  <c r="AH16" i="7" s="1"/>
  <c r="I15" i="7"/>
  <c r="AG11" i="7" s="1"/>
  <c r="I17" i="7"/>
  <c r="AI13" i="7" s="1"/>
  <c r="I19" i="7"/>
  <c r="AK15" i="7" s="1"/>
  <c r="AA7" i="7"/>
  <c r="V16" i="7"/>
  <c r="R16" i="7"/>
  <c r="AC7" i="7"/>
  <c r="I20" i="7"/>
  <c r="AL16" i="7" s="1"/>
  <c r="I79" i="7"/>
  <c r="X16" i="7" s="1"/>
  <c r="I76" i="7"/>
  <c r="U13" i="7" s="1"/>
  <c r="I41" i="7"/>
  <c r="AF14" i="7" s="1"/>
  <c r="AB12" i="7"/>
  <c r="AJ16" i="7"/>
  <c r="AD8" i="7"/>
  <c r="V14" i="7"/>
  <c r="I39" i="7"/>
  <c r="AD12" i="7" s="1"/>
  <c r="I14" i="7"/>
  <c r="AF10" i="7" s="1"/>
  <c r="I57" i="7"/>
  <c r="Z12" i="7" s="1"/>
  <c r="I25" i="7"/>
  <c r="AC9" i="7" s="1"/>
  <c r="AB6" i="7"/>
  <c r="Z14" i="7" l="1"/>
</calcChain>
</file>

<file path=xl/sharedStrings.xml><?xml version="1.0" encoding="utf-8"?>
<sst xmlns="http://schemas.openxmlformats.org/spreadsheetml/2006/main" count="379" uniqueCount="174">
  <si>
    <t>Description</t>
  </si>
  <si>
    <t>CNC</t>
  </si>
  <si>
    <t>3D Printing</t>
  </si>
  <si>
    <t>Sales Volume</t>
  </si>
  <si>
    <t>Material Cost</t>
  </si>
  <si>
    <t>Intial Cost (Euro)</t>
  </si>
  <si>
    <t>Liquidation Value</t>
  </si>
  <si>
    <t>Painting</t>
  </si>
  <si>
    <t>Economic life</t>
  </si>
  <si>
    <t>Time</t>
  </si>
  <si>
    <t>min</t>
  </si>
  <si>
    <t>Annual Maintainace</t>
  </si>
  <si>
    <t>Req Paint</t>
  </si>
  <si>
    <t>Lit</t>
  </si>
  <si>
    <t>Interest Cost</t>
  </si>
  <si>
    <t>Paint Loss</t>
  </si>
  <si>
    <t>Max temporal utilization per year Utilization (365 days, 24 hrs)</t>
  </si>
  <si>
    <t>Waste</t>
  </si>
  <si>
    <t>Power Input (KW)</t>
  </si>
  <si>
    <t>Total Paint Req</t>
  </si>
  <si>
    <t>Energy Efficiency</t>
  </si>
  <si>
    <t>Labor Cost</t>
  </si>
  <si>
    <t>Euro/Hr</t>
  </si>
  <si>
    <t>Per Year</t>
  </si>
  <si>
    <t>-</t>
  </si>
  <si>
    <t>Abrasive (Kg/hr)</t>
  </si>
  <si>
    <t>Argon (l/hr)</t>
  </si>
  <si>
    <t>Other Material</t>
  </si>
  <si>
    <t>Packaging</t>
  </si>
  <si>
    <t>Production time for 1 cycle (min)</t>
  </si>
  <si>
    <t>Piece Produce in one cycle</t>
  </si>
  <si>
    <t>Euro</t>
  </si>
  <si>
    <t>Material Waste</t>
  </si>
  <si>
    <t xml:space="preserve">Other Variable </t>
  </si>
  <si>
    <t>Unit</t>
  </si>
  <si>
    <t>Cost</t>
  </si>
  <si>
    <t xml:space="preserve">Electricity </t>
  </si>
  <si>
    <t>KWH</t>
  </si>
  <si>
    <t>Piece Per Hr</t>
  </si>
  <si>
    <t>Aluminum Block</t>
  </si>
  <si>
    <t>Euro/block</t>
  </si>
  <si>
    <t>Piece Per Yr (365days, 24hrs)</t>
  </si>
  <si>
    <t>Comment : Pieces can produce in a year</t>
  </si>
  <si>
    <t>Aluminum Powder</t>
  </si>
  <si>
    <t>Euro/Kg</t>
  </si>
  <si>
    <t>Req Machine</t>
  </si>
  <si>
    <t>Argon</t>
  </si>
  <si>
    <t>Euro/Lit</t>
  </si>
  <si>
    <t>Abrasive Granules</t>
  </si>
  <si>
    <t>Paint Cost</t>
  </si>
  <si>
    <t>Pieces</t>
  </si>
  <si>
    <t>Process</t>
  </si>
  <si>
    <t>Total Material Used (Kg)</t>
  </si>
  <si>
    <t>Total Material Loss (Kg)</t>
  </si>
  <si>
    <t>Total Hrs of Production</t>
  </si>
  <si>
    <t>Other Material (Argon/Abrasive)</t>
  </si>
  <si>
    <t>Energy Consumption (KWH)</t>
  </si>
  <si>
    <t>Comment : Efficiency is Adjusted</t>
  </si>
  <si>
    <t>Variable Cost (Euro)</t>
  </si>
  <si>
    <t>Per Unit</t>
  </si>
  <si>
    <t>%</t>
  </si>
  <si>
    <t>Other Material Cost</t>
  </si>
  <si>
    <t>Comment: Added Packaging cost</t>
  </si>
  <si>
    <t>Energy Cost</t>
  </si>
  <si>
    <t>Total Variable Cost</t>
  </si>
  <si>
    <t>Fixed Cost</t>
  </si>
  <si>
    <t>Maintainace Cost</t>
  </si>
  <si>
    <t>Total Fixed Cost</t>
  </si>
  <si>
    <t>Total Cost</t>
  </si>
  <si>
    <t>Total Unit Cost</t>
  </si>
  <si>
    <t>Jet Cutting</t>
  </si>
  <si>
    <t>Abrasive Consumption Kg/hr</t>
  </si>
  <si>
    <t>Argon Consumption Lit/Hr</t>
  </si>
  <si>
    <t>Energy Price per KWH (Euro)</t>
  </si>
  <si>
    <t>Al Powder cost Euro per Kg</t>
  </si>
  <si>
    <t>Material Used (Kg aluminum)</t>
  </si>
  <si>
    <t>Block Price in Euro</t>
  </si>
  <si>
    <t>Argon Cost</t>
  </si>
  <si>
    <t>Abrasive Cost</t>
  </si>
  <si>
    <t>Variable cost</t>
  </si>
  <si>
    <t>Variable Cost</t>
  </si>
  <si>
    <t>Total</t>
  </si>
  <si>
    <t xml:space="preserve">Process </t>
  </si>
  <si>
    <t>Total Fixed Cost Per Year</t>
  </si>
  <si>
    <t>Total Variable cost per year</t>
  </si>
  <si>
    <t>Category</t>
  </si>
  <si>
    <t>Volume</t>
  </si>
  <si>
    <t>Depriciation</t>
  </si>
  <si>
    <t>Imputed Interest</t>
  </si>
  <si>
    <t>Volume Analysis</t>
  </si>
  <si>
    <t>Jet</t>
  </si>
  <si>
    <t>3D P</t>
  </si>
  <si>
    <t xml:space="preserve">Variable </t>
  </si>
  <si>
    <t>Fixed</t>
  </si>
  <si>
    <t>Variable</t>
  </si>
  <si>
    <t>Abrasive Water Jet</t>
  </si>
  <si>
    <t>CNC Milling</t>
  </si>
  <si>
    <t>3D Printer</t>
  </si>
  <si>
    <t>Quality Centre 1: WATER-JET CUTTING</t>
  </si>
  <si>
    <t>Quality Centre 1: CNC MILLING</t>
  </si>
  <si>
    <t>Quality Centre 1: 3D Printer</t>
  </si>
  <si>
    <t>System Cost</t>
  </si>
  <si>
    <t>Total QC</t>
  </si>
  <si>
    <t>Input QC</t>
  </si>
  <si>
    <t>Cost of current QC</t>
  </si>
  <si>
    <t>Total Input</t>
  </si>
  <si>
    <t>Output QC</t>
  </si>
  <si>
    <t>Product Flow</t>
  </si>
  <si>
    <t>Loss Flow</t>
  </si>
  <si>
    <t>Cummulative Flows</t>
  </si>
  <si>
    <t>Cummullative product flow</t>
  </si>
  <si>
    <t>Cummulative loss flow</t>
  </si>
  <si>
    <t>Quality Centre 2: Painting</t>
  </si>
  <si>
    <t>Cost of previous QC</t>
  </si>
  <si>
    <t>Total input</t>
  </si>
  <si>
    <t>Cummulative product flows</t>
  </si>
  <si>
    <t>Quality Centre 3: Packing</t>
  </si>
  <si>
    <t>Aluminium</t>
  </si>
  <si>
    <t>Argon gas</t>
  </si>
  <si>
    <t>Material</t>
  </si>
  <si>
    <t xml:space="preserve">EI 99 (Points) </t>
  </si>
  <si>
    <t>Energy</t>
  </si>
  <si>
    <t>(Abrasive points are not considerd material of abrasive is not mentioned)</t>
  </si>
  <si>
    <t xml:space="preserve">Argon density - kg/lit </t>
  </si>
  <si>
    <t>Production Material (Kg/Year)</t>
  </si>
  <si>
    <t>Energy Cosumption (KWH/Year)</t>
  </si>
  <si>
    <t>End of Life (EOL) (Kg/Year)</t>
  </si>
  <si>
    <t xml:space="preserve">Production </t>
  </si>
  <si>
    <t>Ponits</t>
  </si>
  <si>
    <t>Abrsive Granuels (Sic)</t>
  </si>
  <si>
    <t>Other Material in Process (Kg/Year)</t>
  </si>
  <si>
    <t>Aluminium (EOL)</t>
  </si>
  <si>
    <t>Total EI' 99 Points</t>
  </si>
  <si>
    <t>LCA Per Unit (Points)</t>
  </si>
  <si>
    <t>Functional Analysis</t>
  </si>
  <si>
    <t>Features</t>
  </si>
  <si>
    <t>Surface Finish</t>
  </si>
  <si>
    <t>Weight</t>
  </si>
  <si>
    <t>Durability</t>
  </si>
  <si>
    <t>Importance</t>
  </si>
  <si>
    <t>Aesthetic</t>
  </si>
  <si>
    <t xml:space="preserve">Scale </t>
  </si>
  <si>
    <t>1-5</t>
  </si>
  <si>
    <t>Maximum is Best</t>
  </si>
  <si>
    <t>Normaization</t>
  </si>
  <si>
    <t>Score</t>
  </si>
  <si>
    <t>LCC (Euro/Unit)</t>
  </si>
  <si>
    <t>LCA (Points/Unit)</t>
  </si>
  <si>
    <t>Functional Assessment</t>
  </si>
  <si>
    <t>Normalization</t>
  </si>
  <si>
    <t>Minimum is Best</t>
  </si>
  <si>
    <t>Sum</t>
  </si>
  <si>
    <t xml:space="preserve"> </t>
  </si>
  <si>
    <t>Functional</t>
  </si>
  <si>
    <t>Best</t>
  </si>
  <si>
    <t>Environmental</t>
  </si>
  <si>
    <t>Economical</t>
  </si>
  <si>
    <t xml:space="preserve">A </t>
  </si>
  <si>
    <t>B</t>
  </si>
  <si>
    <t>C</t>
  </si>
  <si>
    <t>Unit Cost</t>
  </si>
  <si>
    <t>Water Custting</t>
  </si>
  <si>
    <t xml:space="preserve">3D Printing </t>
  </si>
  <si>
    <t xml:space="preserve">CNC Milling </t>
  </si>
  <si>
    <t>Water Jet Cutting</t>
  </si>
  <si>
    <t>Water Jet  Cutting</t>
  </si>
  <si>
    <t>Machine Capacity</t>
  </si>
  <si>
    <t xml:space="preserve">No of Machine for the given volume </t>
  </si>
  <si>
    <t>Critical Production Volume</t>
  </si>
  <si>
    <t>Fixed cost</t>
  </si>
  <si>
    <t>Total cost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</si>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</sst>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* #,##0_ ;_ * \-#,##0_ ;_ * &quot;-&quot;??_ ;_ @_ "/>
    <numFmt numFmtId="165" formatCode="_ [$€-2]\ * #,##0_ ;_ [$€-2]\ * \-#,##0_ ;_ [$€-2]\ * &quot;-&quot;??_ ;_ @_ "/>
    <numFmt numFmtId="166" formatCode="_ [$€-2]\ * #,##0.00_ ;_ [$€-2]\ * \-#,##0.00_ ;_ [$€-2]\ * &quot;-&quot;??_ ;_ @_ "/>
    <numFmt numFmtId="167" formatCode="_ * #,##0.000_ ;_ * \-#,##0.000_ ;_ * &quot;-&quot;??_ ;_ @_ "/>
    <numFmt numFmtId="168" formatCode="0.00000"/>
    <numFmt numFmtId="169" formatCode="0.000"/>
    <numFmt numFmtId="170" formatCode="0.0%"/>
    <numFmt numFmtId="171" formatCode="&quot; &quot;[$€-4009]&quot; &quot;* #,##0.00&quot; &quot;;&quot; &quot;[$€-4009]&quot; &quot;* &quot;-&quot;#,##0.00&quot; &quot;;&quot; &quot;[$€-4009]&quot; &quot;* &quot;-&quot;#&quot; &quot;;&quot; &quot;@&quot; &quot;"/>
  </numFmts>
  <fonts count="2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Aptos Narrow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rgb="FFDAE9F8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8E7CC3"/>
      </patternFill>
    </fill>
    <fill>
      <patternFill patternType="solid">
        <fgColor theme="9" tint="0.79998168889431442"/>
        <bgColor rgb="FF9FC5E8"/>
      </patternFill>
    </fill>
    <fill>
      <patternFill patternType="solid">
        <fgColor theme="0"/>
        <bgColor rgb="FF8E7CC3"/>
      </patternFill>
    </fill>
    <fill>
      <patternFill patternType="solid">
        <fgColor theme="4" tint="0.79998168889431442"/>
        <bgColor rgb="FF00FF00"/>
      </patternFill>
    </fill>
    <fill>
      <patternFill patternType="solid">
        <fgColor theme="4" tint="0.79998168889431442"/>
        <bgColor indexed="64"/>
      </patternFill>
    </fill>
  </fills>
  <borders count="10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7">
    <xf numFmtId="0" fontId="0" fillId="0" borderId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7" fillId="0" borderId="0"/>
  </cellStyleXfs>
  <cellXfs count="397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6" fillId="0" borderId="0" xfId="0" applyFont="1"/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/>
    <xf numFmtId="0" fontId="4" fillId="0" borderId="26" xfId="0" applyFont="1" applyBorder="1" applyAlignment="1">
      <alignment horizontal="right"/>
    </xf>
    <xf numFmtId="166" fontId="4" fillId="0" borderId="26" xfId="0" applyNumberFormat="1" applyFont="1" applyBorder="1" applyAlignment="1">
      <alignment horizontal="center" vertical="center"/>
    </xf>
    <xf numFmtId="9" fontId="4" fillId="0" borderId="26" xfId="0" applyNumberFormat="1" applyFont="1" applyBorder="1" applyAlignment="1">
      <alignment horizontal="right" vertical="center"/>
    </xf>
    <xf numFmtId="10" fontId="4" fillId="0" borderId="26" xfId="0" applyNumberFormat="1" applyFont="1" applyBorder="1" applyAlignment="1">
      <alignment horizontal="right" vertical="center"/>
    </xf>
    <xf numFmtId="0" fontId="4" fillId="0" borderId="27" xfId="0" applyFont="1" applyBorder="1" applyAlignment="1">
      <alignment horizontal="right"/>
    </xf>
    <xf numFmtId="10" fontId="4" fillId="0" borderId="27" xfId="0" applyNumberFormat="1" applyFont="1" applyBorder="1"/>
    <xf numFmtId="166" fontId="4" fillId="0" borderId="26" xfId="0" applyNumberFormat="1" applyFont="1" applyBorder="1"/>
    <xf numFmtId="10" fontId="4" fillId="0" borderId="26" xfId="0" applyNumberFormat="1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10" fontId="4" fillId="0" borderId="28" xfId="0" applyNumberFormat="1" applyFont="1" applyBorder="1"/>
    <xf numFmtId="0" fontId="3" fillId="0" borderId="15" xfId="0" applyFont="1" applyBorder="1" applyAlignment="1">
      <alignment horizontal="left"/>
    </xf>
    <xf numFmtId="166" fontId="3" fillId="0" borderId="15" xfId="0" applyNumberFormat="1" applyFont="1" applyBorder="1"/>
    <xf numFmtId="0" fontId="3" fillId="0" borderId="28" xfId="0" applyFont="1" applyBorder="1" applyAlignment="1">
      <alignment horizontal="left"/>
    </xf>
    <xf numFmtId="166" fontId="3" fillId="0" borderId="28" xfId="0" applyNumberFormat="1" applyFont="1" applyBorder="1"/>
    <xf numFmtId="166" fontId="6" fillId="0" borderId="0" xfId="0" applyNumberFormat="1" applyFont="1"/>
    <xf numFmtId="166" fontId="0" fillId="0" borderId="29" xfId="0" applyNumberFormat="1" applyBorder="1" applyAlignment="1">
      <alignment horizontal="center" vertical="center"/>
    </xf>
    <xf numFmtId="0" fontId="9" fillId="0" borderId="0" xfId="0" applyFont="1"/>
    <xf numFmtId="166" fontId="0" fillId="0" borderId="29" xfId="0" applyNumberFormat="1" applyBorder="1"/>
    <xf numFmtId="166" fontId="0" fillId="0" borderId="34" xfId="0" applyNumberFormat="1" applyBorder="1"/>
    <xf numFmtId="0" fontId="0" fillId="0" borderId="41" xfId="0" applyBorder="1"/>
    <xf numFmtId="166" fontId="0" fillId="0" borderId="34" xfId="0" applyNumberFormat="1" applyBorder="1" applyAlignment="1">
      <alignment horizontal="center" vertical="center"/>
    </xf>
    <xf numFmtId="166" fontId="8" fillId="3" borderId="48" xfId="0" applyNumberFormat="1" applyFont="1" applyFill="1" applyBorder="1"/>
    <xf numFmtId="166" fontId="8" fillId="3" borderId="49" xfId="0" applyNumberFormat="1" applyFont="1" applyFill="1" applyBorder="1"/>
    <xf numFmtId="166" fontId="0" fillId="0" borderId="36" xfId="0" applyNumberFormat="1" applyBorder="1" applyAlignment="1">
      <alignment horizontal="center" vertical="center"/>
    </xf>
    <xf numFmtId="166" fontId="0" fillId="0" borderId="37" xfId="0" applyNumberFormat="1" applyBorder="1" applyAlignment="1">
      <alignment horizontal="center" vertical="center"/>
    </xf>
    <xf numFmtId="164" fontId="4" fillId="0" borderId="24" xfId="0" applyNumberFormat="1" applyFont="1" applyBorder="1" applyAlignment="1">
      <alignment horizontal="right" vertical="center"/>
    </xf>
    <xf numFmtId="164" fontId="4" fillId="0" borderId="10" xfId="0" applyNumberFormat="1" applyFont="1" applyBorder="1" applyAlignment="1">
      <alignment horizontal="right" vertical="center"/>
    </xf>
    <xf numFmtId="164" fontId="4" fillId="0" borderId="54" xfId="0" applyNumberFormat="1" applyFont="1" applyBorder="1" applyAlignment="1">
      <alignment horizontal="right" vertical="center"/>
    </xf>
    <xf numFmtId="164" fontId="4" fillId="0" borderId="56" xfId="0" applyNumberFormat="1" applyFont="1" applyBorder="1" applyAlignment="1">
      <alignment horizontal="right" vertical="center"/>
    </xf>
    <xf numFmtId="164" fontId="4" fillId="0" borderId="58" xfId="0" applyNumberFormat="1" applyFont="1" applyBorder="1" applyAlignment="1">
      <alignment horizontal="right" vertical="center"/>
    </xf>
    <xf numFmtId="164" fontId="4" fillId="0" borderId="59" xfId="0" applyNumberFormat="1" applyFont="1" applyBorder="1" applyAlignment="1">
      <alignment horizontal="right" vertical="center"/>
    </xf>
    <xf numFmtId="0" fontId="10" fillId="0" borderId="53" xfId="0" applyFont="1" applyBorder="1" applyAlignment="1">
      <alignment horizontal="left" vertical="center"/>
    </xf>
    <xf numFmtId="0" fontId="10" fillId="0" borderId="55" xfId="0" applyFont="1" applyBorder="1" applyAlignment="1">
      <alignment horizontal="left" vertical="center"/>
    </xf>
    <xf numFmtId="0" fontId="10" fillId="0" borderId="57" xfId="0" applyFont="1" applyBorder="1" applyAlignment="1">
      <alignment horizontal="left" vertical="center"/>
    </xf>
    <xf numFmtId="166" fontId="0" fillId="0" borderId="0" xfId="0" applyNumberFormat="1"/>
    <xf numFmtId="166" fontId="0" fillId="0" borderId="42" xfId="0" applyNumberFormat="1" applyBorder="1" applyAlignment="1">
      <alignment horizontal="center" vertical="center"/>
    </xf>
    <xf numFmtId="166" fontId="4" fillId="0" borderId="0" xfId="0" applyNumberFormat="1" applyFont="1" applyAlignment="1">
      <alignment horizontal="right" vertical="center"/>
    </xf>
    <xf numFmtId="0" fontId="10" fillId="0" borderId="60" xfId="0" applyFont="1" applyBorder="1" applyAlignment="1">
      <alignment horizontal="left"/>
    </xf>
    <xf numFmtId="166" fontId="10" fillId="0" borderId="60" xfId="0" applyNumberFormat="1" applyFont="1" applyBorder="1" applyAlignment="1">
      <alignment horizontal="right" vertical="center"/>
    </xf>
    <xf numFmtId="0" fontId="3" fillId="0" borderId="61" xfId="0" applyFont="1" applyBorder="1" applyAlignment="1">
      <alignment horizontal="left"/>
    </xf>
    <xf numFmtId="166" fontId="3" fillId="0" borderId="61" xfId="0" applyNumberFormat="1" applyFont="1" applyBorder="1"/>
    <xf numFmtId="0" fontId="10" fillId="0" borderId="15" xfId="0" applyFont="1" applyBorder="1" applyAlignment="1">
      <alignment horizontal="left"/>
    </xf>
    <xf numFmtId="166" fontId="4" fillId="0" borderId="15" xfId="0" applyNumberFormat="1" applyFont="1" applyBorder="1"/>
    <xf numFmtId="0" fontId="3" fillId="0" borderId="28" xfId="0" applyFont="1" applyBorder="1"/>
    <xf numFmtId="166" fontId="8" fillId="3" borderId="62" xfId="0" applyNumberFormat="1" applyFont="1" applyFill="1" applyBorder="1"/>
    <xf numFmtId="0" fontId="0" fillId="0" borderId="33" xfId="0" applyBorder="1"/>
    <xf numFmtId="0" fontId="0" fillId="0" borderId="29" xfId="0" applyBorder="1"/>
    <xf numFmtId="0" fontId="0" fillId="0" borderId="35" xfId="0" applyBorder="1"/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0" fontId="8" fillId="0" borderId="29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73" xfId="0" applyFont="1" applyBorder="1" applyAlignment="1">
      <alignment horizontal="center" vertical="center"/>
    </xf>
    <xf numFmtId="0" fontId="11" fillId="5" borderId="73" xfId="0" applyFont="1" applyFill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2" fillId="0" borderId="0" xfId="0" applyFont="1"/>
    <xf numFmtId="0" fontId="0" fillId="6" borderId="32" xfId="0" applyFill="1" applyBorder="1" applyAlignment="1">
      <alignment horizontal="center" vertical="center"/>
    </xf>
    <xf numFmtId="164" fontId="0" fillId="0" borderId="29" xfId="2" applyNumberFormat="1" applyFont="1" applyBorder="1"/>
    <xf numFmtId="164" fontId="6" fillId="0" borderId="29" xfId="2" applyNumberFormat="1" applyFont="1" applyBorder="1"/>
    <xf numFmtId="0" fontId="6" fillId="0" borderId="29" xfId="0" applyFont="1" applyBorder="1" applyAlignment="1">
      <alignment horizontal="center" vertical="center"/>
    </xf>
    <xf numFmtId="164" fontId="6" fillId="0" borderId="29" xfId="2" applyNumberFormat="1" applyFont="1" applyBorder="1" applyAlignment="1">
      <alignment horizontal="center" vertical="center"/>
    </xf>
    <xf numFmtId="164" fontId="0" fillId="0" borderId="29" xfId="2" applyNumberFormat="1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2" fillId="0" borderId="33" xfId="0" applyFont="1" applyBorder="1"/>
    <xf numFmtId="164" fontId="6" fillId="0" borderId="34" xfId="2" applyNumberFormat="1" applyFont="1" applyBorder="1" applyAlignment="1">
      <alignment horizontal="center" vertical="center"/>
    </xf>
    <xf numFmtId="164" fontId="0" fillId="0" borderId="34" xfId="2" applyNumberFormat="1" applyFont="1" applyBorder="1" applyAlignment="1">
      <alignment horizontal="center" vertical="center"/>
    </xf>
    <xf numFmtId="0" fontId="2" fillId="0" borderId="79" xfId="0" applyFont="1" applyBorder="1"/>
    <xf numFmtId="164" fontId="0" fillId="0" borderId="74" xfId="2" applyNumberFormat="1" applyFont="1" applyBorder="1"/>
    <xf numFmtId="164" fontId="0" fillId="0" borderId="74" xfId="2" applyNumberFormat="1" applyFont="1" applyBorder="1" applyAlignment="1">
      <alignment horizontal="center" vertical="center"/>
    </xf>
    <xf numFmtId="164" fontId="0" fillId="0" borderId="80" xfId="2" applyNumberFormat="1" applyFont="1" applyBorder="1" applyAlignment="1">
      <alignment horizontal="center" vertical="center"/>
    </xf>
    <xf numFmtId="0" fontId="0" fillId="6" borderId="81" xfId="0" applyFill="1" applyBorder="1" applyAlignment="1">
      <alignment horizontal="center" vertical="center"/>
    </xf>
    <xf numFmtId="0" fontId="2" fillId="7" borderId="82" xfId="0" applyFont="1" applyFill="1" applyBorder="1" applyAlignment="1">
      <alignment horizontal="left" vertical="center"/>
    </xf>
    <xf numFmtId="0" fontId="0" fillId="6" borderId="78" xfId="0" applyFill="1" applyBorder="1" applyAlignment="1">
      <alignment horizontal="left" vertical="center"/>
    </xf>
    <xf numFmtId="164" fontId="8" fillId="0" borderId="31" xfId="0" applyNumberFormat="1" applyFont="1" applyBorder="1"/>
    <xf numFmtId="164" fontId="8" fillId="0" borderId="32" xfId="0" applyNumberFormat="1" applyFont="1" applyBorder="1"/>
    <xf numFmtId="43" fontId="8" fillId="0" borderId="36" xfId="0" applyNumberFormat="1" applyFont="1" applyBorder="1"/>
    <xf numFmtId="43" fontId="8" fillId="0" borderId="37" xfId="0" applyNumberFormat="1" applyFont="1" applyBorder="1"/>
    <xf numFmtId="0" fontId="2" fillId="0" borderId="30" xfId="0" applyFont="1" applyBorder="1"/>
    <xf numFmtId="0" fontId="0" fillId="0" borderId="34" xfId="0" applyBorder="1" applyAlignment="1">
      <alignment horizontal="center" vertical="center"/>
    </xf>
    <xf numFmtId="0" fontId="2" fillId="0" borderId="35" xfId="0" applyFont="1" applyBorder="1"/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9" fontId="0" fillId="0" borderId="29" xfId="3" applyFont="1" applyBorder="1"/>
    <xf numFmtId="9" fontId="0" fillId="0" borderId="36" xfId="3" applyFont="1" applyBorder="1"/>
    <xf numFmtId="9" fontId="2" fillId="0" borderId="29" xfId="3" applyFont="1" applyBorder="1"/>
    <xf numFmtId="49" fontId="2" fillId="0" borderId="29" xfId="0" applyNumberFormat="1" applyFont="1" applyBorder="1" applyAlignment="1">
      <alignment horizontal="center" vertical="center"/>
    </xf>
    <xf numFmtId="9" fontId="0" fillId="0" borderId="29" xfId="3" applyFont="1" applyBorder="1" applyAlignment="1">
      <alignment horizontal="center" vertical="center"/>
    </xf>
    <xf numFmtId="170" fontId="0" fillId="0" borderId="0" xfId="0" applyNumberFormat="1"/>
    <xf numFmtId="170" fontId="0" fillId="0" borderId="29" xfId="0" applyNumberFormat="1" applyBorder="1"/>
    <xf numFmtId="0" fontId="2" fillId="0" borderId="0" xfId="0" applyFont="1" applyAlignment="1">
      <alignment vertical="center"/>
    </xf>
    <xf numFmtId="49" fontId="2" fillId="0" borderId="3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170" fontId="0" fillId="0" borderId="34" xfId="0" applyNumberFormat="1" applyBorder="1" applyAlignment="1">
      <alignment horizontal="center" vertical="center"/>
    </xf>
    <xf numFmtId="170" fontId="0" fillId="0" borderId="37" xfId="0" applyNumberFormat="1" applyBorder="1" applyAlignment="1">
      <alignment horizontal="center" vertical="center"/>
    </xf>
    <xf numFmtId="0" fontId="0" fillId="0" borderId="30" xfId="0" applyBorder="1"/>
    <xf numFmtId="170" fontId="0" fillId="0" borderId="32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33" xfId="0" applyBorder="1" applyAlignment="1">
      <alignment horizontal="left"/>
    </xf>
    <xf numFmtId="2" fontId="0" fillId="0" borderId="34" xfId="0" applyNumberFormat="1" applyBorder="1" applyAlignment="1">
      <alignment horizontal="center" vertical="center"/>
    </xf>
    <xf numFmtId="0" fontId="0" fillId="0" borderId="35" xfId="0" applyBorder="1" applyAlignment="1">
      <alignment horizontal="left"/>
    </xf>
    <xf numFmtId="2" fontId="0" fillId="0" borderId="36" xfId="0" applyNumberFormat="1" applyBorder="1" applyAlignment="1">
      <alignment horizontal="center" vertical="center"/>
    </xf>
    <xf numFmtId="2" fontId="0" fillId="0" borderId="37" xfId="0" applyNumberFormat="1" applyBorder="1" applyAlignment="1">
      <alignment horizontal="center" vertical="center"/>
    </xf>
    <xf numFmtId="0" fontId="0" fillId="0" borderId="41" xfId="0" applyBorder="1" applyAlignment="1">
      <alignment horizontal="left"/>
    </xf>
    <xf numFmtId="2" fontId="0" fillId="0" borderId="42" xfId="0" applyNumberFormat="1" applyBorder="1" applyAlignment="1">
      <alignment horizontal="center" vertical="center"/>
    </xf>
    <xf numFmtId="2" fontId="0" fillId="0" borderId="43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4"/>
    <xf numFmtId="0" fontId="2" fillId="0" borderId="0" xfId="4" applyAlignment="1">
      <alignment horizontal="center" vertical="center"/>
    </xf>
    <xf numFmtId="0" fontId="9" fillId="0" borderId="0" xfId="4" applyFont="1" applyAlignment="1">
      <alignment horizontal="center" vertical="center"/>
    </xf>
    <xf numFmtId="9" fontId="0" fillId="0" borderId="0" xfId="5" applyFont="1" applyAlignment="1">
      <alignment horizontal="center" vertical="center"/>
    </xf>
    <xf numFmtId="10" fontId="2" fillId="0" borderId="0" xfId="4" applyNumberFormat="1" applyAlignment="1">
      <alignment horizontal="center" vertical="center"/>
    </xf>
    <xf numFmtId="170" fontId="2" fillId="0" borderId="0" xfId="4" applyNumberFormat="1" applyAlignment="1">
      <alignment horizontal="center" vertical="center"/>
    </xf>
    <xf numFmtId="170" fontId="2" fillId="0" borderId="0" xfId="4" applyNumberFormat="1"/>
    <xf numFmtId="10" fontId="8" fillId="0" borderId="0" xfId="4" applyNumberFormat="1" applyFont="1" applyAlignment="1">
      <alignment horizontal="center" vertical="center"/>
    </xf>
    <xf numFmtId="10" fontId="8" fillId="0" borderId="0" xfId="4" applyNumberFormat="1" applyFont="1"/>
    <xf numFmtId="0" fontId="8" fillId="0" borderId="0" xfId="4" applyFont="1" applyAlignment="1">
      <alignment horizontal="center" vertical="center"/>
    </xf>
    <xf numFmtId="9" fontId="8" fillId="0" borderId="0" xfId="4" applyNumberFormat="1" applyFont="1" applyAlignment="1">
      <alignment horizontal="center" vertical="center"/>
    </xf>
    <xf numFmtId="9" fontId="8" fillId="0" borderId="0" xfId="5" applyFont="1" applyAlignment="1">
      <alignment horizontal="center" vertical="center"/>
    </xf>
    <xf numFmtId="170" fontId="8" fillId="0" borderId="0" xfId="4" applyNumberFormat="1" applyFont="1" applyAlignment="1">
      <alignment horizontal="center" vertical="center"/>
    </xf>
    <xf numFmtId="9" fontId="2" fillId="0" borderId="0" xfId="4" applyNumberFormat="1" applyAlignment="1">
      <alignment horizontal="center" vertical="center"/>
    </xf>
    <xf numFmtId="169" fontId="8" fillId="0" borderId="0" xfId="5" applyNumberFormat="1" applyFont="1" applyAlignment="1">
      <alignment horizontal="center" vertical="center"/>
    </xf>
    <xf numFmtId="9" fontId="2" fillId="0" borderId="0" xfId="4" applyNumberFormat="1"/>
    <xf numFmtId="0" fontId="8" fillId="0" borderId="0" xfId="4" applyFont="1"/>
    <xf numFmtId="9" fontId="9" fillId="0" borderId="0" xfId="4" applyNumberFormat="1" applyFont="1" applyAlignment="1">
      <alignment horizontal="center" vertical="center"/>
    </xf>
    <xf numFmtId="0" fontId="1" fillId="0" borderId="0" xfId="4" applyFont="1"/>
    <xf numFmtId="0" fontId="1" fillId="0" borderId="0" xfId="0" applyFont="1"/>
    <xf numFmtId="0" fontId="15" fillId="0" borderId="38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166" fontId="15" fillId="0" borderId="45" xfId="0" applyNumberFormat="1" applyFont="1" applyBorder="1" applyAlignment="1">
      <alignment horizontal="center" vertical="center"/>
    </xf>
    <xf numFmtId="0" fontId="15" fillId="0" borderId="82" xfId="0" applyFont="1" applyBorder="1" applyAlignment="1">
      <alignment horizontal="center" vertical="center"/>
    </xf>
    <xf numFmtId="166" fontId="15" fillId="0" borderId="48" xfId="0" applyNumberFormat="1" applyFont="1" applyBorder="1"/>
    <xf numFmtId="0" fontId="16" fillId="0" borderId="35" xfId="0" applyFont="1" applyBorder="1" applyAlignment="1">
      <alignment horizontal="center" vertical="center"/>
    </xf>
    <xf numFmtId="0" fontId="17" fillId="0" borderId="0" xfId="6" applyAlignment="1">
      <alignment horizontal="center" vertical="center"/>
    </xf>
    <xf numFmtId="0" fontId="18" fillId="8" borderId="27" xfId="6" applyFont="1" applyFill="1" applyBorder="1" applyAlignment="1">
      <alignment horizontal="center" vertical="center"/>
    </xf>
    <xf numFmtId="0" fontId="19" fillId="0" borderId="0" xfId="6" applyFont="1" applyAlignment="1">
      <alignment horizontal="center" vertical="center"/>
    </xf>
    <xf numFmtId="0" fontId="18" fillId="5" borderId="93" xfId="6" applyFont="1" applyFill="1" applyBorder="1" applyAlignment="1">
      <alignment horizontal="left" vertical="center"/>
    </xf>
    <xf numFmtId="171" fontId="19" fillId="5" borderId="93" xfId="6" applyNumberFormat="1" applyFont="1" applyFill="1" applyBorder="1"/>
    <xf numFmtId="171" fontId="19" fillId="5" borderId="93" xfId="6" applyNumberFormat="1" applyFont="1" applyFill="1" applyBorder="1" applyAlignment="1">
      <alignment horizontal="center" vertical="center"/>
    </xf>
    <xf numFmtId="0" fontId="18" fillId="5" borderId="94" xfId="6" applyFont="1" applyFill="1" applyBorder="1" applyAlignment="1">
      <alignment horizontal="left" vertical="center"/>
    </xf>
    <xf numFmtId="171" fontId="19" fillId="5" borderId="94" xfId="6" applyNumberFormat="1" applyFont="1" applyFill="1" applyBorder="1"/>
    <xf numFmtId="171" fontId="19" fillId="5" borderId="94" xfId="6" applyNumberFormat="1" applyFont="1" applyFill="1" applyBorder="1" applyAlignment="1">
      <alignment horizontal="center" vertical="center"/>
    </xf>
    <xf numFmtId="0" fontId="18" fillId="5" borderId="95" xfId="6" applyFont="1" applyFill="1" applyBorder="1" applyAlignment="1">
      <alignment horizontal="left" vertical="center"/>
    </xf>
    <xf numFmtId="171" fontId="19" fillId="5" borderId="95" xfId="6" applyNumberFormat="1" applyFont="1" applyFill="1" applyBorder="1"/>
    <xf numFmtId="171" fontId="19" fillId="5" borderId="95" xfId="6" applyNumberFormat="1" applyFont="1" applyFill="1" applyBorder="1" applyAlignment="1">
      <alignment horizontal="center" vertical="center"/>
    </xf>
    <xf numFmtId="0" fontId="17" fillId="0" borderId="0" xfId="6"/>
    <xf numFmtId="0" fontId="18" fillId="5" borderId="96" xfId="6" applyFont="1" applyFill="1" applyBorder="1" applyAlignment="1">
      <alignment horizontal="left" vertical="center"/>
    </xf>
    <xf numFmtId="171" fontId="19" fillId="5" borderId="0" xfId="6" applyNumberFormat="1" applyFont="1" applyFill="1"/>
    <xf numFmtId="171" fontId="19" fillId="5" borderId="97" xfId="6" applyNumberFormat="1" applyFont="1" applyFill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8" fillId="0" borderId="42" xfId="0" applyFont="1" applyBorder="1" applyAlignment="1">
      <alignment vertical="center"/>
    </xf>
    <xf numFmtId="166" fontId="0" fillId="0" borderId="43" xfId="0" applyNumberForma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166" fontId="16" fillId="0" borderId="31" xfId="0" applyNumberFormat="1" applyFont="1" applyBorder="1" applyAlignment="1">
      <alignment horizontal="center" vertical="center"/>
    </xf>
    <xf numFmtId="166" fontId="16" fillId="0" borderId="32" xfId="0" applyNumberFormat="1" applyFont="1" applyBorder="1" applyAlignment="1">
      <alignment horizontal="center" vertical="center"/>
    </xf>
    <xf numFmtId="166" fontId="16" fillId="0" borderId="36" xfId="0" applyNumberFormat="1" applyFont="1" applyBorder="1" applyAlignment="1">
      <alignment horizontal="center" vertical="center"/>
    </xf>
    <xf numFmtId="166" fontId="16" fillId="0" borderId="37" xfId="0" applyNumberFormat="1" applyFont="1" applyBorder="1" applyAlignment="1">
      <alignment horizontal="center" vertical="center"/>
    </xf>
    <xf numFmtId="166" fontId="15" fillId="0" borderId="46" xfId="0" applyNumberFormat="1" applyFont="1" applyBorder="1" applyAlignment="1">
      <alignment horizontal="center" vertical="center"/>
    </xf>
    <xf numFmtId="166" fontId="15" fillId="0" borderId="49" xfId="0" applyNumberFormat="1" applyFont="1" applyBorder="1"/>
    <xf numFmtId="0" fontId="8" fillId="10" borderId="38" xfId="0" applyFont="1" applyFill="1" applyBorder="1" applyAlignment="1">
      <alignment horizontal="center" vertical="center"/>
    </xf>
    <xf numFmtId="0" fontId="8" fillId="10" borderId="39" xfId="0" applyFont="1" applyFill="1" applyBorder="1" applyAlignment="1">
      <alignment horizontal="center" vertical="center"/>
    </xf>
    <xf numFmtId="0" fontId="8" fillId="10" borderId="40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 wrapText="1"/>
    </xf>
    <xf numFmtId="0" fontId="3" fillId="10" borderId="52" xfId="0" applyFont="1" applyFill="1" applyBorder="1" applyAlignment="1">
      <alignment horizontal="center" vertical="center"/>
    </xf>
    <xf numFmtId="0" fontId="12" fillId="12" borderId="73" xfId="0" applyFont="1" applyFill="1" applyBorder="1" applyAlignment="1">
      <alignment horizontal="center" vertical="center"/>
    </xf>
    <xf numFmtId="0" fontId="12" fillId="11" borderId="73" xfId="0" applyFont="1" applyFill="1" applyBorder="1" applyAlignment="1">
      <alignment horizontal="center" vertical="center"/>
    </xf>
    <xf numFmtId="0" fontId="6" fillId="13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10" fillId="14" borderId="86" xfId="0" applyFont="1" applyFill="1" applyBorder="1" applyAlignment="1">
      <alignment horizontal="center" vertical="center"/>
    </xf>
    <xf numFmtId="2" fontId="11" fillId="0" borderId="73" xfId="0" applyNumberFormat="1" applyFont="1" applyBorder="1" applyAlignment="1">
      <alignment horizontal="center" vertical="center"/>
    </xf>
    <xf numFmtId="2" fontId="11" fillId="5" borderId="73" xfId="0" applyNumberFormat="1" applyFont="1" applyFill="1" applyBorder="1" applyAlignment="1">
      <alignment horizontal="center" vertical="center"/>
    </xf>
    <xf numFmtId="0" fontId="22" fillId="0" borderId="0" xfId="0" applyFont="1"/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164" fontId="22" fillId="0" borderId="5" xfId="0" applyNumberFormat="1" applyFont="1" applyBorder="1"/>
    <xf numFmtId="0" fontId="22" fillId="0" borderId="6" xfId="0" applyFont="1" applyBorder="1" applyAlignment="1">
      <alignment horizontal="left" vertical="center"/>
    </xf>
    <xf numFmtId="164" fontId="22" fillId="0" borderId="7" xfId="0" applyNumberFormat="1" applyFont="1" applyBorder="1" applyAlignment="1">
      <alignment horizontal="center" vertical="center"/>
    </xf>
    <xf numFmtId="164" fontId="22" fillId="0" borderId="8" xfId="0" applyNumberFormat="1" applyFont="1" applyBorder="1" applyAlignment="1">
      <alignment horizontal="center" vertical="center"/>
    </xf>
    <xf numFmtId="0" fontId="22" fillId="0" borderId="74" xfId="0" applyFont="1" applyBorder="1"/>
    <xf numFmtId="0" fontId="22" fillId="0" borderId="9" xfId="0" applyFont="1" applyBorder="1" applyAlignment="1">
      <alignment horizontal="left" vertical="center"/>
    </xf>
    <xf numFmtId="164" fontId="22" fillId="0" borderId="10" xfId="0" applyNumberFormat="1" applyFont="1" applyBorder="1" applyAlignment="1">
      <alignment horizontal="center" vertical="center"/>
    </xf>
    <xf numFmtId="164" fontId="22" fillId="0" borderId="11" xfId="0" applyNumberFormat="1" applyFont="1" applyBorder="1" applyAlignment="1">
      <alignment horizontal="center" vertical="center"/>
    </xf>
    <xf numFmtId="0" fontId="22" fillId="0" borderId="38" xfId="0" applyFont="1" applyBorder="1"/>
    <xf numFmtId="0" fontId="22" fillId="0" borderId="39" xfId="0" applyFont="1" applyBorder="1"/>
    <xf numFmtId="0" fontId="22" fillId="0" borderId="31" xfId="0" applyFont="1" applyBorder="1"/>
    <xf numFmtId="0" fontId="22" fillId="0" borderId="6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5" fillId="0" borderId="41" xfId="0" applyFont="1" applyBorder="1"/>
    <xf numFmtId="166" fontId="25" fillId="0" borderId="42" xfId="0" applyNumberFormat="1" applyFont="1" applyBorder="1"/>
    <xf numFmtId="166" fontId="25" fillId="0" borderId="43" xfId="0" applyNumberFormat="1" applyFont="1" applyBorder="1"/>
    <xf numFmtId="166" fontId="25" fillId="0" borderId="29" xfId="0" applyNumberFormat="1" applyFont="1" applyBorder="1"/>
    <xf numFmtId="0" fontId="22" fillId="0" borderId="29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9" fontId="22" fillId="0" borderId="10" xfId="0" applyNumberFormat="1" applyFont="1" applyBorder="1" applyAlignment="1">
      <alignment horizontal="center" vertical="center"/>
    </xf>
    <xf numFmtId="9" fontId="22" fillId="0" borderId="11" xfId="0" applyNumberFormat="1" applyFont="1" applyBorder="1" applyAlignment="1">
      <alignment horizontal="center" vertical="center"/>
    </xf>
    <xf numFmtId="0" fontId="22" fillId="0" borderId="9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2" fillId="0" borderId="33" xfId="0" applyFont="1" applyBorder="1"/>
    <xf numFmtId="166" fontId="22" fillId="0" borderId="29" xfId="0" applyNumberFormat="1" applyFont="1" applyBorder="1"/>
    <xf numFmtId="166" fontId="22" fillId="0" borderId="34" xfId="0" applyNumberFormat="1" applyFont="1" applyBorder="1"/>
    <xf numFmtId="0" fontId="22" fillId="0" borderId="33" xfId="0" applyFont="1" applyBorder="1" applyAlignment="1">
      <alignment horizontal="center" vertical="center"/>
    </xf>
    <xf numFmtId="44" fontId="22" fillId="0" borderId="29" xfId="1" applyFont="1" applyBorder="1" applyAlignment="1"/>
    <xf numFmtId="0" fontId="22" fillId="0" borderId="9" xfId="0" applyFont="1" applyBorder="1"/>
    <xf numFmtId="9" fontId="22" fillId="0" borderId="10" xfId="0" applyNumberFormat="1" applyFont="1" applyBorder="1" applyAlignment="1">
      <alignment horizontal="right" vertical="center"/>
    </xf>
    <xf numFmtId="0" fontId="22" fillId="0" borderId="11" xfId="0" applyFont="1" applyBorder="1"/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right" vertical="center"/>
    </xf>
    <xf numFmtId="0" fontId="22" fillId="0" borderId="10" xfId="0" applyFont="1" applyBorder="1" applyAlignment="1">
      <alignment horizontal="right"/>
    </xf>
    <xf numFmtId="168" fontId="22" fillId="0" borderId="0" xfId="0" applyNumberFormat="1" applyFont="1"/>
    <xf numFmtId="0" fontId="22" fillId="0" borderId="17" xfId="0" applyFont="1" applyBorder="1" applyAlignment="1">
      <alignment vertical="center"/>
    </xf>
    <xf numFmtId="0" fontId="22" fillId="0" borderId="18" xfId="0" applyFont="1" applyBorder="1" applyAlignment="1">
      <alignment horizontal="right" vertical="center"/>
    </xf>
    <xf numFmtId="0" fontId="22" fillId="0" borderId="19" xfId="0" applyFont="1" applyBorder="1" applyAlignment="1">
      <alignment vertical="center"/>
    </xf>
    <xf numFmtId="165" fontId="23" fillId="0" borderId="0" xfId="0" applyNumberFormat="1" applyFont="1"/>
    <xf numFmtId="0" fontId="22" fillId="0" borderId="16" xfId="0" applyFont="1" applyBorder="1" applyAlignment="1">
      <alignment vertical="center"/>
    </xf>
    <xf numFmtId="164" fontId="22" fillId="0" borderId="24" xfId="0" applyNumberFormat="1" applyFont="1" applyBorder="1" applyAlignment="1">
      <alignment horizontal="center" vertical="center"/>
    </xf>
    <xf numFmtId="0" fontId="22" fillId="0" borderId="25" xfId="0" applyFont="1" applyBorder="1"/>
    <xf numFmtId="0" fontId="22" fillId="0" borderId="35" xfId="0" applyFont="1" applyBorder="1" applyAlignment="1">
      <alignment horizontal="center" vertical="center"/>
    </xf>
    <xf numFmtId="44" fontId="22" fillId="0" borderId="36" xfId="1" applyFont="1" applyBorder="1" applyAlignment="1"/>
    <xf numFmtId="166" fontId="22" fillId="0" borderId="36" xfId="0" applyNumberFormat="1" applyFont="1" applyBorder="1"/>
    <xf numFmtId="166" fontId="22" fillId="0" borderId="37" xfId="0" applyNumberFormat="1" applyFont="1" applyBorder="1"/>
    <xf numFmtId="43" fontId="22" fillId="0" borderId="10" xfId="0" applyNumberFormat="1" applyFont="1" applyBorder="1" applyAlignment="1">
      <alignment horizontal="center" vertical="center"/>
    </xf>
    <xf numFmtId="167" fontId="22" fillId="0" borderId="11" xfId="0" applyNumberFormat="1" applyFont="1" applyBorder="1" applyAlignment="1">
      <alignment horizontal="center" vertical="center"/>
    </xf>
    <xf numFmtId="0" fontId="22" fillId="0" borderId="18" xfId="0" applyFont="1" applyBorder="1"/>
    <xf numFmtId="0" fontId="22" fillId="0" borderId="19" xfId="0" applyFont="1" applyBorder="1"/>
    <xf numFmtId="0" fontId="22" fillId="0" borderId="35" xfId="0" applyFont="1" applyBorder="1"/>
    <xf numFmtId="0" fontId="22" fillId="0" borderId="17" xfId="0" applyFont="1" applyBorder="1" applyAlignment="1">
      <alignment horizontal="left" vertical="center"/>
    </xf>
    <xf numFmtId="43" fontId="22" fillId="0" borderId="18" xfId="0" applyNumberFormat="1" applyFont="1" applyBorder="1"/>
    <xf numFmtId="164" fontId="22" fillId="0" borderId="19" xfId="0" applyNumberFormat="1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43" fontId="22" fillId="0" borderId="0" xfId="0" applyNumberFormat="1" applyFont="1"/>
    <xf numFmtId="164" fontId="22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/>
    <xf numFmtId="0" fontId="22" fillId="0" borderId="7" xfId="0" applyFont="1" applyBorder="1" applyAlignment="1">
      <alignment horizontal="center"/>
    </xf>
    <xf numFmtId="166" fontId="22" fillId="0" borderId="8" xfId="0" applyNumberFormat="1" applyFont="1" applyBorder="1" applyAlignment="1">
      <alignment horizontal="center"/>
    </xf>
    <xf numFmtId="0" fontId="22" fillId="0" borderId="10" xfId="0" applyFont="1" applyBorder="1" applyAlignment="1">
      <alignment horizontal="center" vertical="center"/>
    </xf>
    <xf numFmtId="165" fontId="22" fillId="0" borderId="11" xfId="0" applyNumberFormat="1" applyFont="1" applyBorder="1" applyAlignment="1">
      <alignment horizontal="center" vertical="center"/>
    </xf>
    <xf numFmtId="0" fontId="22" fillId="0" borderId="0" xfId="0" applyFont="1" applyAlignment="1">
      <alignment wrapText="1"/>
    </xf>
    <xf numFmtId="0" fontId="22" fillId="0" borderId="10" xfId="0" applyFont="1" applyBorder="1" applyAlignment="1">
      <alignment horizontal="center"/>
    </xf>
    <xf numFmtId="165" fontId="22" fillId="0" borderId="11" xfId="0" applyNumberFormat="1" applyFont="1" applyBorder="1" applyAlignment="1">
      <alignment horizontal="center"/>
    </xf>
    <xf numFmtId="166" fontId="22" fillId="0" borderId="11" xfId="0" applyNumberFormat="1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166" fontId="22" fillId="0" borderId="19" xfId="0" applyNumberFormat="1" applyFont="1" applyBorder="1" applyAlignment="1">
      <alignment horizontal="center"/>
    </xf>
    <xf numFmtId="0" fontId="23" fillId="0" borderId="38" xfId="0" applyFont="1" applyBorder="1" applyAlignment="1">
      <alignment horizontal="left" vertical="center"/>
    </xf>
    <xf numFmtId="0" fontId="23" fillId="0" borderId="39" xfId="0" applyFont="1" applyBorder="1" applyAlignment="1">
      <alignment horizontal="center"/>
    </xf>
    <xf numFmtId="0" fontId="22" fillId="0" borderId="41" xfId="0" applyFont="1" applyBorder="1" applyAlignment="1">
      <alignment vertical="center"/>
    </xf>
    <xf numFmtId="165" fontId="22" fillId="0" borderId="42" xfId="0" applyNumberFormat="1" applyFont="1" applyBorder="1" applyAlignment="1">
      <alignment vertical="center"/>
    </xf>
    <xf numFmtId="165" fontId="22" fillId="0" borderId="29" xfId="0" applyNumberFormat="1" applyFont="1" applyBorder="1" applyAlignment="1">
      <alignment vertical="center"/>
    </xf>
    <xf numFmtId="165" fontId="22" fillId="0" borderId="34" xfId="0" applyNumberFormat="1" applyFont="1" applyBorder="1" applyAlignment="1">
      <alignment vertical="center"/>
    </xf>
    <xf numFmtId="165" fontId="22" fillId="0" borderId="36" xfId="0" applyNumberFormat="1" applyFont="1" applyBorder="1" applyAlignment="1">
      <alignment vertical="center"/>
    </xf>
    <xf numFmtId="165" fontId="22" fillId="0" borderId="37" xfId="0" applyNumberFormat="1" applyFont="1" applyBorder="1" applyAlignment="1">
      <alignment vertical="center"/>
    </xf>
    <xf numFmtId="0" fontId="23" fillId="0" borderId="38" xfId="0" applyFont="1" applyBorder="1"/>
    <xf numFmtId="0" fontId="22" fillId="0" borderId="30" xfId="0" applyFont="1" applyBorder="1"/>
    <xf numFmtId="166" fontId="22" fillId="0" borderId="31" xfId="0" applyNumberFormat="1" applyFont="1" applyBorder="1"/>
    <xf numFmtId="0" fontId="23" fillId="0" borderId="44" xfId="0" applyFont="1" applyBorder="1"/>
    <xf numFmtId="0" fontId="23" fillId="0" borderId="45" xfId="0" applyFont="1" applyBorder="1" applyAlignment="1">
      <alignment horizontal="center"/>
    </xf>
    <xf numFmtId="0" fontId="22" fillId="0" borderId="41" xfId="0" applyFont="1" applyBorder="1" applyAlignment="1">
      <alignment horizontal="center" vertical="center"/>
    </xf>
    <xf numFmtId="166" fontId="22" fillId="0" borderId="42" xfId="0" applyNumberFormat="1" applyFont="1" applyBorder="1"/>
    <xf numFmtId="166" fontId="22" fillId="0" borderId="43" xfId="0" applyNumberFormat="1" applyFont="1" applyBorder="1"/>
    <xf numFmtId="0" fontId="23" fillId="0" borderId="38" xfId="0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2" fillId="0" borderId="41" xfId="0" applyFont="1" applyBorder="1"/>
    <xf numFmtId="166" fontId="22" fillId="0" borderId="29" xfId="0" applyNumberFormat="1" applyFont="1" applyBorder="1" applyAlignment="1">
      <alignment horizontal="center" vertical="center"/>
    </xf>
    <xf numFmtId="0" fontId="23" fillId="0" borderId="29" xfId="0" applyFont="1" applyBorder="1"/>
    <xf numFmtId="0" fontId="23" fillId="0" borderId="29" xfId="0" applyFont="1" applyBorder="1" applyAlignment="1">
      <alignment horizontal="center" vertical="center"/>
    </xf>
    <xf numFmtId="166" fontId="23" fillId="0" borderId="29" xfId="0" applyNumberFormat="1" applyFont="1" applyBorder="1"/>
    <xf numFmtId="166" fontId="22" fillId="0" borderId="0" xfId="0" applyNumberFormat="1" applyFont="1"/>
    <xf numFmtId="166" fontId="22" fillId="0" borderId="42" xfId="0" applyNumberFormat="1" applyFont="1" applyBorder="1" applyAlignment="1">
      <alignment horizontal="center" vertical="center"/>
    </xf>
    <xf numFmtId="166" fontId="22" fillId="0" borderId="34" xfId="0" applyNumberFormat="1" applyFont="1" applyBorder="1" applyAlignment="1">
      <alignment horizontal="center" vertical="center"/>
    </xf>
    <xf numFmtId="166" fontId="22" fillId="0" borderId="36" xfId="0" applyNumberFormat="1" applyFont="1" applyBorder="1" applyAlignment="1">
      <alignment horizontal="center" vertical="center"/>
    </xf>
    <xf numFmtId="166" fontId="22" fillId="0" borderId="37" xfId="0" applyNumberFormat="1" applyFont="1" applyBorder="1" applyAlignment="1">
      <alignment horizontal="center" vertical="center"/>
    </xf>
    <xf numFmtId="0" fontId="23" fillId="0" borderId="30" xfId="0" applyFont="1" applyBorder="1" applyAlignment="1">
      <alignment horizontal="left" vertical="center"/>
    </xf>
    <xf numFmtId="0" fontId="23" fillId="0" borderId="31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 wrapText="1"/>
    </xf>
    <xf numFmtId="0" fontId="22" fillId="0" borderId="35" xfId="0" applyFont="1" applyBorder="1" applyAlignment="1">
      <alignment horizontal="left" vertical="center"/>
    </xf>
    <xf numFmtId="0" fontId="23" fillId="2" borderId="36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75" xfId="0" applyFont="1" applyBorder="1" applyAlignment="1">
      <alignment horizontal="center"/>
    </xf>
    <xf numFmtId="0" fontId="22" fillId="0" borderId="76" xfId="0" applyFont="1" applyBorder="1" applyAlignment="1">
      <alignment horizontal="center"/>
    </xf>
    <xf numFmtId="0" fontId="22" fillId="0" borderId="77" xfId="0" applyFont="1" applyBorder="1" applyAlignment="1">
      <alignment horizontal="center"/>
    </xf>
    <xf numFmtId="9" fontId="22" fillId="0" borderId="47" xfId="0" applyNumberFormat="1" applyFont="1" applyBorder="1" applyAlignment="1">
      <alignment horizontal="center" vertical="center"/>
    </xf>
    <xf numFmtId="9" fontId="22" fillId="0" borderId="23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4" fillId="0" borderId="13" xfId="0" applyFont="1" applyBorder="1"/>
    <xf numFmtId="0" fontId="24" fillId="0" borderId="14" xfId="0" applyFont="1" applyBorder="1"/>
    <xf numFmtId="0" fontId="23" fillId="0" borderId="20" xfId="0" applyFont="1" applyBorder="1" applyAlignment="1">
      <alignment horizontal="center" vertical="center"/>
    </xf>
    <xf numFmtId="0" fontId="24" fillId="0" borderId="21" xfId="0" applyFont="1" applyBorder="1"/>
    <xf numFmtId="0" fontId="24" fillId="0" borderId="22" xfId="0" applyFont="1" applyBorder="1"/>
    <xf numFmtId="0" fontId="22" fillId="0" borderId="44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2" fillId="0" borderId="90" xfId="0" applyFont="1" applyBorder="1" applyAlignment="1">
      <alignment horizontal="center"/>
    </xf>
    <xf numFmtId="0" fontId="22" fillId="0" borderId="91" xfId="0" applyFont="1" applyBorder="1" applyAlignment="1">
      <alignment horizontal="center"/>
    </xf>
    <xf numFmtId="0" fontId="22" fillId="0" borderId="92" xfId="0" applyFont="1" applyBorder="1" applyAlignment="1">
      <alignment horizontal="center"/>
    </xf>
    <xf numFmtId="0" fontId="23" fillId="0" borderId="87" xfId="0" applyFont="1" applyBorder="1" applyAlignment="1">
      <alignment horizontal="center" vertical="center"/>
    </xf>
    <xf numFmtId="0" fontId="23" fillId="0" borderId="88" xfId="0" applyFont="1" applyBorder="1" applyAlignment="1">
      <alignment horizontal="center" vertical="center"/>
    </xf>
    <xf numFmtId="0" fontId="23" fillId="0" borderId="89" xfId="0" applyFont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7" fillId="0" borderId="20" xfId="0" applyFont="1" applyBorder="1" applyAlignment="1">
      <alignment horizontal="left"/>
    </xf>
    <xf numFmtId="0" fontId="5" fillId="0" borderId="21" xfId="0" applyFont="1" applyBorder="1"/>
    <xf numFmtId="0" fontId="5" fillId="0" borderId="22" xfId="0" applyFont="1" applyBorder="1"/>
    <xf numFmtId="0" fontId="3" fillId="0" borderId="12" xfId="0" applyFont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3" fillId="0" borderId="20" xfId="0" applyFont="1" applyBorder="1" applyAlignment="1">
      <alignment horizontal="center"/>
    </xf>
    <xf numFmtId="0" fontId="18" fillId="5" borderId="98" xfId="6" applyFont="1" applyFill="1" applyBorder="1" applyAlignment="1">
      <alignment horizontal="center" vertical="center"/>
    </xf>
    <xf numFmtId="0" fontId="18" fillId="5" borderId="99" xfId="6" applyFont="1" applyFill="1" applyBorder="1" applyAlignment="1">
      <alignment horizontal="center" vertical="center"/>
    </xf>
    <xf numFmtId="0" fontId="18" fillId="5" borderId="100" xfId="6" applyFont="1" applyFill="1" applyBorder="1" applyAlignment="1">
      <alignment horizontal="center" vertical="center"/>
    </xf>
    <xf numFmtId="0" fontId="18" fillId="5" borderId="83" xfId="6" applyFont="1" applyFill="1" applyBorder="1" applyAlignment="1">
      <alignment horizontal="center" vertical="center"/>
    </xf>
    <xf numFmtId="0" fontId="18" fillId="5" borderId="84" xfId="6" applyFont="1" applyFill="1" applyBorder="1" applyAlignment="1">
      <alignment horizontal="center" vertical="center"/>
    </xf>
    <xf numFmtId="0" fontId="18" fillId="5" borderId="85" xfId="6" applyFont="1" applyFill="1" applyBorder="1" applyAlignment="1">
      <alignment horizontal="center" vertical="center"/>
    </xf>
    <xf numFmtId="0" fontId="18" fillId="9" borderId="101" xfId="6" applyFont="1" applyFill="1" applyBorder="1" applyAlignment="1">
      <alignment horizontal="center" vertical="center"/>
    </xf>
    <xf numFmtId="0" fontId="18" fillId="9" borderId="86" xfId="6" applyFont="1" applyFill="1" applyBorder="1" applyAlignment="1">
      <alignment horizontal="center" vertical="center"/>
    </xf>
    <xf numFmtId="0" fontId="18" fillId="9" borderId="102" xfId="6" applyFont="1" applyFill="1" applyBorder="1" applyAlignment="1">
      <alignment horizontal="center" vertical="center"/>
    </xf>
    <xf numFmtId="0" fontId="18" fillId="9" borderId="26" xfId="6" applyFont="1" applyFill="1" applyBorder="1" applyAlignment="1">
      <alignment horizontal="center" vertical="center"/>
    </xf>
    <xf numFmtId="0" fontId="18" fillId="9" borderId="15" xfId="6" applyFont="1" applyFill="1" applyBorder="1" applyAlignment="1">
      <alignment horizontal="center" vertical="center"/>
    </xf>
    <xf numFmtId="0" fontId="18" fillId="9" borderId="28" xfId="6" applyFont="1" applyFill="1" applyBorder="1" applyAlignment="1">
      <alignment horizontal="center" vertical="center"/>
    </xf>
    <xf numFmtId="0" fontId="18" fillId="9" borderId="27" xfId="6" applyFont="1" applyFill="1" applyBorder="1" applyAlignment="1">
      <alignment horizontal="center" vertical="center"/>
    </xf>
    <xf numFmtId="0" fontId="12" fillId="14" borderId="65" xfId="0" applyFont="1" applyFill="1" applyBorder="1" applyAlignment="1">
      <alignment horizontal="center" vertical="center"/>
    </xf>
    <xf numFmtId="0" fontId="5" fillId="15" borderId="66" xfId="0" applyFont="1" applyFill="1" applyBorder="1"/>
    <xf numFmtId="0" fontId="5" fillId="15" borderId="23" xfId="0" applyFont="1" applyFill="1" applyBorder="1"/>
    <xf numFmtId="0" fontId="5" fillId="14" borderId="66" xfId="0" applyFont="1" applyFill="1" applyBorder="1"/>
    <xf numFmtId="0" fontId="5" fillId="14" borderId="23" xfId="0" applyFont="1" applyFill="1" applyBorder="1"/>
    <xf numFmtId="0" fontId="13" fillId="14" borderId="65" xfId="0" applyFont="1" applyFill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5" fillId="0" borderId="66" xfId="0" applyFont="1" applyBorder="1"/>
    <xf numFmtId="0" fontId="5" fillId="0" borderId="23" xfId="0" applyFont="1" applyBorder="1"/>
    <xf numFmtId="0" fontId="12" fillId="14" borderId="66" xfId="0" applyFont="1" applyFill="1" applyBorder="1" applyAlignment="1">
      <alignment horizontal="center" vertical="center"/>
    </xf>
    <xf numFmtId="0" fontId="10" fillId="14" borderId="86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5" fillId="0" borderId="24" xfId="0" applyFont="1" applyBorder="1"/>
    <xf numFmtId="0" fontId="20" fillId="4" borderId="67" xfId="0" applyFont="1" applyFill="1" applyBorder="1" applyAlignment="1">
      <alignment horizontal="center" vertical="center"/>
    </xf>
    <xf numFmtId="0" fontId="21" fillId="0" borderId="68" xfId="0" applyFont="1" applyBorder="1"/>
    <xf numFmtId="0" fontId="21" fillId="0" borderId="69" xfId="0" applyFont="1" applyBorder="1"/>
    <xf numFmtId="0" fontId="21" fillId="0" borderId="70" xfId="0" applyFont="1" applyBorder="1"/>
    <xf numFmtId="0" fontId="21" fillId="0" borderId="72" xfId="0" applyFont="1" applyBorder="1"/>
    <xf numFmtId="0" fontId="21" fillId="0" borderId="73" xfId="0" applyFont="1" applyBorder="1"/>
    <xf numFmtId="0" fontId="12" fillId="13" borderId="72" xfId="0" applyFont="1" applyFill="1" applyBorder="1" applyAlignment="1">
      <alignment horizontal="center" vertical="center"/>
    </xf>
    <xf numFmtId="0" fontId="5" fillId="10" borderId="73" xfId="0" applyFont="1" applyFill="1" applyBorder="1"/>
    <xf numFmtId="0" fontId="20" fillId="13" borderId="72" xfId="0" applyFont="1" applyFill="1" applyBorder="1" applyAlignment="1">
      <alignment horizontal="center" vertical="center"/>
    </xf>
    <xf numFmtId="0" fontId="21" fillId="13" borderId="73" xfId="0" applyFont="1" applyFill="1" applyBorder="1"/>
    <xf numFmtId="0" fontId="5" fillId="0" borderId="71" xfId="0" applyFont="1" applyBorder="1"/>
    <xf numFmtId="0" fontId="5" fillId="13" borderId="73" xfId="0" applyFont="1" applyFill="1" applyBorder="1"/>
    <xf numFmtId="0" fontId="8" fillId="0" borderId="83" xfId="0" applyFont="1" applyBorder="1" applyAlignment="1">
      <alignment horizontal="center"/>
    </xf>
    <xf numFmtId="0" fontId="8" fillId="0" borderId="84" xfId="0" applyFont="1" applyBorder="1" applyAlignment="1">
      <alignment horizontal="center"/>
    </xf>
    <xf numFmtId="0" fontId="8" fillId="0" borderId="85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8" fillId="0" borderId="0" xfId="4" applyFont="1" applyAlignment="1">
      <alignment horizontal="center" vertical="center"/>
    </xf>
  </cellXfs>
  <cellStyles count="7">
    <cellStyle name="Comma" xfId="2" builtinId="3"/>
    <cellStyle name="Currency" xfId="1" builtinId="4"/>
    <cellStyle name="Normal" xfId="0" builtinId="0"/>
    <cellStyle name="Normal 2" xfId="4" xr:uid="{B39CFE06-1D5E-4DBD-BDF6-807844D06719}"/>
    <cellStyle name="Normal 3" xfId="6" xr:uid="{D5A225E7-5856-458A-A781-CFCBDD9DE487}"/>
    <cellStyle name="Percent" xfId="3" builtinId="5"/>
    <cellStyle name="Percent 2" xfId="5" xr:uid="{E7BEAD02-9CA1-42FA-8EE8-6A5C03A47FE2}"/>
  </cellStyles>
  <dxfs count="12">
    <dxf>
      <font>
        <color theme="4" tint="-0.499984740745262"/>
      </font>
      <fill>
        <patternFill>
          <bgColor theme="4" tint="0.59996337778862885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Argon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663969087197432"/>
          <c:y val="0.15588098558809857"/>
          <c:w val="0.77098558145918028"/>
          <c:h val="0.586293135952148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'Sensitivity Analysis'!$C$28</c:f>
              <c:strCache>
                <c:ptCount val="1"/>
                <c:pt idx="0">
                  <c:v>CNC Milling 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xVal>
            <c:numRef>
              <c:f>'Sensitivity Analysis'!$B$30:$B$40</c:f>
              <c:numCache>
                <c:formatCode>General</c:formatCode>
                <c:ptCount val="10"/>
                <c:pt idx="0">
                  <c:v>26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42</c:v>
                </c:pt>
                <c:pt idx="5">
                  <c:v>46</c:v>
                </c:pt>
                <c:pt idx="6">
                  <c:v>49</c:v>
                </c:pt>
                <c:pt idx="7">
                  <c:v>54</c:v>
                </c:pt>
                <c:pt idx="8">
                  <c:v>58</c:v>
                </c:pt>
                <c:pt idx="9">
                  <c:v>62</c:v>
                </c:pt>
              </c:numCache>
            </c:numRef>
          </c:xVal>
          <c:yVal>
            <c:numRef>
              <c:f>'Sensitivity Analysis'!$C$30:$C$40</c:f>
              <c:numCache>
                <c:formatCode>_ [$€-2]\ * #,##0_ ;_ [$€-2]\ * \-#,##0_ ;_ [$€-2]\ * "-"??_ ;_ @_ </c:formatCode>
                <c:ptCount val="10"/>
                <c:pt idx="0">
                  <c:v>665788.88888888888</c:v>
                </c:pt>
                <c:pt idx="1">
                  <c:v>665788.88888888888</c:v>
                </c:pt>
                <c:pt idx="2">
                  <c:v>665788.88888888888</c:v>
                </c:pt>
                <c:pt idx="3">
                  <c:v>665788.88888888888</c:v>
                </c:pt>
                <c:pt idx="4">
                  <c:v>665788.88888888888</c:v>
                </c:pt>
                <c:pt idx="5">
                  <c:v>665788.88888888888</c:v>
                </c:pt>
                <c:pt idx="6">
                  <c:v>665788.88888888888</c:v>
                </c:pt>
                <c:pt idx="7">
                  <c:v>665788.88888888888</c:v>
                </c:pt>
                <c:pt idx="8">
                  <c:v>665788.88888888888</c:v>
                </c:pt>
                <c:pt idx="9">
                  <c:v>665788.88888888888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95-42F1-8514-E6EA92E08F50}"/>
            </c:ext>
          </c:extLst>
        </c:ser>
        <c:ser>
          <c:idx val="1"/>
          <c:order val="1"/>
          <c:tx>
            <c:strRef>
              <c:f>'Sensitivity Analysis'!$D$28</c:f>
              <c:strCache>
                <c:ptCount val="1"/>
                <c:pt idx="0">
                  <c:v>Water Jet Cutting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xVal>
            <c:numRef>
              <c:f>'Sensitivity Analysis'!$B$30:$B$40</c:f>
              <c:numCache>
                <c:formatCode>General</c:formatCode>
                <c:ptCount val="10"/>
                <c:pt idx="0">
                  <c:v>26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42</c:v>
                </c:pt>
                <c:pt idx="5">
                  <c:v>46</c:v>
                </c:pt>
                <c:pt idx="6">
                  <c:v>49</c:v>
                </c:pt>
                <c:pt idx="7">
                  <c:v>54</c:v>
                </c:pt>
                <c:pt idx="8">
                  <c:v>58</c:v>
                </c:pt>
                <c:pt idx="9">
                  <c:v>62</c:v>
                </c:pt>
              </c:numCache>
            </c:numRef>
          </c:xVal>
          <c:yVal>
            <c:numRef>
              <c:f>'Sensitivity Analysis'!$D$30:$D$40</c:f>
              <c:numCache>
                <c:formatCode>_ [$€-2]\ * #,##0_ ;_ [$€-2]\ * \-#,##0_ ;_ [$€-2]\ * "-"??_ ;_ @_ </c:formatCode>
                <c:ptCount val="10"/>
                <c:pt idx="0">
                  <c:v>706352.77777777775</c:v>
                </c:pt>
                <c:pt idx="1">
                  <c:v>706352.77777777775</c:v>
                </c:pt>
                <c:pt idx="2">
                  <c:v>706352.77777777775</c:v>
                </c:pt>
                <c:pt idx="3">
                  <c:v>706352.77777777775</c:v>
                </c:pt>
                <c:pt idx="4">
                  <c:v>706352.77777777775</c:v>
                </c:pt>
                <c:pt idx="5">
                  <c:v>706352.77777777775</c:v>
                </c:pt>
                <c:pt idx="6">
                  <c:v>706352.77777777775</c:v>
                </c:pt>
                <c:pt idx="7">
                  <c:v>706352.77777777775</c:v>
                </c:pt>
                <c:pt idx="8">
                  <c:v>706352.77777777775</c:v>
                </c:pt>
                <c:pt idx="9">
                  <c:v>706352.77777777775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95-42F1-8514-E6EA92E08F50}"/>
            </c:ext>
          </c:extLst>
        </c:ser>
        <c:ser>
          <c:idx val="2"/>
          <c:order val="2"/>
          <c:tx>
            <c:strRef>
              <c:f>'Sensitivity Analysis'!$E$28</c:f>
              <c:strCache>
                <c:ptCount val="1"/>
                <c:pt idx="0">
                  <c:v>3D Printing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round/>
              </a:ln>
              <a:effectLst/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3.7593844889633542E-2"/>
                      <c:h val="6.093630420533726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3F95-42F1-8514-E6EA92E08F50}"/>
                </c:ext>
              </c:extLst>
            </c:dLbl>
            <c:dLbl>
              <c:idx val="3"/>
              <c:layout>
                <c:manualLayout>
                  <c:x val="2.1508810906559119E-3"/>
                  <c:y val="5.656305927467155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C38-42C0-A409-634867E536EC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5.4727298389540796E-2"/>
                      <c:h val="7.000623879885464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3F95-42F1-8514-E6EA92E08F50}"/>
                </c:ext>
              </c:extLst>
            </c:dLbl>
            <c:dLbl>
              <c:idx val="7"/>
              <c:layout>
                <c:manualLayout>
                  <c:x val="-3.6244294025783892E-2"/>
                  <c:y val="7.1373376317299467E-2"/>
                </c:manualLayout>
              </c:layout>
              <c:spPr>
                <a:solidFill>
                  <a:srgbClr val="00B050"/>
                </a:solidFill>
                <a:ln w="952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8089394344063401E-2"/>
                      <c:h val="6.5334416097757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F093-401B-B669-C6950383EFFA}"/>
                </c:ext>
              </c:extLst>
            </c:dLbl>
            <c:dLbl>
              <c:idx val="8"/>
              <c:layout>
                <c:manualLayout>
                  <c:x val="-5.5922908357053713E-2"/>
                  <c:y val="-8.013100063911807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38-42C0-A409-634867E536EC}"/>
                </c:ext>
              </c:extLst>
            </c:dLbl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/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'Sensitivity Analysis'!$B$30:$B$40</c:f>
              <c:numCache>
                <c:formatCode>General</c:formatCode>
                <c:ptCount val="10"/>
                <c:pt idx="0">
                  <c:v>26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42</c:v>
                </c:pt>
                <c:pt idx="5">
                  <c:v>46</c:v>
                </c:pt>
                <c:pt idx="6">
                  <c:v>49</c:v>
                </c:pt>
                <c:pt idx="7">
                  <c:v>54</c:v>
                </c:pt>
                <c:pt idx="8">
                  <c:v>58</c:v>
                </c:pt>
                <c:pt idx="9">
                  <c:v>62</c:v>
                </c:pt>
              </c:numCache>
            </c:numRef>
          </c:xVal>
          <c:yVal>
            <c:numRef>
              <c:f>'Sensitivity Analysis'!$E$30:$E$40</c:f>
              <c:numCache>
                <c:formatCode>_ [$€-2]\ * #,##0_ ;_ [$€-2]\ * \-#,##0_ ;_ [$€-2]\ * "-"??_ ;_ @_ </c:formatCode>
                <c:ptCount val="10"/>
                <c:pt idx="0">
                  <c:v>636244.4444444445</c:v>
                </c:pt>
                <c:pt idx="1">
                  <c:v>644244.4444444445</c:v>
                </c:pt>
                <c:pt idx="2">
                  <c:v>652244.4444444445</c:v>
                </c:pt>
                <c:pt idx="3">
                  <c:v>660244.4444444445</c:v>
                </c:pt>
                <c:pt idx="4">
                  <c:v>668244.4444444445</c:v>
                </c:pt>
                <c:pt idx="5">
                  <c:v>676244.4444444445</c:v>
                </c:pt>
                <c:pt idx="6">
                  <c:v>682244.4444444445</c:v>
                </c:pt>
                <c:pt idx="7">
                  <c:v>692244.4444444445</c:v>
                </c:pt>
                <c:pt idx="8">
                  <c:v>700244.4444444445</c:v>
                </c:pt>
                <c:pt idx="9">
                  <c:v>708244.4444444445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95-42F1-8514-E6EA92E0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624287"/>
        <c:axId val="1294629695"/>
      </c:scatterChart>
      <c:valAx>
        <c:axId val="1294624287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 Cost</a:t>
                </a:r>
              </a:p>
            </c:rich>
          </c:tx>
          <c:layout>
            <c:manualLayout>
              <c:xMode val="edge"/>
              <c:yMode val="edge"/>
              <c:x val="1.8067992726399397E-2"/>
              <c:y val="0.24286305216032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629695"/>
        <c:crosses val="autoZero"/>
        <c:crossBetween val="midCat"/>
      </c:valAx>
      <c:valAx>
        <c:axId val="129462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Argon Lit/Hr</a:t>
                </a:r>
              </a:p>
            </c:rich>
          </c:tx>
          <c:layout>
            <c:manualLayout>
              <c:xMode val="edge"/>
              <c:yMode val="edge"/>
              <c:x val="0.47657952069716775"/>
              <c:y val="0.81837892648356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€-2]\ * #,##0_ ;_ [$€-2]\ * \-#,##0_ ;_ [$€-2]\ * &quot;-&quot;??_ ;_ @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62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24011226288224"/>
          <c:y val="0.9108903825384258"/>
          <c:w val="0.56783716399149209"/>
          <c:h val="5.89823989358728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rPr>
              <a:t>Abrasive Consumption</a:t>
            </a:r>
          </a:p>
        </c:rich>
      </c:tx>
      <c:layout>
        <c:manualLayout>
          <c:xMode val="edge"/>
          <c:yMode val="edge"/>
          <c:x val="0.3279350857004943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35950760277442"/>
          <c:y val="0.15690411546963201"/>
          <c:w val="0.77457609105756609"/>
          <c:h val="0.53176808166923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'Sensitivity Analysis'!$C$43</c:f>
              <c:strCache>
                <c:ptCount val="1"/>
                <c:pt idx="0">
                  <c:v>CNC Milling 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'Sensitivity Analysis'!$B$45:$B$55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xVal>
          <c:yVal>
            <c:numRef>
              <c:f>'Sensitivity Analysis'!$C$45:$C$55</c:f>
              <c:numCache>
                <c:formatCode>_ [$€-2]\ * #,##0.00_ ;_ [$€-2]\ * \-#,##0.00_ ;_ [$€-2]\ * "-"??_ ;_ @_ </c:formatCode>
                <c:ptCount val="11"/>
                <c:pt idx="0">
                  <c:v>665788.88888888888</c:v>
                </c:pt>
                <c:pt idx="1">
                  <c:v>665788.88888888888</c:v>
                </c:pt>
                <c:pt idx="2">
                  <c:v>665788.88888888888</c:v>
                </c:pt>
                <c:pt idx="3">
                  <c:v>665788.88888888888</c:v>
                </c:pt>
                <c:pt idx="4">
                  <c:v>665788.88888888888</c:v>
                </c:pt>
                <c:pt idx="5">
                  <c:v>665788.88888888888</c:v>
                </c:pt>
                <c:pt idx="6">
                  <c:v>665788.88888888888</c:v>
                </c:pt>
                <c:pt idx="7">
                  <c:v>665788.88888888888</c:v>
                </c:pt>
                <c:pt idx="8">
                  <c:v>665788.88888888888</c:v>
                </c:pt>
                <c:pt idx="9">
                  <c:v>665788.88888888888</c:v>
                </c:pt>
                <c:pt idx="10">
                  <c:v>665788.88888888888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A7-4238-8B7B-6404A002662F}"/>
            </c:ext>
          </c:extLst>
        </c:ser>
        <c:ser>
          <c:idx val="1"/>
          <c:order val="1"/>
          <c:tx>
            <c:strRef>
              <c:f>'Sensitivity Analysis'!$D$43</c:f>
              <c:strCache>
                <c:ptCount val="1"/>
                <c:pt idx="0">
                  <c:v>Water Jet Cutting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2.2591557258520186E-2"/>
                  <c:y val="6.1064557553807824E-2"/>
                </c:manualLayout>
              </c:layout>
              <c:spPr>
                <a:solidFill>
                  <a:schemeClr val="accent4">
                    <a:lumMod val="40000"/>
                    <a:lumOff val="60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396-4C5E-B8A5-4B75355593F3}"/>
                </c:ext>
              </c:extLst>
            </c:dLbl>
            <c:dLbl>
              <c:idx val="7"/>
              <c:layout>
                <c:manualLayout>
                  <c:x val="-5.9665240665579371E-2"/>
                  <c:y val="-4.9318044632236803E-2"/>
                </c:manualLayout>
              </c:layout>
              <c:spPr>
                <a:solidFill>
                  <a:srgbClr val="00B050"/>
                </a:solidFill>
                <a:ln w="952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7214456138580522E-2"/>
                      <c:h val="6.09942833809718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B9B0-4C4B-B55D-81792F3CCAA5}"/>
                </c:ext>
              </c:extLst>
            </c:dLbl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'Sensitivity Analysis'!$B$45:$B$55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xVal>
          <c:yVal>
            <c:numRef>
              <c:f>'Sensitivity Analysis'!$D$45:$D$55</c:f>
              <c:numCache>
                <c:formatCode>_ [$€-2]\ * #,##0.00_ ;_ [$€-2]\ * \-#,##0.00_ ;_ [$€-2]\ * "-"??_ ;_ @_ </c:formatCode>
                <c:ptCount val="11"/>
                <c:pt idx="0">
                  <c:v>686665.27777777775</c:v>
                </c:pt>
                <c:pt idx="1">
                  <c:v>689477.77777777775</c:v>
                </c:pt>
                <c:pt idx="2">
                  <c:v>692290.27777777775</c:v>
                </c:pt>
                <c:pt idx="3">
                  <c:v>695102.77777777775</c:v>
                </c:pt>
                <c:pt idx="4">
                  <c:v>697915.27777777775</c:v>
                </c:pt>
                <c:pt idx="5">
                  <c:v>700727.77777777775</c:v>
                </c:pt>
                <c:pt idx="6">
                  <c:v>703540.27777777775</c:v>
                </c:pt>
                <c:pt idx="7">
                  <c:v>706352.77777777775</c:v>
                </c:pt>
                <c:pt idx="8">
                  <c:v>709165.27777777775</c:v>
                </c:pt>
                <c:pt idx="9">
                  <c:v>711977.77777777775</c:v>
                </c:pt>
                <c:pt idx="10">
                  <c:v>714790.27777777775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A7-4238-8B7B-6404A002662F}"/>
            </c:ext>
          </c:extLst>
        </c:ser>
        <c:ser>
          <c:idx val="2"/>
          <c:order val="2"/>
          <c:tx>
            <c:strRef>
              <c:f>'Sensitivity Analysis'!$E$43</c:f>
              <c:strCache>
                <c:ptCount val="1"/>
                <c:pt idx="0">
                  <c:v>3D Printing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'Sensitivity Analysis'!$B$45:$B$55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xVal>
          <c:yVal>
            <c:numRef>
              <c:f>'Sensitivity Analysis'!$E$45:$E$55</c:f>
              <c:numCache>
                <c:formatCode>_ [$€-2]\ * #,##0.00_ ;_ [$€-2]\ * \-#,##0.00_ ;_ [$€-2]\ * "-"??_ ;_ @_ </c:formatCode>
                <c:ptCount val="11"/>
                <c:pt idx="0">
                  <c:v>682244.4444444445</c:v>
                </c:pt>
                <c:pt idx="1">
                  <c:v>682244.4444444445</c:v>
                </c:pt>
                <c:pt idx="2">
                  <c:v>682244.4444444445</c:v>
                </c:pt>
                <c:pt idx="3">
                  <c:v>682244.4444444445</c:v>
                </c:pt>
                <c:pt idx="4">
                  <c:v>682244.4444444445</c:v>
                </c:pt>
                <c:pt idx="5">
                  <c:v>682244.4444444445</c:v>
                </c:pt>
                <c:pt idx="6">
                  <c:v>682244.4444444445</c:v>
                </c:pt>
                <c:pt idx="7">
                  <c:v>682244.4444444445</c:v>
                </c:pt>
                <c:pt idx="8">
                  <c:v>682244.4444444445</c:v>
                </c:pt>
                <c:pt idx="9">
                  <c:v>682244.4444444445</c:v>
                </c:pt>
                <c:pt idx="10">
                  <c:v>682244.4444444445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A7-4238-8B7B-6404A0026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514111"/>
        <c:axId val="1626515775"/>
      </c:scatterChart>
      <c:valAx>
        <c:axId val="1626514111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Abrasive Consumption Kg/Hr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15775"/>
        <c:crosses val="autoZero"/>
        <c:crossBetween val="midCat"/>
      </c:valAx>
      <c:valAx>
        <c:axId val="162651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7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Cost</a:t>
                </a:r>
              </a:p>
            </c:rich>
          </c:tx>
          <c:layout>
            <c:manualLayout>
              <c:xMode val="edge"/>
              <c:yMode val="edge"/>
              <c:x val="2.4630541871921183E-2"/>
              <c:y val="0.3352117964421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 [$€-2]\ * #,##0_ ;_ [$€-2]\ * \-#,##0_ ;_ [$€-2]\ * &quot;-&quot;_ ;_ @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2651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Aluminum Powder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19605576825831"/>
          <c:y val="0.13685451083320466"/>
          <c:w val="0.78754003226660896"/>
          <c:h val="0.624856122486224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'Sensitivity Analysis'!$C$83</c:f>
              <c:strCache>
                <c:ptCount val="1"/>
                <c:pt idx="0">
                  <c:v>CNC Milling 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'Sensitivity Analysis'!$B$85:$B$97</c:f>
              <c:numCache>
                <c:formatCode>General</c:formatCode>
                <c:ptCount val="13"/>
                <c:pt idx="0">
                  <c:v>110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150</c:v>
                </c:pt>
                <c:pt idx="5">
                  <c:v>160</c:v>
                </c:pt>
                <c:pt idx="6">
                  <c:v>170</c:v>
                </c:pt>
                <c:pt idx="7">
                  <c:v>180</c:v>
                </c:pt>
                <c:pt idx="8">
                  <c:v>190</c:v>
                </c:pt>
                <c:pt idx="9">
                  <c:v>200</c:v>
                </c:pt>
                <c:pt idx="10">
                  <c:v>210</c:v>
                </c:pt>
                <c:pt idx="11">
                  <c:v>220</c:v>
                </c:pt>
                <c:pt idx="12">
                  <c:v>230</c:v>
                </c:pt>
              </c:numCache>
            </c:numRef>
          </c:xVal>
          <c:yVal>
            <c:numRef>
              <c:f>'Sensitivity Analysis'!$C$85:$C$97</c:f>
              <c:numCache>
                <c:formatCode>_ [$€-2]\ * #,##0.00_ ;_ [$€-2]\ * \-#,##0.00_ ;_ [$€-2]\ * "-"??_ ;_ @_ </c:formatCode>
                <c:ptCount val="13"/>
                <c:pt idx="0">
                  <c:v>665788.88888888888</c:v>
                </c:pt>
                <c:pt idx="1">
                  <c:v>665788.88888888888</c:v>
                </c:pt>
                <c:pt idx="2">
                  <c:v>665788.88888888888</c:v>
                </c:pt>
                <c:pt idx="3">
                  <c:v>665788.88888888888</c:v>
                </c:pt>
                <c:pt idx="4">
                  <c:v>665788.88888888888</c:v>
                </c:pt>
                <c:pt idx="5">
                  <c:v>665788.88888888888</c:v>
                </c:pt>
                <c:pt idx="6">
                  <c:v>665788.88888888888</c:v>
                </c:pt>
                <c:pt idx="7">
                  <c:v>665788.88888888888</c:v>
                </c:pt>
                <c:pt idx="8">
                  <c:v>665788.88888888888</c:v>
                </c:pt>
                <c:pt idx="9">
                  <c:v>665788.88888888888</c:v>
                </c:pt>
                <c:pt idx="10">
                  <c:v>665788.88888888888</c:v>
                </c:pt>
                <c:pt idx="11">
                  <c:v>665788.88888888888</c:v>
                </c:pt>
                <c:pt idx="12">
                  <c:v>665788.88888888888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9B-454C-ACBB-6E7D656C2A79}"/>
            </c:ext>
          </c:extLst>
        </c:ser>
        <c:ser>
          <c:idx val="1"/>
          <c:order val="1"/>
          <c:tx>
            <c:strRef>
              <c:f>'Sensitivity Analysis'!$D$83</c:f>
              <c:strCache>
                <c:ptCount val="1"/>
                <c:pt idx="0">
                  <c:v>Water Jet Cutting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'Sensitivity Analysis'!$B$85:$B$97</c:f>
              <c:numCache>
                <c:formatCode>General</c:formatCode>
                <c:ptCount val="13"/>
                <c:pt idx="0">
                  <c:v>110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150</c:v>
                </c:pt>
                <c:pt idx="5">
                  <c:v>160</c:v>
                </c:pt>
                <c:pt idx="6">
                  <c:v>170</c:v>
                </c:pt>
                <c:pt idx="7">
                  <c:v>180</c:v>
                </c:pt>
                <c:pt idx="8">
                  <c:v>190</c:v>
                </c:pt>
                <c:pt idx="9">
                  <c:v>200</c:v>
                </c:pt>
                <c:pt idx="10">
                  <c:v>210</c:v>
                </c:pt>
                <c:pt idx="11">
                  <c:v>220</c:v>
                </c:pt>
                <c:pt idx="12">
                  <c:v>230</c:v>
                </c:pt>
              </c:numCache>
            </c:numRef>
          </c:xVal>
          <c:yVal>
            <c:numRef>
              <c:f>'Sensitivity Analysis'!$D$85:$D$97</c:f>
              <c:numCache>
                <c:formatCode>_ [$€-2]\ * #,##0.00_ ;_ [$€-2]\ * \-#,##0.00_ ;_ [$€-2]\ * "-"??_ ;_ @_ </c:formatCode>
                <c:ptCount val="13"/>
                <c:pt idx="0">
                  <c:v>706352.77777777775</c:v>
                </c:pt>
                <c:pt idx="1">
                  <c:v>706352.77777777775</c:v>
                </c:pt>
                <c:pt idx="2">
                  <c:v>706352.77777777775</c:v>
                </c:pt>
                <c:pt idx="3">
                  <c:v>706352.77777777775</c:v>
                </c:pt>
                <c:pt idx="4">
                  <c:v>706352.77777777775</c:v>
                </c:pt>
                <c:pt idx="5">
                  <c:v>706352.77777777775</c:v>
                </c:pt>
                <c:pt idx="6">
                  <c:v>706352.77777777775</c:v>
                </c:pt>
                <c:pt idx="7">
                  <c:v>706352.77777777775</c:v>
                </c:pt>
                <c:pt idx="8">
                  <c:v>706352.77777777775</c:v>
                </c:pt>
                <c:pt idx="9">
                  <c:v>706352.77777777775</c:v>
                </c:pt>
                <c:pt idx="10">
                  <c:v>706352.77777777775</c:v>
                </c:pt>
                <c:pt idx="11">
                  <c:v>706352.77777777775</c:v>
                </c:pt>
                <c:pt idx="12">
                  <c:v>706352.77777777775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9B-454C-ACBB-6E7D656C2A79}"/>
            </c:ext>
          </c:extLst>
        </c:ser>
        <c:ser>
          <c:idx val="2"/>
          <c:order val="2"/>
          <c:tx>
            <c:strRef>
              <c:f>'Sensitivity Analysis'!$E$83</c:f>
              <c:strCache>
                <c:ptCount val="1"/>
                <c:pt idx="0">
                  <c:v>3D Printing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1.0745683393978869E-3"/>
                  <c:y val="7.1544345754534527E-2"/>
                </c:manualLayout>
              </c:layout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19B-454C-ACBB-6E7D656C2A79}"/>
                </c:ext>
              </c:extLst>
            </c:dLbl>
            <c:dLbl>
              <c:idx val="5"/>
              <c:layout>
                <c:manualLayout>
                  <c:x val="-0.10173771943244589"/>
                  <c:y val="6.1974438903977299E-3"/>
                </c:manualLayout>
              </c:layout>
              <c:spPr>
                <a:solidFill>
                  <a:srgbClr val="00B050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19B-454C-ACBB-6E7D656C2A79}"/>
                </c:ext>
              </c:extLst>
            </c:dLbl>
            <c:dLbl>
              <c:idx val="6"/>
              <c:layout>
                <c:manualLayout>
                  <c:x val="-2.167332008608867E-2"/>
                  <c:y val="-7.063651586989874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9A091FB-3A09-4FDA-9A42-5CC0A2BE0386}" type="XVALUE">
                      <a:rPr lang="en-US" b="1"/>
                      <a:pPr>
                        <a:defRPr/>
                      </a:pPr>
                      <a:t>[X VALUE]</a:t>
                    </a:fld>
                    <a:endParaRPr lang="en-DE"/>
                  </a:p>
                </c:rich>
              </c:tx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N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6814371385951528E-2"/>
                      <c:h val="4.703681741209368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F2F-47A3-B3BE-FFE32FAED146}"/>
                </c:ext>
              </c:extLst>
            </c:dLbl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'Sensitivity Analysis'!$B$85:$B$97</c:f>
              <c:numCache>
                <c:formatCode>General</c:formatCode>
                <c:ptCount val="13"/>
                <c:pt idx="0">
                  <c:v>110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150</c:v>
                </c:pt>
                <c:pt idx="5">
                  <c:v>160</c:v>
                </c:pt>
                <c:pt idx="6">
                  <c:v>170</c:v>
                </c:pt>
                <c:pt idx="7">
                  <c:v>180</c:v>
                </c:pt>
                <c:pt idx="8">
                  <c:v>190</c:v>
                </c:pt>
                <c:pt idx="9">
                  <c:v>200</c:v>
                </c:pt>
                <c:pt idx="10">
                  <c:v>210</c:v>
                </c:pt>
                <c:pt idx="11">
                  <c:v>220</c:v>
                </c:pt>
                <c:pt idx="12">
                  <c:v>230</c:v>
                </c:pt>
              </c:numCache>
            </c:numRef>
          </c:xVal>
          <c:yVal>
            <c:numRef>
              <c:f>'Sensitivity Analysis'!$E$85:$E$97</c:f>
              <c:numCache>
                <c:formatCode>_ [$€-2]\ * #,##0.00_ ;_ [$€-2]\ * \-#,##0.00_ ;_ [$€-2]\ * "-"??_ ;_ @_ </c:formatCode>
                <c:ptCount val="13"/>
                <c:pt idx="0">
                  <c:v>613244.4444444445</c:v>
                </c:pt>
                <c:pt idx="1">
                  <c:v>627044.4444444445</c:v>
                </c:pt>
                <c:pt idx="2">
                  <c:v>640844.4444444445</c:v>
                </c:pt>
                <c:pt idx="3">
                  <c:v>654644.4444444445</c:v>
                </c:pt>
                <c:pt idx="4">
                  <c:v>668444.4444444445</c:v>
                </c:pt>
                <c:pt idx="5">
                  <c:v>682244.4444444445</c:v>
                </c:pt>
                <c:pt idx="6">
                  <c:v>696044.4444444445</c:v>
                </c:pt>
                <c:pt idx="7">
                  <c:v>709844.4444444445</c:v>
                </c:pt>
                <c:pt idx="8">
                  <c:v>723644.4444444445</c:v>
                </c:pt>
                <c:pt idx="9">
                  <c:v>737444.4444444445</c:v>
                </c:pt>
                <c:pt idx="10">
                  <c:v>751244.4444444445</c:v>
                </c:pt>
                <c:pt idx="11">
                  <c:v>765044.4444444445</c:v>
                </c:pt>
                <c:pt idx="12">
                  <c:v>778844.4444444445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9B-454C-ACBB-6E7D656C2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286671"/>
        <c:axId val="1043287087"/>
      </c:scatterChart>
      <c:valAx>
        <c:axId val="1043286671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Aluminum Powder Cost</a:t>
                </a:r>
              </a:p>
            </c:rich>
          </c:tx>
          <c:layout>
            <c:manualLayout>
              <c:xMode val="edge"/>
              <c:yMode val="edge"/>
              <c:x val="0.39981844060836408"/>
              <c:y val="0.83750413190001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87087"/>
        <c:crosses val="autoZero"/>
        <c:crossBetween val="midCat"/>
      </c:valAx>
      <c:valAx>
        <c:axId val="1043287087"/>
        <c:scaling>
          <c:orientation val="minMax"/>
          <c:min val="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Unit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€-2]\ * #,##0.00_ ;_ [$€-2]\ * \-#,##0.00_ ;_ [$€-2]\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86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123754521464655"/>
          <c:y val="0.90400317494426108"/>
          <c:w val="0.51752456059091689"/>
          <c:h val="7.96747967479674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Aluminum Block</a:t>
            </a:r>
            <a:r>
              <a:rPr lang="en-US" b="1" baseline="0"/>
              <a:t> </a:t>
            </a:r>
            <a:r>
              <a:rPr lang="en-US" b="1"/>
              <a:t>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19597737024784"/>
          <c:y val="0.13685459268120437"/>
          <c:w val="0.78754003226660896"/>
          <c:h val="0.624856122486224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'Sensitivity Analysis'!$C$104</c:f>
              <c:strCache>
                <c:ptCount val="1"/>
                <c:pt idx="0">
                  <c:v>CNC Milling 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1.0305800278865218E-2"/>
                  <c:y val="9.7242275428408367E-3"/>
                </c:manualLayout>
              </c:layout>
              <c:spPr>
                <a:solidFill>
                  <a:srgbClr val="00B050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C8F-4737-8DD8-E8F106EE85F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0.11582989181141277"/>
                      <c:h val="4.615103078088098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FC8F-4737-8DD8-E8F106EE85F2}"/>
                </c:ext>
              </c:extLst>
            </c:dLbl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'Sensitivity Analysis'!$B$106:$B$121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'Sensitivity Analysis'!$C$106:$C$121</c:f>
              <c:numCache>
                <c:formatCode>_ [$€-2]\ * #,##0.00_ ;_ [$€-2]\ * \-#,##0.00_ ;_ [$€-2]\ * "-"??_ ;_ @_ </c:formatCode>
                <c:ptCount val="16"/>
                <c:pt idx="0">
                  <c:v>575788.88888888888</c:v>
                </c:pt>
                <c:pt idx="1">
                  <c:v>590788.88888888888</c:v>
                </c:pt>
                <c:pt idx="2">
                  <c:v>605788.88888888888</c:v>
                </c:pt>
                <c:pt idx="3">
                  <c:v>620788.88888888888</c:v>
                </c:pt>
                <c:pt idx="4">
                  <c:v>635788.88888888888</c:v>
                </c:pt>
                <c:pt idx="5">
                  <c:v>650788.88888888888</c:v>
                </c:pt>
                <c:pt idx="6">
                  <c:v>665788.88888888888</c:v>
                </c:pt>
                <c:pt idx="7">
                  <c:v>680788.88888888888</c:v>
                </c:pt>
                <c:pt idx="8">
                  <c:v>695788.88888888888</c:v>
                </c:pt>
                <c:pt idx="9">
                  <c:v>710788.88888888888</c:v>
                </c:pt>
                <c:pt idx="10">
                  <c:v>725788.88888888888</c:v>
                </c:pt>
                <c:pt idx="11">
                  <c:v>740788.88888888888</c:v>
                </c:pt>
                <c:pt idx="12">
                  <c:v>755788.88888888888</c:v>
                </c:pt>
                <c:pt idx="13">
                  <c:v>770788.88888888888</c:v>
                </c:pt>
                <c:pt idx="14">
                  <c:v>785788.88888888888</c:v>
                </c:pt>
                <c:pt idx="15">
                  <c:v>800788.88888888888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8F-4737-8DD8-E8F106EE85F2}"/>
            </c:ext>
          </c:extLst>
        </c:ser>
        <c:ser>
          <c:idx val="1"/>
          <c:order val="1"/>
          <c:tx>
            <c:strRef>
              <c:f>'Sensitivity Analysis'!$D$104</c:f>
              <c:strCache>
                <c:ptCount val="1"/>
                <c:pt idx="0">
                  <c:v>Water Jet Cutting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6.2996184134110123E-2"/>
                  <c:y val="-8.2256993733571537E-2"/>
                </c:manualLayout>
              </c:layout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069799949616194"/>
                      <c:h val="3.764984644281681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D82-4475-932C-66D2FFBDAF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'Sensitivity Analysis'!$B$106:$B$121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'Sensitivity Analysis'!$D$106:$D$121</c:f>
              <c:numCache>
                <c:formatCode>_ [$€-2]\ * #,##0.00_ ;_ [$€-2]\ * \-#,##0.00_ ;_ [$€-2]\ * "-"??_ ;_ @_ </c:formatCode>
                <c:ptCount val="16"/>
                <c:pt idx="0">
                  <c:v>616352.77777777775</c:v>
                </c:pt>
                <c:pt idx="1">
                  <c:v>631352.77777777775</c:v>
                </c:pt>
                <c:pt idx="2">
                  <c:v>646352.77777777775</c:v>
                </c:pt>
                <c:pt idx="3">
                  <c:v>661352.77777777775</c:v>
                </c:pt>
                <c:pt idx="4">
                  <c:v>676352.77777777775</c:v>
                </c:pt>
                <c:pt idx="5">
                  <c:v>691352.77777777775</c:v>
                </c:pt>
                <c:pt idx="6">
                  <c:v>706352.77777777775</c:v>
                </c:pt>
                <c:pt idx="7">
                  <c:v>721352.77777777775</c:v>
                </c:pt>
                <c:pt idx="8">
                  <c:v>736352.77777777775</c:v>
                </c:pt>
                <c:pt idx="9">
                  <c:v>751352.77777777775</c:v>
                </c:pt>
                <c:pt idx="10">
                  <c:v>766352.77777777775</c:v>
                </c:pt>
                <c:pt idx="11">
                  <c:v>781352.77777777775</c:v>
                </c:pt>
                <c:pt idx="12">
                  <c:v>796352.77777777775</c:v>
                </c:pt>
                <c:pt idx="13">
                  <c:v>811352.77777777775</c:v>
                </c:pt>
                <c:pt idx="14">
                  <c:v>826352.77777777775</c:v>
                </c:pt>
                <c:pt idx="15">
                  <c:v>841352.77777777775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8F-4737-8DD8-E8F106EE85F2}"/>
            </c:ext>
          </c:extLst>
        </c:ser>
        <c:ser>
          <c:idx val="2"/>
          <c:order val="2"/>
          <c:tx>
            <c:strRef>
              <c:f>'Sensitivity Analysis'!$E$104</c:f>
              <c:strCache>
                <c:ptCount val="1"/>
                <c:pt idx="0">
                  <c:v>3D Printing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dLbl>
              <c:idx val="9"/>
              <c:layout>
                <c:manualLayout>
                  <c:x val="-1.0327216639471663E-2"/>
                  <c:y val="4.7983246344583397E-2"/>
                </c:manualLayout>
              </c:layout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D82-4475-932C-66D2FFBDAF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'Sensitivity Analysis'!$B$106:$B$121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'Sensitivity Analysis'!$E$106:$E$121</c:f>
              <c:numCache>
                <c:formatCode>_ [$€-2]\ * #,##0.00_ ;_ [$€-2]\ * \-#,##0.00_ ;_ [$€-2]\ * "-"??_ ;_ @_ </c:formatCode>
                <c:ptCount val="16"/>
                <c:pt idx="0">
                  <c:v>682244.4444444445</c:v>
                </c:pt>
                <c:pt idx="1">
                  <c:v>682244.4444444445</c:v>
                </c:pt>
                <c:pt idx="2">
                  <c:v>682244.4444444445</c:v>
                </c:pt>
                <c:pt idx="3">
                  <c:v>682244.4444444445</c:v>
                </c:pt>
                <c:pt idx="4">
                  <c:v>682244.4444444445</c:v>
                </c:pt>
                <c:pt idx="5">
                  <c:v>682244.4444444445</c:v>
                </c:pt>
                <c:pt idx="6">
                  <c:v>682244.4444444445</c:v>
                </c:pt>
                <c:pt idx="7">
                  <c:v>682244.4444444445</c:v>
                </c:pt>
                <c:pt idx="8">
                  <c:v>682244.4444444445</c:v>
                </c:pt>
                <c:pt idx="9">
                  <c:v>682244.4444444445</c:v>
                </c:pt>
                <c:pt idx="10">
                  <c:v>682244.4444444445</c:v>
                </c:pt>
                <c:pt idx="11">
                  <c:v>682244.4444444445</c:v>
                </c:pt>
                <c:pt idx="12">
                  <c:v>682244.4444444445</c:v>
                </c:pt>
                <c:pt idx="13">
                  <c:v>682244.4444444445</c:v>
                </c:pt>
                <c:pt idx="14">
                  <c:v>682244.4444444445</c:v>
                </c:pt>
                <c:pt idx="15">
                  <c:v>682244.4444444445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8F-4737-8DD8-E8F106EE8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286671"/>
        <c:axId val="1043287087"/>
      </c:scatterChart>
      <c:valAx>
        <c:axId val="1043286671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Aluminum Bock Cost</a:t>
                </a:r>
              </a:p>
            </c:rich>
          </c:tx>
          <c:layout>
            <c:manualLayout>
              <c:xMode val="edge"/>
              <c:yMode val="edge"/>
              <c:x val="0.39981844060836408"/>
              <c:y val="0.83750413190001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87087"/>
        <c:crosses val="autoZero"/>
        <c:crossBetween val="midCat"/>
      </c:valAx>
      <c:valAx>
        <c:axId val="1043287087"/>
        <c:scaling>
          <c:orientation val="minMax"/>
          <c:min val="5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Unit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€-2]\ * #,##0.00_ ;_ [$€-2]\ * \-#,##0.00_ ;_ [$€-2]\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86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123754521464655"/>
          <c:y val="0.90400317494426108"/>
          <c:w val="0.51752456059091689"/>
          <c:h val="7.96747967479674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Argon</a:t>
            </a:r>
            <a:r>
              <a:rPr lang="en-US" b="1" baseline="0"/>
              <a:t> </a:t>
            </a:r>
            <a:r>
              <a:rPr lang="en-US" b="1"/>
              <a:t>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12209519537404"/>
          <c:y val="0.13334222004909449"/>
          <c:w val="0.78754003226660896"/>
          <c:h val="0.624856122486224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'Sensitivity Analysis'!$C$104</c:f>
              <c:strCache>
                <c:ptCount val="1"/>
                <c:pt idx="0">
                  <c:v>CNC Milling 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'Sensitivity Analysis'!$B$127:$B$138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</c:numCache>
            </c:numRef>
          </c:xVal>
          <c:yVal>
            <c:numRef>
              <c:f>'Sensitivity Analysis'!$C$127:$C$138</c:f>
              <c:numCache>
                <c:formatCode>_ [$€-2]\ * #,##0.00_ ;_ [$€-2]\ * \-#,##0.00_ ;_ [$€-2]\ * "-"??_ ;_ @_ </c:formatCode>
                <c:ptCount val="12"/>
                <c:pt idx="0">
                  <c:v>665788.88888888888</c:v>
                </c:pt>
                <c:pt idx="1">
                  <c:v>665788.88888888888</c:v>
                </c:pt>
                <c:pt idx="2">
                  <c:v>665788.88888888888</c:v>
                </c:pt>
                <c:pt idx="3">
                  <c:v>665788.88888888888</c:v>
                </c:pt>
                <c:pt idx="4">
                  <c:v>665788.88888888888</c:v>
                </c:pt>
                <c:pt idx="5">
                  <c:v>665788.88888888888</c:v>
                </c:pt>
                <c:pt idx="6">
                  <c:v>665788.88888888888</c:v>
                </c:pt>
                <c:pt idx="7">
                  <c:v>665788.88888888888</c:v>
                </c:pt>
                <c:pt idx="8">
                  <c:v>665788.88888888888</c:v>
                </c:pt>
                <c:pt idx="9">
                  <c:v>665788.88888888888</c:v>
                </c:pt>
                <c:pt idx="10">
                  <c:v>665788.88888888888</c:v>
                </c:pt>
                <c:pt idx="11">
                  <c:v>665788.88888888888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3B-4EF9-AC44-82250E93DCA8}"/>
            </c:ext>
          </c:extLst>
        </c:ser>
        <c:ser>
          <c:idx val="1"/>
          <c:order val="1"/>
          <c:tx>
            <c:strRef>
              <c:f>'Sensitivity Analysis'!$D$104</c:f>
              <c:strCache>
                <c:ptCount val="1"/>
                <c:pt idx="0">
                  <c:v>Water Jet Cutting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'Sensitivity Analysis'!$B$127:$B$138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</c:numCache>
            </c:numRef>
          </c:xVal>
          <c:yVal>
            <c:numRef>
              <c:f>'Sensitivity Analysis'!$D$127:$D$138</c:f>
              <c:numCache>
                <c:formatCode>_ [$€-2]\ * #,##0.00_ ;_ [$€-2]\ * \-#,##0.00_ ;_ [$€-2]\ * "-"??_ ;_ @_ </c:formatCode>
                <c:ptCount val="12"/>
                <c:pt idx="0">
                  <c:v>706352.77777777775</c:v>
                </c:pt>
                <c:pt idx="1">
                  <c:v>706352.77777777775</c:v>
                </c:pt>
                <c:pt idx="2">
                  <c:v>706352.77777777775</c:v>
                </c:pt>
                <c:pt idx="3">
                  <c:v>706352.77777777775</c:v>
                </c:pt>
                <c:pt idx="4">
                  <c:v>706352.77777777775</c:v>
                </c:pt>
                <c:pt idx="5">
                  <c:v>706352.77777777775</c:v>
                </c:pt>
                <c:pt idx="6">
                  <c:v>706352.77777777775</c:v>
                </c:pt>
                <c:pt idx="7">
                  <c:v>706352.77777777775</c:v>
                </c:pt>
                <c:pt idx="8">
                  <c:v>706352.77777777775</c:v>
                </c:pt>
                <c:pt idx="9">
                  <c:v>706352.77777777775</c:v>
                </c:pt>
                <c:pt idx="10">
                  <c:v>706352.77777777775</c:v>
                </c:pt>
                <c:pt idx="11">
                  <c:v>706352.77777777775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3B-4EF9-AC44-82250E93DCA8}"/>
            </c:ext>
          </c:extLst>
        </c:ser>
        <c:ser>
          <c:idx val="2"/>
          <c:order val="2"/>
          <c:tx>
            <c:strRef>
              <c:f>'Sensitivity Analysis'!$E$104</c:f>
              <c:strCache>
                <c:ptCount val="1"/>
                <c:pt idx="0">
                  <c:v>3D Printing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4.4471590999551579E-3"/>
                  <c:y val="3.1378495549082883E-2"/>
                </c:manualLayout>
              </c:layout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4857037981876464E-2"/>
                      <c:h val="5.736720796428642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FD3B-4EF9-AC44-82250E93DCA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5.3098051773187466E-2"/>
                      <c:h val="5.05274035031731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FD3B-4EF9-AC44-82250E93DCA8}"/>
                </c:ext>
              </c:extLst>
            </c:dLbl>
            <c:dLbl>
              <c:idx val="4"/>
              <c:layout>
                <c:manualLayout>
                  <c:x val="-2.3725460940180673E-2"/>
                  <c:y val="-7.4531431312197402E-2"/>
                </c:manualLayout>
              </c:layout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0675085317006319E-2"/>
                      <c:h val="4.860355222951216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240-4C00-9CEC-EED5C16FD9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'Sensitivity Analysis'!$B$127:$B$138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</c:numCache>
            </c:numRef>
          </c:xVal>
          <c:yVal>
            <c:numRef>
              <c:f>'Sensitivity Analysis'!$E$127:$E$138</c:f>
              <c:numCache>
                <c:formatCode>_ [$€-2]\ * #,##0.00_ ;_ [$€-2]\ * \-#,##0.00_ ;_ [$€-2]\ * "-"??_ ;_ @_ </c:formatCode>
                <c:ptCount val="12"/>
                <c:pt idx="0">
                  <c:v>608744.4444444445</c:v>
                </c:pt>
                <c:pt idx="1">
                  <c:v>633244.4444444445</c:v>
                </c:pt>
                <c:pt idx="2">
                  <c:v>657744.4444444445</c:v>
                </c:pt>
                <c:pt idx="3">
                  <c:v>682244.4444444445</c:v>
                </c:pt>
                <c:pt idx="4">
                  <c:v>706744.4444444445</c:v>
                </c:pt>
                <c:pt idx="5">
                  <c:v>731244.4444444445</c:v>
                </c:pt>
                <c:pt idx="6">
                  <c:v>755744.4444444445</c:v>
                </c:pt>
                <c:pt idx="7">
                  <c:v>780244.4444444445</c:v>
                </c:pt>
                <c:pt idx="8">
                  <c:v>804744.4444444445</c:v>
                </c:pt>
                <c:pt idx="9">
                  <c:v>829244.4444444445</c:v>
                </c:pt>
                <c:pt idx="10">
                  <c:v>853744.4444444445</c:v>
                </c:pt>
                <c:pt idx="11">
                  <c:v>878244.4444444445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3B-4EF9-AC44-82250E93D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286671"/>
        <c:axId val="1043287087"/>
      </c:scatterChart>
      <c:valAx>
        <c:axId val="104328667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Argon Cost - Lit/</a:t>
                </a:r>
                <a:r>
                  <a:rPr lang="en-US" b="1" baseline="0"/>
                  <a:t> Hrs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39981844060836408"/>
              <c:y val="0.83750413190001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87087"/>
        <c:crosses val="autoZero"/>
        <c:crossBetween val="midCat"/>
      </c:valAx>
      <c:valAx>
        <c:axId val="1043287087"/>
        <c:scaling>
          <c:orientation val="minMax"/>
          <c:min val="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Unit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€-2]\ * #,##0.00_ ;_ [$€-2]\ * \-#,##0.00_ ;_ [$€-2]\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86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123754521464655"/>
          <c:y val="0.90400317494426108"/>
          <c:w val="0.51752456059091689"/>
          <c:h val="7.96747967479674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Abrasive</a:t>
            </a:r>
            <a:r>
              <a:rPr lang="en-US" b="1" baseline="0"/>
              <a:t> </a:t>
            </a:r>
            <a:r>
              <a:rPr lang="en-US" b="1"/>
              <a:t>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19597737024784"/>
          <c:y val="0.13685459268120437"/>
          <c:w val="0.78754003226660896"/>
          <c:h val="0.624856122486224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'Sensitivity Analysis'!$C$104</c:f>
              <c:strCache>
                <c:ptCount val="1"/>
                <c:pt idx="0">
                  <c:v>CNC Milling 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'Sensitivity Analysis'!$B$148:$B$159</c:f>
              <c:numCache>
                <c:formatCode>General</c:formatCode>
                <c:ptCount val="12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</c:numCache>
            </c:numRef>
          </c:xVal>
          <c:yVal>
            <c:numRef>
              <c:f>'Sensitivity Analysis'!$C$148:$C$159</c:f>
              <c:numCache>
                <c:formatCode>_ [$€-2]\ * #,##0.00_ ;_ [$€-2]\ * \-#,##0.00_ ;_ [$€-2]\ * "-"??_ ;_ @_ </c:formatCode>
                <c:ptCount val="12"/>
                <c:pt idx="0">
                  <c:v>665788.88888888888</c:v>
                </c:pt>
                <c:pt idx="1">
                  <c:v>665788.88888888888</c:v>
                </c:pt>
                <c:pt idx="2">
                  <c:v>665788.88888888888</c:v>
                </c:pt>
                <c:pt idx="3">
                  <c:v>665788.88888888888</c:v>
                </c:pt>
                <c:pt idx="4">
                  <c:v>665788.88888888888</c:v>
                </c:pt>
                <c:pt idx="5">
                  <c:v>665788.88888888888</c:v>
                </c:pt>
                <c:pt idx="6">
                  <c:v>665788.88888888888</c:v>
                </c:pt>
                <c:pt idx="7">
                  <c:v>665788.88888888888</c:v>
                </c:pt>
                <c:pt idx="8">
                  <c:v>665788.88888888888</c:v>
                </c:pt>
                <c:pt idx="9">
                  <c:v>665788.88888888888</c:v>
                </c:pt>
                <c:pt idx="10">
                  <c:v>665788.88888888888</c:v>
                </c:pt>
                <c:pt idx="11">
                  <c:v>665788.88888888888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13-4121-A9E5-7C93E00BAAB6}"/>
            </c:ext>
          </c:extLst>
        </c:ser>
        <c:ser>
          <c:idx val="1"/>
          <c:order val="1"/>
          <c:tx>
            <c:strRef>
              <c:f>'Sensitivity Analysis'!$D$104</c:f>
              <c:strCache>
                <c:ptCount val="1"/>
                <c:pt idx="0">
                  <c:v>Water Jet Cutting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9609181296608475E-3"/>
                  <c:y val="2.837145608120932E-2"/>
                </c:manualLayout>
              </c:layout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900" b="1" i="0" u="none" strike="noStrike" kern="1200" baseline="0">
                      <a:solidFill>
                        <a:srgbClr val="000000">
                          <a:lumMod val="75000"/>
                          <a:lumOff val="25000"/>
                        </a:srgb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9E-4A8A-9BD4-6ACA16897723}"/>
                </c:ext>
              </c:extLst>
            </c:dLbl>
            <c:dLbl>
              <c:idx val="3"/>
              <c:layout>
                <c:manualLayout>
                  <c:x val="-4.1179280722877798E-2"/>
                  <c:y val="-4.6103616131965251E-2"/>
                </c:manualLayout>
              </c:layout>
              <c:spPr>
                <a:solidFill>
                  <a:srgbClr val="92D050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9E-4A8A-9BD4-6ACA168977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'Sensitivity Analysis'!$B$148:$B$159</c:f>
              <c:numCache>
                <c:formatCode>General</c:formatCode>
                <c:ptCount val="12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</c:numCache>
            </c:numRef>
          </c:xVal>
          <c:yVal>
            <c:numRef>
              <c:f>'Sensitivity Analysis'!$D$148:$D$159</c:f>
              <c:numCache>
                <c:formatCode>_ [$€-2]\ * #,##0.00_ ;_ [$€-2]\ * \-#,##0.00_ ;_ [$€-2]\ * "-"??_ ;_ @_ </c:formatCode>
                <c:ptCount val="12"/>
                <c:pt idx="0">
                  <c:v>691165.27777777775</c:v>
                </c:pt>
                <c:pt idx="1">
                  <c:v>696227.77777777775</c:v>
                </c:pt>
                <c:pt idx="2">
                  <c:v>701290.27777777775</c:v>
                </c:pt>
                <c:pt idx="3">
                  <c:v>706352.77777777775</c:v>
                </c:pt>
                <c:pt idx="4">
                  <c:v>711415.27777777775</c:v>
                </c:pt>
                <c:pt idx="5">
                  <c:v>716477.77777777775</c:v>
                </c:pt>
                <c:pt idx="6">
                  <c:v>721540.27777777775</c:v>
                </c:pt>
                <c:pt idx="7">
                  <c:v>726602.77777777775</c:v>
                </c:pt>
                <c:pt idx="8">
                  <c:v>731665.27777777775</c:v>
                </c:pt>
                <c:pt idx="9">
                  <c:v>736727.77777777775</c:v>
                </c:pt>
                <c:pt idx="10">
                  <c:v>741790.27777777775</c:v>
                </c:pt>
                <c:pt idx="11">
                  <c:v>746852.77777777775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13-4121-A9E5-7C93E00BAAB6}"/>
            </c:ext>
          </c:extLst>
        </c:ser>
        <c:ser>
          <c:idx val="2"/>
          <c:order val="2"/>
          <c:tx>
            <c:strRef>
              <c:f>'Sensitivity Analysis'!$E$104</c:f>
              <c:strCache>
                <c:ptCount val="1"/>
                <c:pt idx="0">
                  <c:v>3D Printing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'Sensitivity Analysis'!$B$148:$B$159</c:f>
              <c:numCache>
                <c:formatCode>General</c:formatCode>
                <c:ptCount val="12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</c:numCache>
            </c:numRef>
          </c:xVal>
          <c:yVal>
            <c:numRef>
              <c:f>'Sensitivity Analysis'!$E$148:$E$159</c:f>
              <c:numCache>
                <c:formatCode>_ [$€-2]\ * #,##0.00_ ;_ [$€-2]\ * \-#,##0.00_ ;_ [$€-2]\ * "-"??_ ;_ @_ </c:formatCode>
                <c:ptCount val="12"/>
                <c:pt idx="0">
                  <c:v>682244.4444444445</c:v>
                </c:pt>
                <c:pt idx="1">
                  <c:v>682244.4444444445</c:v>
                </c:pt>
                <c:pt idx="2">
                  <c:v>682244.4444444445</c:v>
                </c:pt>
                <c:pt idx="3">
                  <c:v>682244.4444444445</c:v>
                </c:pt>
                <c:pt idx="4">
                  <c:v>682244.4444444445</c:v>
                </c:pt>
                <c:pt idx="5">
                  <c:v>682244.4444444445</c:v>
                </c:pt>
                <c:pt idx="6">
                  <c:v>682244.4444444445</c:v>
                </c:pt>
                <c:pt idx="7">
                  <c:v>682244.4444444445</c:v>
                </c:pt>
                <c:pt idx="8">
                  <c:v>682244.4444444445</c:v>
                </c:pt>
                <c:pt idx="9">
                  <c:v>682244.4444444445</c:v>
                </c:pt>
                <c:pt idx="10">
                  <c:v>682244.4444444445</c:v>
                </c:pt>
                <c:pt idx="11">
                  <c:v>682244.4444444445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13-4121-A9E5-7C93E00BA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286671"/>
        <c:axId val="1043287087"/>
      </c:scatterChart>
      <c:valAx>
        <c:axId val="104328667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Abrasive Cost - Kg/</a:t>
                </a:r>
                <a:r>
                  <a:rPr lang="en-US" b="1" baseline="0"/>
                  <a:t> Hrs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39981844060836408"/>
              <c:y val="0.83750413190001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87087"/>
        <c:crosses val="autoZero"/>
        <c:crossBetween val="midCat"/>
      </c:valAx>
      <c:valAx>
        <c:axId val="1043287087"/>
        <c:scaling>
          <c:orientation val="minMax"/>
          <c:min val="6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Unit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€-2]\ * #,##0.00_ ;_ [$€-2]\ * \-#,##0.00_ ;_ [$€-2]\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86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123754521464655"/>
          <c:y val="0.90400317494426108"/>
          <c:w val="0.51752456059091689"/>
          <c:h val="7.96747967479674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Volume/Unit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Analysis'!$M$4</c:f>
              <c:strCache>
                <c:ptCount val="1"/>
                <c:pt idx="0">
                  <c:v>CNC Milling 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'Sensitivity Analysis'!$L$6:$L$15</c:f>
              <c:numCache>
                <c:formatCode>General</c:formatCode>
                <c:ptCount val="10"/>
                <c:pt idx="0">
                  <c:v>5000</c:v>
                </c:pt>
                <c:pt idx="1">
                  <c:v>23000</c:v>
                </c:pt>
                <c:pt idx="2">
                  <c:v>24000</c:v>
                </c:pt>
                <c:pt idx="3">
                  <c:v>30000</c:v>
                </c:pt>
                <c:pt idx="4">
                  <c:v>31000</c:v>
                </c:pt>
                <c:pt idx="5">
                  <c:v>44000</c:v>
                </c:pt>
                <c:pt idx="6">
                  <c:v>45000</c:v>
                </c:pt>
                <c:pt idx="7">
                  <c:v>47000</c:v>
                </c:pt>
                <c:pt idx="8">
                  <c:v>48000</c:v>
                </c:pt>
                <c:pt idx="9">
                  <c:v>60000</c:v>
                </c:pt>
              </c:numCache>
            </c:numRef>
          </c:xVal>
          <c:yVal>
            <c:numRef>
              <c:f>'Sensitivity Analysis'!$M$6:$M$15</c:f>
              <c:numCache>
                <c:formatCode>_ [$€-2]\ * #,##0.00_ ;_ [$€-2]\ * \-#,##0.00_ ;_ [$€-2]\ * "-"??_ ;_ @_ </c:formatCode>
                <c:ptCount val="10"/>
                <c:pt idx="0">
                  <c:v>53.751111111111115</c:v>
                </c:pt>
                <c:pt idx="1">
                  <c:v>42.757198067632856</c:v>
                </c:pt>
                <c:pt idx="2">
                  <c:v>42.629953703703706</c:v>
                </c:pt>
                <c:pt idx="3">
                  <c:v>42.044629629629632</c:v>
                </c:pt>
                <c:pt idx="4">
                  <c:v>44.234874551971323</c:v>
                </c:pt>
                <c:pt idx="5">
                  <c:v>42.896010101010098</c:v>
                </c:pt>
                <c:pt idx="6">
                  <c:v>42.825061728395063</c:v>
                </c:pt>
                <c:pt idx="7">
                  <c:v>42.69222222222222</c:v>
                </c:pt>
                <c:pt idx="8">
                  <c:v>42.629953703703706</c:v>
                </c:pt>
                <c:pt idx="9">
                  <c:v>42.044629629629632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03-49E8-81E1-E83736F3B579}"/>
            </c:ext>
          </c:extLst>
        </c:ser>
        <c:ser>
          <c:idx val="1"/>
          <c:order val="1"/>
          <c:tx>
            <c:strRef>
              <c:f>'Sensitivity Analysis'!$N$4</c:f>
              <c:strCache>
                <c:ptCount val="1"/>
                <c:pt idx="0">
                  <c:v>Water Jet Cutting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'Sensitivity Analysis'!$L$6:$L$15</c:f>
              <c:numCache>
                <c:formatCode>General</c:formatCode>
                <c:ptCount val="10"/>
                <c:pt idx="0">
                  <c:v>5000</c:v>
                </c:pt>
                <c:pt idx="1">
                  <c:v>23000</c:v>
                </c:pt>
                <c:pt idx="2">
                  <c:v>24000</c:v>
                </c:pt>
                <c:pt idx="3">
                  <c:v>30000</c:v>
                </c:pt>
                <c:pt idx="4">
                  <c:v>31000</c:v>
                </c:pt>
                <c:pt idx="5">
                  <c:v>44000</c:v>
                </c:pt>
                <c:pt idx="6">
                  <c:v>45000</c:v>
                </c:pt>
                <c:pt idx="7">
                  <c:v>47000</c:v>
                </c:pt>
                <c:pt idx="8">
                  <c:v>48000</c:v>
                </c:pt>
                <c:pt idx="9">
                  <c:v>60000</c:v>
                </c:pt>
              </c:numCache>
            </c:numRef>
          </c:xVal>
          <c:yVal>
            <c:numRef>
              <c:f>'Sensitivity Analysis'!$N$6:$N$15</c:f>
              <c:numCache>
                <c:formatCode>_ [$€-2]\ * #,##0.00_ ;_ [$€-2]\ * \-#,##0.00_ ;_ [$€-2]\ * "-"??_ ;_ @_ </c:formatCode>
                <c:ptCount val="10"/>
                <c:pt idx="0">
                  <c:v>59.713888888888903</c:v>
                </c:pt>
                <c:pt idx="1">
                  <c:v>44.894758454106281</c:v>
                </c:pt>
                <c:pt idx="2">
                  <c:v>44.723240740740742</c:v>
                </c:pt>
                <c:pt idx="3">
                  <c:v>43.934259259259257</c:v>
                </c:pt>
                <c:pt idx="4">
                  <c:v>43.83245519713261</c:v>
                </c:pt>
                <c:pt idx="5">
                  <c:v>42.930101010101005</c:v>
                </c:pt>
                <c:pt idx="6">
                  <c:v>44.986234567901235</c:v>
                </c:pt>
                <c:pt idx="7">
                  <c:v>44.807174940898342</c:v>
                </c:pt>
                <c:pt idx="8">
                  <c:v>44.723240740740742</c:v>
                </c:pt>
                <c:pt idx="9">
                  <c:v>43.934259259259257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03-49E8-81E1-E83736F3B579}"/>
            </c:ext>
          </c:extLst>
        </c:ser>
        <c:ser>
          <c:idx val="2"/>
          <c:order val="2"/>
          <c:tx>
            <c:strRef>
              <c:f>'Sensitivity Analysis'!$O$4</c:f>
              <c:strCache>
                <c:ptCount val="1"/>
                <c:pt idx="0">
                  <c:v>3D Printing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'Sensitivity Analysis'!$L$6:$L$15</c:f>
              <c:numCache>
                <c:formatCode>General</c:formatCode>
                <c:ptCount val="10"/>
                <c:pt idx="0">
                  <c:v>5000</c:v>
                </c:pt>
                <c:pt idx="1">
                  <c:v>23000</c:v>
                </c:pt>
                <c:pt idx="2">
                  <c:v>24000</c:v>
                </c:pt>
                <c:pt idx="3">
                  <c:v>30000</c:v>
                </c:pt>
                <c:pt idx="4">
                  <c:v>31000</c:v>
                </c:pt>
                <c:pt idx="5">
                  <c:v>44000</c:v>
                </c:pt>
                <c:pt idx="6">
                  <c:v>45000</c:v>
                </c:pt>
                <c:pt idx="7">
                  <c:v>47000</c:v>
                </c:pt>
                <c:pt idx="8">
                  <c:v>48000</c:v>
                </c:pt>
                <c:pt idx="9">
                  <c:v>60000</c:v>
                </c:pt>
              </c:numCache>
            </c:numRef>
          </c:xVal>
          <c:yVal>
            <c:numRef>
              <c:f>'Sensitivity Analysis'!$O$6:$O$15</c:f>
              <c:numCache>
                <c:formatCode>_ [$€-2]\ * #,##0.00_ ;_ [$€-2]\ * \-#,##0.00_ ;_ [$€-2]\ * "-"??_ ;_ @_ </c:formatCode>
                <c:ptCount val="10"/>
                <c:pt idx="0">
                  <c:v>47.36888888888889</c:v>
                </c:pt>
                <c:pt idx="1">
                  <c:v>45.154975845410632</c:v>
                </c:pt>
                <c:pt idx="2">
                  <c:v>45.71870370370371</c:v>
                </c:pt>
                <c:pt idx="3">
                  <c:v>45.482962962962965</c:v>
                </c:pt>
                <c:pt idx="4">
                  <c:v>45.452544802867386</c:v>
                </c:pt>
                <c:pt idx="5">
                  <c:v>45.182929292929295</c:v>
                </c:pt>
                <c:pt idx="6">
                  <c:v>45.168641975308645</c:v>
                </c:pt>
                <c:pt idx="7">
                  <c:v>45.141891252955084</c:v>
                </c:pt>
                <c:pt idx="8">
                  <c:v>45.424027777777781</c:v>
                </c:pt>
                <c:pt idx="9">
                  <c:v>45.247222222222227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03-49E8-81E1-E83736F3B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055535"/>
        <c:axId val="2019056783"/>
      </c:scatterChart>
      <c:valAx>
        <c:axId val="2019055535"/>
        <c:scaling>
          <c:orientation val="minMax"/>
          <c:max val="65000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056783"/>
        <c:crosses val="autoZero"/>
        <c:crossBetween val="midCat"/>
      </c:valAx>
      <c:valAx>
        <c:axId val="2019056783"/>
        <c:scaling>
          <c:orientation val="minMax"/>
          <c:max val="6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€-2]\ * #,##0.00_ ;_ [$€-2]\ * \-#,##0.00_ ;_ [$€-2]\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055535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rPr>
              <a:t>Energy Price</a:t>
            </a:r>
          </a:p>
        </c:rich>
      </c:tx>
      <c:layout>
        <c:manualLayout>
          <c:xMode val="edge"/>
          <c:yMode val="edge"/>
          <c:x val="0.443079737181375"/>
          <c:y val="2.31481227088615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35950760277442"/>
          <c:y val="0.15690411546963201"/>
          <c:w val="0.78074448655153605"/>
          <c:h val="0.545724960445979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'Sensitivity Analysis'!$C$43</c:f>
              <c:strCache>
                <c:ptCount val="1"/>
                <c:pt idx="0">
                  <c:v>CNC Milling 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'Sensitivity Analysis'!$B$60:$B$71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</c:numCache>
            </c:numRef>
          </c:xVal>
          <c:yVal>
            <c:numRef>
              <c:f>'Sensitivity Analysis'!$C$60:$C$71</c:f>
              <c:numCache>
                <c:formatCode>_ [$€-2]\ * #,##0.00_ ;_ [$€-2]\ * \-#,##0.00_ ;_ [$€-2]\ * "-"??_ ;_ @_ </c:formatCode>
                <c:ptCount val="12"/>
                <c:pt idx="0">
                  <c:v>665788.88888888888</c:v>
                </c:pt>
                <c:pt idx="1">
                  <c:v>684538.88888888888</c:v>
                </c:pt>
                <c:pt idx="2">
                  <c:v>703288.88888888888</c:v>
                </c:pt>
                <c:pt idx="3">
                  <c:v>722038.88888888888</c:v>
                </c:pt>
                <c:pt idx="4">
                  <c:v>740788.88888888888</c:v>
                </c:pt>
                <c:pt idx="5">
                  <c:v>759538.88888888888</c:v>
                </c:pt>
                <c:pt idx="6">
                  <c:v>778288.88888888888</c:v>
                </c:pt>
                <c:pt idx="7">
                  <c:v>797038.88888888888</c:v>
                </c:pt>
                <c:pt idx="8">
                  <c:v>815788.88888888888</c:v>
                </c:pt>
                <c:pt idx="9">
                  <c:v>834538.88888888888</c:v>
                </c:pt>
                <c:pt idx="10">
                  <c:v>853288.88888888888</c:v>
                </c:pt>
                <c:pt idx="11">
                  <c:v>872038.88888888888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0E-4901-A5B2-27DF7F79BACF}"/>
            </c:ext>
          </c:extLst>
        </c:ser>
        <c:ser>
          <c:idx val="1"/>
          <c:order val="1"/>
          <c:tx>
            <c:strRef>
              <c:f>'Sensitivity Analysis'!$D$43</c:f>
              <c:strCache>
                <c:ptCount val="1"/>
                <c:pt idx="0">
                  <c:v>Water Jet Cutting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5"/>
              <c:layout>
                <c:manualLayout>
                  <c:x val="-2.2591557258520186E-2"/>
                  <c:y val="6.1064557553807824E-2"/>
                </c:manualLayout>
              </c:layout>
              <c:spPr>
                <a:solidFill>
                  <a:schemeClr val="accent4">
                    <a:lumMod val="40000"/>
                    <a:lumOff val="60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0E-4901-A5B2-27DF7F79BACF}"/>
                </c:ext>
              </c:extLst>
            </c:dLbl>
            <c:dLbl>
              <c:idx val="7"/>
              <c:layout>
                <c:manualLayout>
                  <c:x val="-5.9665240665579371E-2"/>
                  <c:y val="-4.9318044632236803E-2"/>
                </c:manualLayout>
              </c:layout>
              <c:spPr>
                <a:solidFill>
                  <a:srgbClr val="00B050"/>
                </a:solidFill>
                <a:ln w="952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7214456138580522E-2"/>
                      <c:h val="6.09942833809718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C0E-4901-A5B2-27DF7F79BACF}"/>
                </c:ext>
              </c:extLst>
            </c:dLbl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'Sensitivity Analysis'!$B$60:$B$71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</c:numCache>
            </c:numRef>
          </c:xVal>
          <c:yVal>
            <c:numRef>
              <c:f>'Sensitivity Analysis'!$D$60:$D$71</c:f>
              <c:numCache>
                <c:formatCode>_ [$€-2]\ * #,##0.00_ ;_ [$€-2]\ * \-#,##0.00_ ;_ [$€-2]\ * "-"??_ ;_ @_ </c:formatCode>
                <c:ptCount val="12"/>
                <c:pt idx="0">
                  <c:v>706352.77777777775</c:v>
                </c:pt>
                <c:pt idx="1">
                  <c:v>715915.27777777775</c:v>
                </c:pt>
                <c:pt idx="2">
                  <c:v>725477.77777777775</c:v>
                </c:pt>
                <c:pt idx="3">
                  <c:v>735040.27777777775</c:v>
                </c:pt>
                <c:pt idx="4">
                  <c:v>744602.77777777775</c:v>
                </c:pt>
                <c:pt idx="5">
                  <c:v>754165.27777777775</c:v>
                </c:pt>
                <c:pt idx="6">
                  <c:v>763727.77777777775</c:v>
                </c:pt>
                <c:pt idx="7">
                  <c:v>773290.27777777775</c:v>
                </c:pt>
                <c:pt idx="8">
                  <c:v>782852.77777777775</c:v>
                </c:pt>
                <c:pt idx="9">
                  <c:v>792415.27777777775</c:v>
                </c:pt>
                <c:pt idx="10">
                  <c:v>801977.77777777775</c:v>
                </c:pt>
                <c:pt idx="11">
                  <c:v>811540.27777777775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0E-4901-A5B2-27DF7F79BACF}"/>
            </c:ext>
          </c:extLst>
        </c:ser>
        <c:ser>
          <c:idx val="2"/>
          <c:order val="2"/>
          <c:tx>
            <c:strRef>
              <c:f>'Sensitivity Analysis'!$E$43</c:f>
              <c:strCache>
                <c:ptCount val="1"/>
                <c:pt idx="0">
                  <c:v>3D Printing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'Sensitivity Analysis'!$B$60:$B$71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</c:numCache>
            </c:numRef>
          </c:xVal>
          <c:yVal>
            <c:numRef>
              <c:f>'Sensitivity Analysis'!$E$60:$E$71</c:f>
              <c:numCache>
                <c:formatCode>_ [$€-2]\ * #,##0.00_ ;_ [$€-2]\ * \-#,##0.00_ ;_ [$€-2]\ * "-"??_ ;_ @_ </c:formatCode>
                <c:ptCount val="12"/>
                <c:pt idx="0">
                  <c:v>682244.4444444445</c:v>
                </c:pt>
                <c:pt idx="1">
                  <c:v>694744.4444444445</c:v>
                </c:pt>
                <c:pt idx="2">
                  <c:v>707244.4444444445</c:v>
                </c:pt>
                <c:pt idx="3">
                  <c:v>719744.4444444445</c:v>
                </c:pt>
                <c:pt idx="4">
                  <c:v>732244.4444444445</c:v>
                </c:pt>
                <c:pt idx="5">
                  <c:v>744744.4444444445</c:v>
                </c:pt>
                <c:pt idx="6">
                  <c:v>757244.4444444445</c:v>
                </c:pt>
                <c:pt idx="7">
                  <c:v>769744.4444444445</c:v>
                </c:pt>
                <c:pt idx="8">
                  <c:v>782244.4444444445</c:v>
                </c:pt>
                <c:pt idx="9">
                  <c:v>794744.4444444445</c:v>
                </c:pt>
                <c:pt idx="10">
                  <c:v>807244.4444444445</c:v>
                </c:pt>
                <c:pt idx="11">
                  <c:v>819744.4444444445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0E-4901-A5B2-27DF7F79B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514111"/>
        <c:axId val="1626515775"/>
      </c:scatterChart>
      <c:valAx>
        <c:axId val="1626514111"/>
        <c:scaling>
          <c:orientation val="minMax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Energy cost</a:t>
                </a:r>
                <a:r>
                  <a:rPr lang="en-US" b="1" baseline="0"/>
                  <a:t> per KWH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15775"/>
        <c:crosses val="autoZero"/>
        <c:crossBetween val="midCat"/>
      </c:valAx>
      <c:valAx>
        <c:axId val="1626515775"/>
        <c:scaling>
          <c:orientation val="minMax"/>
          <c:min val="6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Unit Cost</a:t>
                </a:r>
              </a:p>
            </c:rich>
          </c:tx>
          <c:layout>
            <c:manualLayout>
              <c:xMode val="edge"/>
              <c:yMode val="edge"/>
              <c:x val="2.4630541871921183E-2"/>
              <c:y val="0.3352117964421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€-2]\ * #,##0.00_ ;_ [$€-2]\ * \-#,##0.00_ ;_ [$€-2]\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1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Volume vs Total Cost</a:t>
            </a:r>
          </a:p>
        </c:rich>
      </c:tx>
      <c:layout>
        <c:manualLayout>
          <c:xMode val="edge"/>
          <c:yMode val="edge"/>
          <c:x val="0.43194162668891845"/>
          <c:y val="2.9034461276430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748984039510236E-2"/>
          <c:y val="0.11824802053060147"/>
          <c:w val="0.8747412687286078"/>
          <c:h val="0.71533672380461788"/>
        </c:manualLayout>
      </c:layout>
      <c:scatterChart>
        <c:scatterStyle val="lineMarker"/>
        <c:varyColors val="0"/>
        <c:ser>
          <c:idx val="8"/>
          <c:order val="8"/>
          <c:tx>
            <c:strRef>
              <c:f>'Sensitivity Analysis'!$AF$5</c:f>
              <c:strCache>
                <c:ptCount val="1"/>
                <c:pt idx="0">
                  <c:v>CNC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'Sensitivity Analysis'!$W$5:$W$10</c:f>
              <c:numCache>
                <c:formatCode>General</c:formatCode>
                <c:ptCount val="6"/>
                <c:pt idx="1">
                  <c:v>5000</c:v>
                </c:pt>
                <c:pt idx="2">
                  <c:v>11586</c:v>
                </c:pt>
                <c:pt idx="3">
                  <c:v>21424</c:v>
                </c:pt>
                <c:pt idx="4">
                  <c:v>25000</c:v>
                </c:pt>
                <c:pt idx="5">
                  <c:v>30000</c:v>
                </c:pt>
              </c:numCache>
            </c:numRef>
          </c:xVal>
          <c:yVal>
            <c:numRef>
              <c:f>'Sensitivity Analysis'!$AF$5:$AF$10</c:f>
              <c:numCache>
                <c:formatCode>_ [$€-2]\ * #,##0.00_ ;_ [$€-2]\ * \-#,##0.00_ ;_ [$€-2]\ * "-"??_ ;_ @_ </c:formatCode>
                <c:ptCount val="6"/>
                <c:pt idx="0" formatCode="General">
                  <c:v>0</c:v>
                </c:pt>
                <c:pt idx="1">
                  <c:v>268755.55555555562</c:v>
                </c:pt>
                <c:pt idx="2">
                  <c:v>530241.70888888894</c:v>
                </c:pt>
                <c:pt idx="3">
                  <c:v>920843.10222222225</c:v>
                </c:pt>
                <c:pt idx="4">
                  <c:v>1062822.2222222222</c:v>
                </c:pt>
                <c:pt idx="5">
                  <c:v>1261338.888888889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92A-4D47-AFA0-FF771EBFF12A}"/>
            </c:ext>
          </c:extLst>
        </c:ser>
        <c:ser>
          <c:idx val="9"/>
          <c:order val="9"/>
          <c:tx>
            <c:strRef>
              <c:f>'Sensitivity Analysis'!$AG$5</c:f>
              <c:strCache>
                <c:ptCount val="1"/>
                <c:pt idx="0">
                  <c:v>Jet Cutting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'Sensitivity Analysis'!$W$5:$W$10</c:f>
              <c:numCache>
                <c:formatCode>General</c:formatCode>
                <c:ptCount val="6"/>
                <c:pt idx="1">
                  <c:v>5000</c:v>
                </c:pt>
                <c:pt idx="2">
                  <c:v>11586</c:v>
                </c:pt>
                <c:pt idx="3">
                  <c:v>21424</c:v>
                </c:pt>
                <c:pt idx="4">
                  <c:v>25000</c:v>
                </c:pt>
                <c:pt idx="5">
                  <c:v>30000</c:v>
                </c:pt>
              </c:numCache>
            </c:numRef>
          </c:xVal>
          <c:yVal>
            <c:numRef>
              <c:f>'Sensitivity Analysis'!$AG$5:$AG$10</c:f>
              <c:numCache>
                <c:formatCode>_ [$€-2]\ * #,##0.00_ ;_ [$€-2]\ * \-#,##0.00_ ;_ [$€-2]\ * "-"??_ ;_ @_ </c:formatCode>
                <c:ptCount val="6"/>
                <c:pt idx="0" formatCode="General">
                  <c:v>0</c:v>
                </c:pt>
                <c:pt idx="1">
                  <c:v>298569.4444444445</c:v>
                </c:pt>
                <c:pt idx="2">
                  <c:v>567135.54777777777</c:v>
                </c:pt>
                <c:pt idx="3">
                  <c:v>968312.79111111118</c:v>
                </c:pt>
                <c:pt idx="4">
                  <c:v>1114136.1111111112</c:v>
                </c:pt>
                <c:pt idx="5">
                  <c:v>1318027.7777777778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92A-4D47-AFA0-FF771EBFF12A}"/>
            </c:ext>
          </c:extLst>
        </c:ser>
        <c:ser>
          <c:idx val="10"/>
          <c:order val="10"/>
          <c:tx>
            <c:strRef>
              <c:f>'Sensitivity Analysis'!$AH$5</c:f>
              <c:strCache>
                <c:ptCount val="1"/>
                <c:pt idx="0">
                  <c:v>3D Printing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0F-45AC-B28C-161D004F582D}"/>
                </c:ext>
              </c:extLst>
            </c:dLbl>
            <c:dLbl>
              <c:idx val="2"/>
              <c:layout>
                <c:manualLayout>
                  <c:x val="4.3494038191703971E-2"/>
                  <c:y val="2.3551732805675612E-2"/>
                </c:manualLayout>
              </c:layout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0F-45AC-B28C-161D004F582D}"/>
                </c:ext>
              </c:extLst>
            </c:dLbl>
            <c:dLbl>
              <c:idx val="3"/>
              <c:layout>
                <c:manualLayout>
                  <c:x val="4.3494038191703971E-2"/>
                  <c:y val="3.2115999280466746E-2"/>
                </c:manualLayout>
              </c:layout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0F-45AC-B28C-161D004F582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0F-45AC-B28C-161D004F582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0F-45AC-B28C-161D004F58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'Sensitivity Analysis'!$W$5:$W$10</c:f>
              <c:numCache>
                <c:formatCode>General</c:formatCode>
                <c:ptCount val="6"/>
                <c:pt idx="1">
                  <c:v>5000</c:v>
                </c:pt>
                <c:pt idx="2">
                  <c:v>11586</c:v>
                </c:pt>
                <c:pt idx="3">
                  <c:v>21424</c:v>
                </c:pt>
                <c:pt idx="4">
                  <c:v>25000</c:v>
                </c:pt>
                <c:pt idx="5">
                  <c:v>30000</c:v>
                </c:pt>
              </c:numCache>
            </c:numRef>
          </c:xVal>
          <c:yVal>
            <c:numRef>
              <c:f>'Sensitivity Analysis'!$AH$5:$AH$10</c:f>
              <c:numCache>
                <c:formatCode>_ [$€-2]\ * #,##0.00_ ;_ [$€-2]\ * \-#,##0.00_ ;_ [$€-2]\ * "-"??_ ;_ @_ </c:formatCode>
                <c:ptCount val="6"/>
                <c:pt idx="0" formatCode="General">
                  <c:v>0</c:v>
                </c:pt>
                <c:pt idx="1">
                  <c:v>236844.44444444447</c:v>
                </c:pt>
                <c:pt idx="2">
                  <c:v>530184.88444444444</c:v>
                </c:pt>
                <c:pt idx="3">
                  <c:v>968369.40444444446</c:v>
                </c:pt>
                <c:pt idx="4">
                  <c:v>1141788.888888889</c:v>
                </c:pt>
                <c:pt idx="5">
                  <c:v>1364488.888888889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92A-4D47-AFA0-FF771EBFF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629311"/>
        <c:axId val="107261974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'Sensitivity Analysis'!$X$4</c15:sqref>
                        </c15:formulaRef>
                      </c:ext>
                    </c:extLst>
                    <c:strCache>
                      <c:ptCount val="1"/>
                      <c:pt idx="0">
                        <c:v>Variable Cost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'Sensitivity Analysis'!$W$5:$W$10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1">
                        <c:v>5000</c:v>
                      </c:pt>
                      <c:pt idx="2">
                        <c:v>11586</c:v>
                      </c:pt>
                      <c:pt idx="3">
                        <c:v>21424</c:v>
                      </c:pt>
                      <c:pt idx="4">
                        <c:v>25000</c:v>
                      </c:pt>
                      <c:pt idx="5">
                        <c:v>30000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'Sensitivity Analysis'!$X$5:$X$10</c15:sqref>
                        </c15:formulaRef>
                      </c:ext>
                    </c:extLst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92A-4D47-AFA0-FF771EBFF12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Analysis'!$Y$4</c15:sqref>
                        </c15:formulaRef>
                      </c:ext>
                    </c:extLst>
                    <c:strCache>
                      <c:ptCount val="1"/>
                      <c:pt idx="0">
                        <c:v>Fixed Cost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Analysis'!$W$5:$W$10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1">
                        <c:v>5000</c:v>
                      </c:pt>
                      <c:pt idx="2">
                        <c:v>11586</c:v>
                      </c:pt>
                      <c:pt idx="3">
                        <c:v>21424</c:v>
                      </c:pt>
                      <c:pt idx="4">
                        <c:v>25000</c:v>
                      </c:pt>
                      <c:pt idx="5">
                        <c:v>30000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Analysis'!$Y$5:$Y$10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92A-4D47-AFA0-FF771EBFF12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Analysis'!$Z$4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Analysis'!$W$5:$W$10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1">
                        <c:v>5000</c:v>
                      </c:pt>
                      <c:pt idx="2">
                        <c:v>11586</c:v>
                      </c:pt>
                      <c:pt idx="3">
                        <c:v>21424</c:v>
                      </c:pt>
                      <c:pt idx="4">
                        <c:v>25000</c:v>
                      </c:pt>
                      <c:pt idx="5">
                        <c:v>30000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Analysis'!$Z$5:$Z$10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92A-4D47-AFA0-FF771EBFF12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Analysis'!$AA$4</c15:sqref>
                        </c15:formulaRef>
                      </c:ext>
                    </c:extLst>
                    <c:strCache>
                      <c:ptCount val="1"/>
                      <c:pt idx="0">
                        <c:v>Variable 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Analysis'!$W$5:$W$10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1">
                        <c:v>5000</c:v>
                      </c:pt>
                      <c:pt idx="2">
                        <c:v>11586</c:v>
                      </c:pt>
                      <c:pt idx="3">
                        <c:v>21424</c:v>
                      </c:pt>
                      <c:pt idx="4">
                        <c:v>25000</c:v>
                      </c:pt>
                      <c:pt idx="5">
                        <c:v>30000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Analysis'!$AA$5:$AA$10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2A-4D47-AFA0-FF771EBFF12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Analysis'!$AB$4</c15:sqref>
                        </c15:formulaRef>
                      </c:ext>
                    </c:extLst>
                    <c:strCache>
                      <c:ptCount val="1"/>
                      <c:pt idx="0">
                        <c:v>Fixed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Analysis'!$W$5:$W$10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1">
                        <c:v>5000</c:v>
                      </c:pt>
                      <c:pt idx="2">
                        <c:v>11586</c:v>
                      </c:pt>
                      <c:pt idx="3">
                        <c:v>21424</c:v>
                      </c:pt>
                      <c:pt idx="4">
                        <c:v>25000</c:v>
                      </c:pt>
                      <c:pt idx="5">
                        <c:v>30000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Analysis'!$AB$5:$AB$10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2A-4D47-AFA0-FF771EBFF12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Analysis'!$AC$4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Analysis'!$W$5:$W$10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1">
                        <c:v>5000</c:v>
                      </c:pt>
                      <c:pt idx="2">
                        <c:v>11586</c:v>
                      </c:pt>
                      <c:pt idx="3">
                        <c:v>21424</c:v>
                      </c:pt>
                      <c:pt idx="4">
                        <c:v>25000</c:v>
                      </c:pt>
                      <c:pt idx="5">
                        <c:v>30000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Analysis'!$AC$5:$AC$10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92A-4D47-AFA0-FF771EBFF12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Analysis'!$AD$4</c15:sqref>
                        </c15:formulaRef>
                      </c:ext>
                    </c:extLst>
                    <c:strCache>
                      <c:ptCount val="1"/>
                      <c:pt idx="0">
                        <c:v>Variable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Analysis'!$W$5:$W$10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1">
                        <c:v>5000</c:v>
                      </c:pt>
                      <c:pt idx="2">
                        <c:v>11586</c:v>
                      </c:pt>
                      <c:pt idx="3">
                        <c:v>21424</c:v>
                      </c:pt>
                      <c:pt idx="4">
                        <c:v>25000</c:v>
                      </c:pt>
                      <c:pt idx="5">
                        <c:v>30000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Analysis'!$AD$5:$AD$10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92A-4D47-AFA0-FF771EBFF12A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Analysis'!$AE$4</c15:sqref>
                        </c15:formulaRef>
                      </c:ext>
                    </c:extLst>
                    <c:strCache>
                      <c:ptCount val="1"/>
                      <c:pt idx="0">
                        <c:v>Fixed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Analysis'!$W$5:$W$10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1">
                        <c:v>5000</c:v>
                      </c:pt>
                      <c:pt idx="2">
                        <c:v>11586</c:v>
                      </c:pt>
                      <c:pt idx="3">
                        <c:v>21424</c:v>
                      </c:pt>
                      <c:pt idx="4">
                        <c:v>25000</c:v>
                      </c:pt>
                      <c:pt idx="5">
                        <c:v>30000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'Sensitivity Analysis'!$AE$5:$AE$10</c15:sqref>
                        </c15:formulaRef>
                      </c:ext>
                    </c:extLst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92A-4D47-AFA0-FF771EBFF12A}"/>
                  </c:ext>
                </c:extLst>
              </c15:ser>
            </c15:filteredScatterSeries>
          </c:ext>
        </c:extLst>
      </c:scatterChart>
      <c:valAx>
        <c:axId val="107262931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619743"/>
        <c:crosses val="autoZero"/>
        <c:crossBetween val="midCat"/>
        <c:majorUnit val="2000"/>
      </c:valAx>
      <c:valAx>
        <c:axId val="1072619743"/>
        <c:scaling>
          <c:orientation val="minMax"/>
          <c:min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629311"/>
        <c:crosses val="autoZero"/>
        <c:crossBetween val="midCat"/>
        <c:majorUnit val="25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0336380596908513"/>
          <c:y val="0.89462562405516544"/>
          <c:w val="0.46179817449367383"/>
          <c:h val="6.57564659570926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No of Machine w.r.t. Volume</a:t>
            </a:r>
          </a:p>
        </c:rich>
      </c:tx>
      <c:layout>
        <c:manualLayout>
          <c:xMode val="edge"/>
          <c:yMode val="edge"/>
          <c:x val="0.40245434197543661"/>
          <c:y val="2.9680655428331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33825212120252E-2"/>
          <c:y val="0.12772656766761695"/>
          <c:w val="0.87961524045574324"/>
          <c:h val="0.61803549362006893"/>
        </c:manualLayout>
      </c:layout>
      <c:lineChart>
        <c:grouping val="standard"/>
        <c:varyColors val="0"/>
        <c:ser>
          <c:idx val="0"/>
          <c:order val="0"/>
          <c:tx>
            <c:strRef>
              <c:f>'Sensitivity Analysis'!$AF$29</c:f>
              <c:strCache>
                <c:ptCount val="1"/>
                <c:pt idx="0">
                  <c:v>CNC Milling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'Sensitivity Analysis'!$W$31:$AE$40</c:f>
              <c:numCache>
                <c:formatCode>General</c:formatCode>
                <c:ptCount val="10"/>
                <c:pt idx="0">
                  <c:v>5000</c:v>
                </c:pt>
                <c:pt idx="1">
                  <c:v>15000</c:v>
                </c:pt>
                <c:pt idx="2">
                  <c:v>25000</c:v>
                </c:pt>
                <c:pt idx="3">
                  <c:v>30000</c:v>
                </c:pt>
                <c:pt idx="4">
                  <c:v>50000</c:v>
                </c:pt>
                <c:pt idx="5">
                  <c:v>55000</c:v>
                </c:pt>
                <c:pt idx="6">
                  <c:v>65000</c:v>
                </c:pt>
                <c:pt idx="7">
                  <c:v>75000</c:v>
                </c:pt>
                <c:pt idx="8">
                  <c:v>85000</c:v>
                </c:pt>
                <c:pt idx="9">
                  <c:v>95000</c:v>
                </c:pt>
              </c:numCache>
            </c:numRef>
          </c:cat>
          <c:val>
            <c:numRef>
              <c:f>'Sensitivity Analysis'!$AF$31:$AF$40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F8-4517-BB6A-4CC83D5D73CC}"/>
            </c:ext>
          </c:extLst>
        </c:ser>
        <c:ser>
          <c:idx val="1"/>
          <c:order val="1"/>
          <c:tx>
            <c:strRef>
              <c:f>'Sensitivity Analysis'!$AG$29</c:f>
              <c:strCache>
                <c:ptCount val="1"/>
                <c:pt idx="0">
                  <c:v>Water Jet Cutting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lt1"/>
              </a:solidFill>
              <a:ln>
                <a:solidFill>
                  <a:srgbClr val="FF0000"/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'Sensitivity Analysis'!$W$31:$AE$40</c:f>
              <c:numCache>
                <c:formatCode>General</c:formatCode>
                <c:ptCount val="10"/>
                <c:pt idx="0">
                  <c:v>5000</c:v>
                </c:pt>
                <c:pt idx="1">
                  <c:v>15000</c:v>
                </c:pt>
                <c:pt idx="2">
                  <c:v>25000</c:v>
                </c:pt>
                <c:pt idx="3">
                  <c:v>30000</c:v>
                </c:pt>
                <c:pt idx="4">
                  <c:v>50000</c:v>
                </c:pt>
                <c:pt idx="5">
                  <c:v>55000</c:v>
                </c:pt>
                <c:pt idx="6">
                  <c:v>65000</c:v>
                </c:pt>
                <c:pt idx="7">
                  <c:v>75000</c:v>
                </c:pt>
                <c:pt idx="8">
                  <c:v>85000</c:v>
                </c:pt>
                <c:pt idx="9">
                  <c:v>95000</c:v>
                </c:pt>
              </c:numCache>
            </c:numRef>
          </c:cat>
          <c:val>
            <c:numRef>
              <c:f>'Sensitivity Analysis'!$AG$31:$AG$40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F8-4517-BB6A-4CC83D5D73CC}"/>
            </c:ext>
          </c:extLst>
        </c:ser>
        <c:ser>
          <c:idx val="2"/>
          <c:order val="2"/>
          <c:tx>
            <c:strRef>
              <c:f>'Sensitivity Analysis'!$AH$29</c:f>
              <c:strCache>
                <c:ptCount val="1"/>
                <c:pt idx="0">
                  <c:v>3D Printing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'Sensitivity Analysis'!$W$31:$AE$40</c:f>
              <c:numCache>
                <c:formatCode>General</c:formatCode>
                <c:ptCount val="10"/>
                <c:pt idx="0">
                  <c:v>5000</c:v>
                </c:pt>
                <c:pt idx="1">
                  <c:v>15000</c:v>
                </c:pt>
                <c:pt idx="2">
                  <c:v>25000</c:v>
                </c:pt>
                <c:pt idx="3">
                  <c:v>30000</c:v>
                </c:pt>
                <c:pt idx="4">
                  <c:v>50000</c:v>
                </c:pt>
                <c:pt idx="5">
                  <c:v>55000</c:v>
                </c:pt>
                <c:pt idx="6">
                  <c:v>65000</c:v>
                </c:pt>
                <c:pt idx="7">
                  <c:v>75000</c:v>
                </c:pt>
                <c:pt idx="8">
                  <c:v>85000</c:v>
                </c:pt>
                <c:pt idx="9">
                  <c:v>95000</c:v>
                </c:pt>
              </c:numCache>
            </c:numRef>
          </c:cat>
          <c:val>
            <c:numRef>
              <c:f>'Sensitivity Analysis'!$AH$31:$AH$40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F8-4517-BB6A-4CC83D5D73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60859599"/>
        <c:axId val="2060862511"/>
      </c:lineChart>
      <c:catAx>
        <c:axId val="206085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8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Voulme</a:t>
                </a:r>
              </a:p>
            </c:rich>
          </c:tx>
          <c:layout>
            <c:manualLayout>
              <c:xMode val="edge"/>
              <c:yMode val="edge"/>
              <c:x val="0.50502222494974969"/>
              <c:y val="0.8304660862248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60862511"/>
        <c:crosses val="autoZero"/>
        <c:auto val="1"/>
        <c:lblAlgn val="ctr"/>
        <c:lblOffset val="100"/>
        <c:noMultiLvlLbl val="0"/>
      </c:catAx>
      <c:valAx>
        <c:axId val="206086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7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 of Machine</a:t>
                </a:r>
              </a:p>
            </c:rich>
          </c:tx>
          <c:layout>
            <c:manualLayout>
              <c:xMode val="edge"/>
              <c:yMode val="edge"/>
              <c:x val="2.9331918538432401E-2"/>
              <c:y val="0.345351798529683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6085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 Printing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0"/>
          <c:tx>
            <c:strRef>
              <c:f>'Total Cost'!$N$2</c:f>
              <c:strCache>
                <c:ptCount val="1"/>
                <c:pt idx="0">
                  <c:v>3D Printing</c:v>
                </c:pt>
              </c:strCache>
              <c:extLst xmlns:c15="http://schemas.microsoft.com/office/drawing/2012/chart"/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A8C8-4810-AB03-EE4FC60FDD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2AD-4E91-BE75-7E51051B47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2AD-4E91-BE75-7E51051B47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2AD-4E91-BE75-7E51051B47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2AD-4E91-BE75-7E51051B470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2AD-4E91-BE75-7E51051B470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2AD-4E91-BE75-7E51051B470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941-4817-B720-6213F563AA46}"/>
              </c:ext>
            </c:extLst>
          </c:dPt>
          <c:dLbls>
            <c:dLbl>
              <c:idx val="5"/>
              <c:layout>
                <c:manualLayout>
                  <c:x val="-0.15174661927216893"/>
                  <c:y val="4.608578860396949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62AD-4E91-BE75-7E51051B470B}"/>
                </c:ext>
              </c:extLst>
            </c:dLbl>
            <c:dLbl>
              <c:idx val="6"/>
              <c:layout>
                <c:manualLayout>
                  <c:x val="-4.4196165871636488E-3"/>
                  <c:y val="9.4200085992385066E-3"/>
                </c:manualLayout>
              </c:layout>
              <c:tx>
                <c:rich>
                  <a:bodyPr/>
                  <a:lstStyle/>
                  <a:p>
                    <a:fld id="{78339D1C-70A3-4539-AA74-21CC371A3B30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421763E6-F374-4DDD-AAC0-A6F906E98423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325D2A0A-F30B-4339-BA17-044D46B8A9F0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B-62AD-4E91-BE75-7E51051B470B}"/>
                </c:ext>
              </c:extLst>
            </c:dLbl>
            <c:dLbl>
              <c:idx val="7"/>
              <c:layout>
                <c:manualLayout>
                  <c:x val="0.1616266517465379"/>
                  <c:y val="4.401516345362539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941-4817-B720-6213F563A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Cost'!$J$3:$J$10</c:f>
              <c:strCache>
                <c:ptCount val="8"/>
                <c:pt idx="0">
                  <c:v>Material Cost</c:v>
                </c:pt>
                <c:pt idx="1">
                  <c:v>Other Material Cost</c:v>
                </c:pt>
                <c:pt idx="2">
                  <c:v>Paint Cost</c:v>
                </c:pt>
                <c:pt idx="3">
                  <c:v>Energy Cost</c:v>
                </c:pt>
                <c:pt idx="4">
                  <c:v>Labor Cost</c:v>
                </c:pt>
                <c:pt idx="5">
                  <c:v>Depriciation</c:v>
                </c:pt>
                <c:pt idx="6">
                  <c:v>Imputed Interest</c:v>
                </c:pt>
                <c:pt idx="7">
                  <c:v>Maintainace Cost</c:v>
                </c:pt>
              </c:strCache>
            </c:strRef>
          </c:cat>
          <c:val>
            <c:numRef>
              <c:f>'Total Cost'!$N$3:$N$10</c:f>
              <c:numCache>
                <c:formatCode>_ [$€-2]\ * #,##0.00_ ;_ [$€-2]\ * \-#,##0.00_ ;_ [$€-2]\ * "-"??_ ;_ @_ </c:formatCode>
                <c:ptCount val="8"/>
                <c:pt idx="0">
                  <c:v>14.72</c:v>
                </c:pt>
                <c:pt idx="1">
                  <c:v>6.5533333333333337</c:v>
                </c:pt>
                <c:pt idx="2">
                  <c:v>2.6</c:v>
                </c:pt>
                <c:pt idx="3">
                  <c:v>0.83333333333333337</c:v>
                </c:pt>
                <c:pt idx="4">
                  <c:v>19.833333333333332</c:v>
                </c:pt>
                <c:pt idx="5">
                  <c:v>0.49629629629629629</c:v>
                </c:pt>
                <c:pt idx="6">
                  <c:v>0.13400000000000001</c:v>
                </c:pt>
                <c:pt idx="7">
                  <c:v>0.31266666666666665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C-62AD-4E91-BE75-7E51051B4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Unit Cost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296948704892258"/>
          <c:y val="0.13545079143297548"/>
          <c:w val="0.8533423609440195"/>
          <c:h val="0.6473737641924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'Total Cost'!$T$3</c:f>
              <c:strCache>
                <c:ptCount val="1"/>
                <c:pt idx="0">
                  <c:v>Variable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Cost'!$U$2:$W$2</c:f>
              <c:strCache>
                <c:ptCount val="3"/>
                <c:pt idx="0">
                  <c:v>CNC Milling</c:v>
                </c:pt>
                <c:pt idx="1">
                  <c:v>Water Custting</c:v>
                </c:pt>
                <c:pt idx="2">
                  <c:v>3D Printing </c:v>
                </c:pt>
              </c:strCache>
            </c:strRef>
          </c:cat>
          <c:val>
            <c:numRef>
              <c:f>'Total Cost'!$U$3:$W$3</c:f>
              <c:numCache>
                <c:formatCode>_ [$€-2]\ * #,##0.00_ ;_ [$€-2]\ * \-#,##0.00_ ;_ [$€-2]\ * "-"??_ ;_ @_ </c:formatCode>
                <c:ptCount val="3"/>
                <c:pt idx="0">
                  <c:v>595550</c:v>
                </c:pt>
                <c:pt idx="1">
                  <c:v>611675</c:v>
                </c:pt>
                <c:pt idx="2">
                  <c:v>668100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6-4AF6-8AD6-CD109B5AA6BE}"/>
            </c:ext>
          </c:extLst>
        </c:ser>
        <c:ser>
          <c:idx val="1"/>
          <c:order val="1"/>
          <c:tx>
            <c:strRef>
              <c:f>'Total Cost'!$T$4</c:f>
              <c:strCache>
                <c:ptCount val="1"/>
                <c:pt idx="0">
                  <c:v>Fixed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Cost'!$U$2:$W$2</c:f>
              <c:strCache>
                <c:ptCount val="3"/>
                <c:pt idx="0">
                  <c:v>CNC Milling</c:v>
                </c:pt>
                <c:pt idx="1">
                  <c:v>Water Custting</c:v>
                </c:pt>
                <c:pt idx="2">
                  <c:v>3D Printing </c:v>
                </c:pt>
              </c:strCache>
            </c:strRef>
          </c:cat>
          <c:val>
            <c:numRef>
              <c:f>'Total Cost'!$U$4:$W$4</c:f>
              <c:numCache>
                <c:formatCode>_ [$€-2]\ * #,##0.00_ ;_ [$€-2]\ * \-#,##0.00_ ;_ [$€-2]\ * "-"??_ ;_ @_ </c:formatCode>
                <c:ptCount val="3"/>
                <c:pt idx="0">
                  <c:v>70238.888888888891</c:v>
                </c:pt>
                <c:pt idx="1">
                  <c:v>94677.777777777781</c:v>
                </c:pt>
                <c:pt idx="2">
                  <c:v>14144.444444444445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6-4AF6-8AD6-CD109B5AA6B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93806736"/>
        <c:axId val="1393805488"/>
        <c:axId val="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'Total Cost'!$T$5</c15:sqref>
                        </c15:formulaRef>
                      </c:ext>
                    </c:extLst>
                    <c:strCache>
                      <c:ptCount val="1"/>
                      <c:pt idx="0">
                        <c:v>Total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'Total Cost'!$U$2:$W$2</c15:sqref>
                        </c15:formulaRef>
                      </c:ext>
                    </c:extLst>
                    <c:strCache>
                      <c:ptCount val="3"/>
                      <c:pt idx="0">
                        <c:v>CNC Milling</c:v>
                      </c:pt>
                      <c:pt idx="1">
                        <c:v>Water Custting</c:v>
                      </c:pt>
                      <c:pt idx="2">
                        <c:v>3D Printing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'Total Cost'!$U$5:$W$5</c15:sqref>
                        </c15:formulaRef>
                      </c:ext>
                    </c:extLst>
                    <c:numCache>
                      <c:formatCode>_ [$€-2]\ * #,##0.00_ ;_ [$€-2]\ * \-#,##0.00_ ;_ [$€-2]\ * "-"??_ ;_ @_ </c:formatCode>
                      <c:ptCount val="3"/>
                      <c:pt idx="0">
                        <c:v>665788.88888888888</c:v>
                      </c:pt>
                      <c:pt idx="1">
                        <c:v>706352.77777777775</c:v>
                      </c:pt>
                      <c:pt idx="2">
                        <c:v>682244.4444444445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716-4AF6-8AD6-CD109B5AA6BE}"/>
                  </c:ext>
                </c:extLst>
              </c15:ser>
            </c15:filteredBarSeries>
          </c:ext>
        </c:extLst>
      </c:bar3DChart>
      <c:catAx>
        <c:axId val="1393806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u="sng"/>
                  <a:t>Manufacturing Process</a:t>
                </a:r>
              </a:p>
            </c:rich>
          </c:tx>
          <c:layout>
            <c:manualLayout>
              <c:xMode val="edge"/>
              <c:yMode val="edge"/>
              <c:x val="0.44009508834561573"/>
              <c:y val="0.848919012535123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805488"/>
        <c:crosses val="autoZero"/>
        <c:auto val="1"/>
        <c:lblAlgn val="ctr"/>
        <c:lblOffset val="100"/>
        <c:noMultiLvlLbl val="0"/>
      </c:catAx>
      <c:valAx>
        <c:axId val="139380548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 Cost</a:t>
                </a:r>
              </a:p>
            </c:rich>
          </c:tx>
          <c:layout>
            <c:manualLayout>
              <c:xMode val="edge"/>
              <c:yMode val="edge"/>
              <c:x val="1.2609207215973707E-2"/>
              <c:y val="0.42932530271114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€-2]\ 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80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Jet Cutting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0"/>
          <c:tx>
            <c:strRef>
              <c:f>'Total Cost'!$M$2</c:f>
              <c:strCache>
                <c:ptCount val="1"/>
                <c:pt idx="0">
                  <c:v>Jet Cutting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A9-4CC0-9B18-8AF03F86E7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A9-4CC0-9B18-8AF03F86E7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A9-4CC0-9B18-8AF03F86E7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3A9-4CC0-9B18-8AF03F86E7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3A9-4CC0-9B18-8AF03F86E7B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3A9-4CC0-9B18-8AF03F86E7B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3A9-4CC0-9B18-8AF03F86E7B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3A9-4CC0-9B18-8AF03F86E7B8}"/>
              </c:ext>
            </c:extLst>
          </c:dPt>
          <c:dLbls>
            <c:dLbl>
              <c:idx val="5"/>
              <c:layout>
                <c:manualLayout>
                  <c:x val="-0.10425125699648989"/>
                  <c:y val="1.662002761927971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3A9-4CC0-9B18-8AF03F86E7B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8339D1C-70A3-4539-AA74-21CC371A3B30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421763E6-F374-4DDD-AAC0-A6F906E98423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325D2A0A-F30B-4339-BA17-044D46B8A9F0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13A9-4CC0-9B18-8AF03F86E7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Cost'!$J$3:$J$10</c:f>
              <c:strCache>
                <c:ptCount val="8"/>
                <c:pt idx="0">
                  <c:v>Material Cost</c:v>
                </c:pt>
                <c:pt idx="1">
                  <c:v>Other Material Cost</c:v>
                </c:pt>
                <c:pt idx="2">
                  <c:v>Paint Cost</c:v>
                </c:pt>
                <c:pt idx="3">
                  <c:v>Energy Cost</c:v>
                </c:pt>
                <c:pt idx="4">
                  <c:v>Labor Cost</c:v>
                </c:pt>
                <c:pt idx="5">
                  <c:v>Depriciation</c:v>
                </c:pt>
                <c:pt idx="6">
                  <c:v>Imputed Interest</c:v>
                </c:pt>
                <c:pt idx="7">
                  <c:v>Maintainace Cost</c:v>
                </c:pt>
              </c:strCache>
            </c:strRef>
          </c:cat>
          <c:val>
            <c:numRef>
              <c:f>'Total Cost'!$M$3:$M$10</c:f>
              <c:numCache>
                <c:formatCode>_ [$€-2]\ * #,##0.00_ ;_ [$€-2]\ * \-#,##0.00_ ;_ [$€-2]\ * "-"??_ ;_ @_ </c:formatCode>
                <c:ptCount val="8"/>
                <c:pt idx="0">
                  <c:v>15.999999999999998</c:v>
                </c:pt>
                <c:pt idx="1">
                  <c:v>1.7075</c:v>
                </c:pt>
                <c:pt idx="2">
                  <c:v>2.6</c:v>
                </c:pt>
                <c:pt idx="3">
                  <c:v>0.63749999999999996</c:v>
                </c:pt>
                <c:pt idx="4">
                  <c:v>19.833333333333332</c:v>
                </c:pt>
                <c:pt idx="5">
                  <c:v>3.1851851851851856</c:v>
                </c:pt>
                <c:pt idx="6">
                  <c:v>0.98</c:v>
                </c:pt>
                <c:pt idx="7">
                  <c:v>2.1466666666666669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13A9-4CC0-9B18-8AF03F86E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CNC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0"/>
          <c:tx>
            <c:strRef>
              <c:f>'Total Cost'!$L$2</c:f>
              <c:strCache>
                <c:ptCount val="1"/>
                <c:pt idx="0">
                  <c:v>CNC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B2-4C9A-B29B-D315B12723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B2-4C9A-B29B-D315B12723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B2-4C9A-B29B-D315B12723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6B2-4C9A-B29B-D315B12723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6B2-4C9A-B29B-D315B12723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6B2-4C9A-B29B-D315B127231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6B2-4C9A-B29B-D315B127231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6B2-4C9A-B29B-D315B1272319}"/>
              </c:ext>
            </c:extLst>
          </c:dPt>
          <c:dLbls>
            <c:dLbl>
              <c:idx val="5"/>
              <c:layout>
                <c:manualLayout>
                  <c:x val="-0.10425125699648989"/>
                  <c:y val="1.662002761927971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6B2-4C9A-B29B-D315B127231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8339D1C-70A3-4539-AA74-21CC371A3B30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421763E6-F374-4DDD-AAC0-A6F906E98423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325D2A0A-F30B-4339-BA17-044D46B8A9F0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26B2-4C9A-B29B-D315B12723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Cost'!$J$3:$J$10</c:f>
              <c:strCache>
                <c:ptCount val="8"/>
                <c:pt idx="0">
                  <c:v>Material Cost</c:v>
                </c:pt>
                <c:pt idx="1">
                  <c:v>Other Material Cost</c:v>
                </c:pt>
                <c:pt idx="2">
                  <c:v>Paint Cost</c:v>
                </c:pt>
                <c:pt idx="3">
                  <c:v>Energy Cost</c:v>
                </c:pt>
                <c:pt idx="4">
                  <c:v>Labor Cost</c:v>
                </c:pt>
                <c:pt idx="5">
                  <c:v>Depriciation</c:v>
                </c:pt>
                <c:pt idx="6">
                  <c:v>Imputed Interest</c:v>
                </c:pt>
                <c:pt idx="7">
                  <c:v>Maintainace Cost</c:v>
                </c:pt>
              </c:strCache>
            </c:strRef>
          </c:cat>
          <c:val>
            <c:numRef>
              <c:f>'Total Cost'!$L$3:$L$10</c:f>
              <c:numCache>
                <c:formatCode>_ [$€-2]\ * #,##0.00_ ;_ [$€-2]\ * \-#,##0.00_ ;_ [$€-2]\ * "-"??_ ;_ @_ </c:formatCode>
                <c:ptCount val="8"/>
                <c:pt idx="0">
                  <c:v>15.999999999999998</c:v>
                </c:pt>
                <c:pt idx="1">
                  <c:v>0.02</c:v>
                </c:pt>
                <c:pt idx="2">
                  <c:v>2.6</c:v>
                </c:pt>
                <c:pt idx="3">
                  <c:v>1.25</c:v>
                </c:pt>
                <c:pt idx="4">
                  <c:v>19.833333333333332</c:v>
                </c:pt>
                <c:pt idx="5">
                  <c:v>2.2592592592592595</c:v>
                </c:pt>
                <c:pt idx="6">
                  <c:v>0.79</c:v>
                </c:pt>
                <c:pt idx="7">
                  <c:v>1.6333333333333335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26B2-4C9A-B29B-D315B1272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8132</xdr:colOff>
      <xdr:row>26</xdr:row>
      <xdr:rowOff>17781</xdr:rowOff>
    </xdr:from>
    <xdr:to>
      <xdr:col>10</xdr:col>
      <xdr:colOff>1743207</xdr:colOff>
      <xdr:row>41</xdr:row>
      <xdr:rowOff>58834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3BCE30-C4CF-4326-AA36-B8D33F562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799220</xdr:colOff>
      <xdr:row>41</xdr:row>
      <xdr:rowOff>120283</xdr:rowOff>
    </xdr:from>
    <xdr:to>
      <xdr:col>10</xdr:col>
      <xdr:colOff>1764082</xdr:colOff>
      <xdr:row>57</xdr:row>
      <xdr:rowOff>694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85818B-A8B8-4345-BD28-E2229B16C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24042</xdr:colOff>
      <xdr:row>82</xdr:row>
      <xdr:rowOff>126179</xdr:rowOff>
    </xdr:from>
    <xdr:to>
      <xdr:col>10</xdr:col>
      <xdr:colOff>1764083</xdr:colOff>
      <xdr:row>102</xdr:row>
      <xdr:rowOff>29245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315D91-54AC-4C44-9BB0-4A3C9E43D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803114</xdr:colOff>
      <xdr:row>102</xdr:row>
      <xdr:rowOff>57038</xdr:rowOff>
    </xdr:from>
    <xdr:to>
      <xdr:col>10</xdr:col>
      <xdr:colOff>1764082</xdr:colOff>
      <xdr:row>122</xdr:row>
      <xdr:rowOff>153579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9B9EBE2-E792-4E8F-BC8C-413A1C185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18297</xdr:colOff>
      <xdr:row>123</xdr:row>
      <xdr:rowOff>155101</xdr:rowOff>
    </xdr:from>
    <xdr:to>
      <xdr:col>10</xdr:col>
      <xdr:colOff>1732767</xdr:colOff>
      <xdr:row>144</xdr:row>
      <xdr:rowOff>30935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14C358-D164-4272-AF27-EBBC51FE3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21120</xdr:colOff>
      <xdr:row>144</xdr:row>
      <xdr:rowOff>129805</xdr:rowOff>
    </xdr:from>
    <xdr:to>
      <xdr:col>10</xdr:col>
      <xdr:colOff>1701452</xdr:colOff>
      <xdr:row>165</xdr:row>
      <xdr:rowOff>5639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D499F2F-6FCC-4EE5-9209-17ED51F64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3282</xdr:colOff>
      <xdr:row>18</xdr:row>
      <xdr:rowOff>151164</xdr:rowOff>
    </xdr:from>
    <xdr:to>
      <xdr:col>19</xdr:col>
      <xdr:colOff>582705</xdr:colOff>
      <xdr:row>49</xdr:row>
      <xdr:rowOff>44823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DA88C8-B86B-4D02-BEA6-6AA6B80D5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32535</xdr:colOff>
      <xdr:row>57</xdr:row>
      <xdr:rowOff>42974</xdr:rowOff>
    </xdr:from>
    <xdr:to>
      <xdr:col>10</xdr:col>
      <xdr:colOff>1784959</xdr:colOff>
      <xdr:row>82</xdr:row>
      <xdr:rowOff>100159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83E1BD9-841A-4A20-BCA8-6F685E76F1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69568</xdr:colOff>
      <xdr:row>2</xdr:row>
      <xdr:rowOff>154005</xdr:rowOff>
    </xdr:from>
    <xdr:to>
      <xdr:col>41</xdr:col>
      <xdr:colOff>638959</xdr:colOff>
      <xdr:row>22</xdr:row>
      <xdr:rowOff>148247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52DADF-BC0A-4F93-8BD4-611F3FF24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64439</xdr:colOff>
      <xdr:row>26</xdr:row>
      <xdr:rowOff>170140</xdr:rowOff>
    </xdr:from>
    <xdr:to>
      <xdr:col>41</xdr:col>
      <xdr:colOff>626301</xdr:colOff>
      <xdr:row>46</xdr:row>
      <xdr:rowOff>54643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1F3B7E-9B62-49C4-A43B-997D30A8D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362758</xdr:colOff>
      <xdr:row>13</xdr:row>
      <xdr:rowOff>45904</xdr:rowOff>
    </xdr:from>
    <xdr:to>
      <xdr:col>17</xdr:col>
      <xdr:colOff>233225</xdr:colOff>
      <xdr:row>36</xdr:row>
      <xdr:rowOff>145920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4659C3-6141-481F-902E-3C1BB2786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13363</xdr:colOff>
      <xdr:row>6</xdr:row>
      <xdr:rowOff>173724</xdr:rowOff>
    </xdr:from>
    <xdr:to>
      <xdr:col>26</xdr:col>
      <xdr:colOff>505637</xdr:colOff>
      <xdr:row>26</xdr:row>
      <xdr:rowOff>103777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AA1FDC4-C855-4BB0-B4B1-9C2D928BB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361461</xdr:colOff>
      <xdr:row>38</xdr:row>
      <xdr:rowOff>87923</xdr:rowOff>
    </xdr:from>
    <xdr:to>
      <xdr:col>17</xdr:col>
      <xdr:colOff>231928</xdr:colOff>
      <xdr:row>60</xdr:row>
      <xdr:rowOff>129451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040E37-5641-4325-AB38-D82B4FC9B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332153</xdr:colOff>
      <xdr:row>62</xdr:row>
      <xdr:rowOff>19538</xdr:rowOff>
    </xdr:from>
    <xdr:to>
      <xdr:col>17</xdr:col>
      <xdr:colOff>202620</xdr:colOff>
      <xdr:row>84</xdr:row>
      <xdr:rowOff>61065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EAAA3B-CCAB-4215-AA72-E1631306C4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H1000"/>
  <sheetViews>
    <sheetView topLeftCell="A14" zoomScale="73" zoomScaleNormal="93" workbookViewId="0">
      <selection activeCell="F39" sqref="F39"/>
    </sheetView>
  </sheetViews>
  <sheetFormatPr defaultColWidth="14.4609375" defaultRowHeight="15" customHeight="1" x14ac:dyDescent="0.35"/>
  <cols>
    <col min="1" max="1" width="3.69140625" style="198" customWidth="1"/>
    <col min="2" max="2" width="33.07421875" style="198" customWidth="1"/>
    <col min="3" max="5" width="21" style="198" customWidth="1"/>
    <col min="6" max="6" width="11.69140625" style="198" customWidth="1"/>
    <col min="7" max="7" width="19.4609375" style="198" customWidth="1"/>
    <col min="8" max="10" width="19.69140625" style="198" customWidth="1"/>
    <col min="11" max="11" width="30.23046875" style="198" customWidth="1"/>
    <col min="12" max="12" width="8.69140625" style="198" customWidth="1"/>
    <col min="13" max="15" width="16.23046875" style="198" customWidth="1"/>
    <col min="16" max="20" width="8.69140625" style="198" customWidth="1"/>
    <col min="21" max="22" width="11.84375" style="198" customWidth="1"/>
    <col min="23" max="23" width="14.4609375" style="198"/>
    <col min="24" max="31" width="14.4609375" style="198" hidden="1" customWidth="1"/>
    <col min="32" max="34" width="19" style="198" customWidth="1"/>
    <col min="35" max="35" width="6.23046875" style="198" customWidth="1"/>
    <col min="36" max="16384" width="14.4609375" style="198"/>
  </cols>
  <sheetData>
    <row r="1" spans="2:34" ht="14.25" customHeight="1" thickBot="1" x14ac:dyDescent="0.4"/>
    <row r="2" spans="2:34" ht="14.25" customHeight="1" thickBot="1" x14ac:dyDescent="0.4">
      <c r="B2" s="199" t="s">
        <v>0</v>
      </c>
      <c r="C2" s="200" t="s">
        <v>163</v>
      </c>
      <c r="D2" s="200" t="s">
        <v>164</v>
      </c>
      <c r="E2" s="201" t="s">
        <v>2</v>
      </c>
      <c r="G2" s="202" t="s">
        <v>3</v>
      </c>
      <c r="H2" s="203">
        <v>15000</v>
      </c>
      <c r="L2" s="198" t="s">
        <v>89</v>
      </c>
    </row>
    <row r="3" spans="2:34" ht="14.25" customHeight="1" thickBot="1" x14ac:dyDescent="0.4">
      <c r="B3" s="204" t="s">
        <v>5</v>
      </c>
      <c r="C3" s="205">
        <v>350000</v>
      </c>
      <c r="D3" s="205">
        <v>460000</v>
      </c>
      <c r="E3" s="206">
        <v>67000</v>
      </c>
      <c r="X3" s="315" t="s">
        <v>1</v>
      </c>
      <c r="Y3" s="316"/>
      <c r="Z3" s="207"/>
      <c r="AA3" s="317" t="s">
        <v>90</v>
      </c>
      <c r="AB3" s="316"/>
      <c r="AC3" s="207"/>
      <c r="AD3" s="317" t="s">
        <v>91</v>
      </c>
      <c r="AE3" s="316"/>
    </row>
    <row r="4" spans="2:34" ht="14.25" customHeight="1" thickBot="1" x14ac:dyDescent="0.4">
      <c r="B4" s="208" t="s">
        <v>6</v>
      </c>
      <c r="C4" s="209">
        <v>45000</v>
      </c>
      <c r="D4" s="209">
        <v>30000</v>
      </c>
      <c r="E4" s="210">
        <v>0</v>
      </c>
      <c r="G4" s="320" t="s">
        <v>7</v>
      </c>
      <c r="H4" s="321"/>
      <c r="I4" s="322"/>
      <c r="L4" s="211" t="s">
        <v>86</v>
      </c>
      <c r="M4" s="212" t="str">
        <f>C2</f>
        <v xml:space="preserve">CNC Milling </v>
      </c>
      <c r="N4" s="212" t="str">
        <f t="shared" ref="N4:O4" si="0">D2</f>
        <v>Water Jet Cutting</v>
      </c>
      <c r="O4" s="212" t="str">
        <f t="shared" si="0"/>
        <v>3D Printing</v>
      </c>
      <c r="W4" s="326" t="s">
        <v>86</v>
      </c>
      <c r="X4" s="213" t="s">
        <v>80</v>
      </c>
      <c r="Y4" s="213" t="s">
        <v>65</v>
      </c>
      <c r="Z4" s="213"/>
      <c r="AA4" s="213" t="s">
        <v>92</v>
      </c>
      <c r="AB4" s="213" t="s">
        <v>93</v>
      </c>
      <c r="AC4" s="213"/>
      <c r="AD4" s="213" t="s">
        <v>94</v>
      </c>
      <c r="AE4" s="213" t="s">
        <v>93</v>
      </c>
      <c r="AF4" s="331" t="s">
        <v>168</v>
      </c>
      <c r="AG4" s="332"/>
      <c r="AH4" s="333"/>
    </row>
    <row r="5" spans="2:34" ht="14.25" customHeight="1" x14ac:dyDescent="0.35">
      <c r="B5" s="208" t="s">
        <v>8</v>
      </c>
      <c r="C5" s="209">
        <v>9</v>
      </c>
      <c r="D5" s="209">
        <v>9</v>
      </c>
      <c r="E5" s="210">
        <v>9</v>
      </c>
      <c r="G5" s="214" t="s">
        <v>9</v>
      </c>
      <c r="H5" s="205">
        <v>30</v>
      </c>
      <c r="I5" s="215" t="s">
        <v>10</v>
      </c>
      <c r="L5" s="216"/>
      <c r="M5" s="217">
        <f>'Total Cost'!C56</f>
        <v>44.385925925925925</v>
      </c>
      <c r="N5" s="217">
        <f>'Total Cost'!D56</f>
        <v>47.090185185185184</v>
      </c>
      <c r="O5" s="218">
        <f>'Total Cost'!E56</f>
        <v>45.482962962962965</v>
      </c>
      <c r="W5" s="327"/>
      <c r="X5" s="219">
        <f>'Total Cost'!C35</f>
        <v>39.703333333333333</v>
      </c>
      <c r="Y5" s="219">
        <f>'Total Cost'!C51</f>
        <v>70238.888888888891</v>
      </c>
      <c r="Z5" s="219"/>
      <c r="AA5" s="219">
        <f>'Total Cost'!D35</f>
        <v>40.778333333333336</v>
      </c>
      <c r="AB5" s="219">
        <f>'Total Cost'!D51</f>
        <v>94677.777777777781</v>
      </c>
      <c r="AC5" s="219"/>
      <c r="AD5" s="219">
        <f>'Total Cost'!E35</f>
        <v>44.54</v>
      </c>
      <c r="AE5" s="219">
        <f>'Total Cost'!E51</f>
        <v>14144.444444444445</v>
      </c>
      <c r="AF5" s="220" t="s">
        <v>1</v>
      </c>
      <c r="AG5" s="220" t="s">
        <v>70</v>
      </c>
      <c r="AH5" s="221" t="s">
        <v>2</v>
      </c>
    </row>
    <row r="6" spans="2:34" ht="14.25" customHeight="1" x14ac:dyDescent="0.35">
      <c r="B6" s="208" t="s">
        <v>11</v>
      </c>
      <c r="C6" s="222">
        <v>7.0000000000000007E-2</v>
      </c>
      <c r="D6" s="222">
        <v>7.0000000000000007E-2</v>
      </c>
      <c r="E6" s="223">
        <v>7.0000000000000007E-2</v>
      </c>
      <c r="G6" s="224" t="s">
        <v>12</v>
      </c>
      <c r="H6" s="225">
        <f>0.05</f>
        <v>0.05</v>
      </c>
      <c r="I6" s="226" t="s">
        <v>13</v>
      </c>
      <c r="L6" s="227">
        <v>5000</v>
      </c>
      <c r="M6" s="228">
        <f t="dataTable" ref="M6:O15" dt2D="0" dtr="0" r1="H2" ca="1"/>
        <v>53.751111111111115</v>
      </c>
      <c r="N6" s="228">
        <v>59.713888888888903</v>
      </c>
      <c r="O6" s="229">
        <v>47.36888888888889</v>
      </c>
      <c r="W6" s="230">
        <v>5000</v>
      </c>
      <c r="X6" s="231">
        <f t="dataTable" ref="X6:AE13" dt2D="0" dtr="0" r1="H2"/>
        <v>39.703333333333347</v>
      </c>
      <c r="Y6" s="231">
        <v>70238.888888888891</v>
      </c>
      <c r="Z6" s="231">
        <v>0</v>
      </c>
      <c r="AA6" s="231">
        <v>40.778333333333343</v>
      </c>
      <c r="AB6" s="231">
        <v>94677.777777777781</v>
      </c>
      <c r="AC6" s="231">
        <v>0</v>
      </c>
      <c r="AD6" s="231">
        <v>44.540000000000006</v>
      </c>
      <c r="AE6" s="231">
        <v>14144.444444444445</v>
      </c>
      <c r="AF6" s="228">
        <f>X6*W6+Y6</f>
        <v>268755.55555555562</v>
      </c>
      <c r="AG6" s="228">
        <f>AA6*W6+AB6</f>
        <v>298569.4444444445</v>
      </c>
      <c r="AH6" s="229">
        <f>AD6*W6+AE6</f>
        <v>236844.44444444447</v>
      </c>
    </row>
    <row r="7" spans="2:34" ht="14.25" customHeight="1" x14ac:dyDescent="0.35">
      <c r="B7" s="208" t="s">
        <v>14</v>
      </c>
      <c r="C7" s="222">
        <v>0.06</v>
      </c>
      <c r="D7" s="222">
        <v>0.06</v>
      </c>
      <c r="E7" s="223">
        <v>0.06</v>
      </c>
      <c r="G7" s="232" t="s">
        <v>15</v>
      </c>
      <c r="H7" s="233">
        <v>0.04</v>
      </c>
      <c r="I7" s="234"/>
      <c r="L7" s="227">
        <v>23000</v>
      </c>
      <c r="M7" s="228">
        <v>42.757198067632856</v>
      </c>
      <c r="N7" s="228">
        <v>44.894758454106281</v>
      </c>
      <c r="O7" s="229">
        <v>45.154975845410632</v>
      </c>
      <c r="W7" s="230">
        <v>11586</v>
      </c>
      <c r="X7" s="231">
        <v>39.703333333333333</v>
      </c>
      <c r="Y7" s="231">
        <v>70238.888888888891</v>
      </c>
      <c r="Z7" s="231">
        <v>0</v>
      </c>
      <c r="AA7" s="231">
        <v>40.778333333333336</v>
      </c>
      <c r="AB7" s="231">
        <v>94677.777777777781</v>
      </c>
      <c r="AC7" s="231">
        <v>0</v>
      </c>
      <c r="AD7" s="231">
        <v>44.54</v>
      </c>
      <c r="AE7" s="231">
        <v>14144.444444444445</v>
      </c>
      <c r="AF7" s="228">
        <f t="shared" ref="AF7:AF10" si="1">X7*W7+Y7</f>
        <v>530241.70888888894</v>
      </c>
      <c r="AG7" s="228">
        <f t="shared" ref="AG7:AG9" si="2">AA7*W7+AB7</f>
        <v>567135.54777777777</v>
      </c>
      <c r="AH7" s="229">
        <f t="shared" ref="AH7:AH10" si="3">AD7*W7+AE7</f>
        <v>530184.88444444444</v>
      </c>
    </row>
    <row r="8" spans="2:34" ht="14.25" customHeight="1" x14ac:dyDescent="0.35">
      <c r="B8" s="235" t="s">
        <v>16</v>
      </c>
      <c r="C8" s="222">
        <v>0.7</v>
      </c>
      <c r="D8" s="222">
        <v>0.85</v>
      </c>
      <c r="E8" s="223">
        <v>0.9</v>
      </c>
      <c r="G8" s="224" t="s">
        <v>17</v>
      </c>
      <c r="H8" s="236">
        <f>H9-H6</f>
        <v>1.9999999999999948E-3</v>
      </c>
      <c r="I8" s="226" t="s">
        <v>13</v>
      </c>
      <c r="L8" s="227">
        <v>24000</v>
      </c>
      <c r="M8" s="228">
        <v>42.629953703703706</v>
      </c>
      <c r="N8" s="228">
        <v>44.723240740740742</v>
      </c>
      <c r="O8" s="229">
        <v>45.71870370370371</v>
      </c>
      <c r="W8" s="230">
        <v>21424</v>
      </c>
      <c r="X8" s="231">
        <v>39.703333333333333</v>
      </c>
      <c r="Y8" s="231">
        <v>70238.888888888891</v>
      </c>
      <c r="Z8" s="231">
        <v>0</v>
      </c>
      <c r="AA8" s="231">
        <v>40.778333333333336</v>
      </c>
      <c r="AB8" s="231">
        <v>94677.777777777781</v>
      </c>
      <c r="AC8" s="231">
        <v>0</v>
      </c>
      <c r="AD8" s="231">
        <v>44.54</v>
      </c>
      <c r="AE8" s="231">
        <v>14144.444444444445</v>
      </c>
      <c r="AF8" s="228">
        <f t="shared" si="1"/>
        <v>920843.10222222225</v>
      </c>
      <c r="AG8" s="228">
        <f t="shared" si="2"/>
        <v>968312.79111111118</v>
      </c>
      <c r="AH8" s="229">
        <f t="shared" si="3"/>
        <v>968369.40444444446</v>
      </c>
    </row>
    <row r="9" spans="2:34" ht="14.25" customHeight="1" x14ac:dyDescent="0.35">
      <c r="B9" s="208" t="s">
        <v>18</v>
      </c>
      <c r="C9" s="209">
        <v>25</v>
      </c>
      <c r="D9" s="209">
        <v>17</v>
      </c>
      <c r="E9" s="210">
        <v>10</v>
      </c>
      <c r="G9" s="224" t="s">
        <v>19</v>
      </c>
      <c r="H9" s="237">
        <f>ROUNDDOWN(H6/0.96,4)</f>
        <v>5.1999999999999998E-2</v>
      </c>
      <c r="I9" s="234" t="s">
        <v>13</v>
      </c>
      <c r="J9" s="238"/>
      <c r="L9" s="227">
        <v>30000</v>
      </c>
      <c r="M9" s="228">
        <v>42.044629629629632</v>
      </c>
      <c r="N9" s="228">
        <v>43.934259259259257</v>
      </c>
      <c r="O9" s="229">
        <v>45.482962962962965</v>
      </c>
      <c r="W9" s="230">
        <v>25000</v>
      </c>
      <c r="X9" s="231">
        <v>39.703333333333333</v>
      </c>
      <c r="Y9" s="231">
        <v>70238.888888888891</v>
      </c>
      <c r="Z9" s="231">
        <v>0</v>
      </c>
      <c r="AA9" s="231">
        <v>40.778333333333336</v>
      </c>
      <c r="AB9" s="231">
        <v>94677.777777777781</v>
      </c>
      <c r="AC9" s="231">
        <v>0</v>
      </c>
      <c r="AD9" s="231">
        <v>44.54</v>
      </c>
      <c r="AE9" s="231">
        <v>28288.888888888891</v>
      </c>
      <c r="AF9" s="228">
        <f t="shared" si="1"/>
        <v>1062822.2222222222</v>
      </c>
      <c r="AG9" s="228">
        <f t="shared" si="2"/>
        <v>1114136.1111111112</v>
      </c>
      <c r="AH9" s="229">
        <f t="shared" si="3"/>
        <v>1141788.888888889</v>
      </c>
    </row>
    <row r="10" spans="2:34" ht="14.25" customHeight="1" thickBot="1" x14ac:dyDescent="0.4">
      <c r="B10" s="208" t="s">
        <v>20</v>
      </c>
      <c r="C10" s="222">
        <v>0.75</v>
      </c>
      <c r="D10" s="222">
        <v>0.8</v>
      </c>
      <c r="E10" s="223">
        <v>0.95</v>
      </c>
      <c r="G10" s="239" t="s">
        <v>21</v>
      </c>
      <c r="H10" s="240">
        <v>38</v>
      </c>
      <c r="I10" s="241" t="s">
        <v>22</v>
      </c>
      <c r="J10" s="242">
        <f>H10*(H5/60)*H2</f>
        <v>285000</v>
      </c>
      <c r="K10" s="198" t="s">
        <v>23</v>
      </c>
      <c r="L10" s="227">
        <v>31000</v>
      </c>
      <c r="M10" s="228">
        <v>44.234874551971323</v>
      </c>
      <c r="N10" s="228">
        <v>43.83245519713261</v>
      </c>
      <c r="O10" s="229">
        <v>45.452544802867386</v>
      </c>
      <c r="W10" s="230">
        <v>30000</v>
      </c>
      <c r="X10" s="231">
        <v>39.703333333333333</v>
      </c>
      <c r="Y10" s="231">
        <v>70238.888888888891</v>
      </c>
      <c r="Z10" s="231">
        <v>0</v>
      </c>
      <c r="AA10" s="231">
        <v>40.778333333333336</v>
      </c>
      <c r="AB10" s="231">
        <v>94677.777777777781</v>
      </c>
      <c r="AC10" s="231">
        <v>0</v>
      </c>
      <c r="AD10" s="231">
        <v>44.54</v>
      </c>
      <c r="AE10" s="231">
        <v>28288.888888888891</v>
      </c>
      <c r="AF10" s="228">
        <f t="shared" si="1"/>
        <v>1261338.888888889</v>
      </c>
      <c r="AG10" s="228">
        <f>AA10*W10+AB10</f>
        <v>1318027.7777777778</v>
      </c>
      <c r="AH10" s="229">
        <f t="shared" si="3"/>
        <v>1364488.888888889</v>
      </c>
    </row>
    <row r="11" spans="2:34" ht="14.25" customHeight="1" thickBot="1" x14ac:dyDescent="0.4">
      <c r="B11" s="318" t="s">
        <v>24</v>
      </c>
      <c r="C11" s="319"/>
      <c r="D11" s="222" t="s">
        <v>25</v>
      </c>
      <c r="E11" s="223" t="s">
        <v>26</v>
      </c>
      <c r="L11" s="227">
        <v>44000</v>
      </c>
      <c r="M11" s="228">
        <v>42.896010101010098</v>
      </c>
      <c r="N11" s="228">
        <v>42.930101010101005</v>
      </c>
      <c r="O11" s="229">
        <v>45.182929292929295</v>
      </c>
      <c r="W11" s="230">
        <v>35000</v>
      </c>
      <c r="X11" s="231">
        <v>39.70333333333334</v>
      </c>
      <c r="Y11" s="231">
        <v>140477.77777777778</v>
      </c>
      <c r="Z11" s="231">
        <v>0</v>
      </c>
      <c r="AA11" s="231">
        <v>40.778333333333336</v>
      </c>
      <c r="AB11" s="231">
        <v>94677.777777777781</v>
      </c>
      <c r="AC11" s="231">
        <v>0</v>
      </c>
      <c r="AD11" s="231">
        <v>44.54</v>
      </c>
      <c r="AE11" s="231">
        <v>28288.888888888891</v>
      </c>
      <c r="AF11" s="228">
        <f t="shared" ref="AF11:AF13" si="4">X11*W11+Y11</f>
        <v>1530094.4444444447</v>
      </c>
      <c r="AG11" s="228">
        <f t="shared" ref="AG11:AG13" si="5">AA11*W11+AB11</f>
        <v>1521919.4444444445</v>
      </c>
      <c r="AH11" s="229">
        <f t="shared" ref="AH11:AH13" si="6">AD11*W11+AE11</f>
        <v>1587188.888888889</v>
      </c>
    </row>
    <row r="12" spans="2:34" ht="14.25" customHeight="1" thickBot="1" x14ac:dyDescent="0.4">
      <c r="B12" s="208" t="s">
        <v>27</v>
      </c>
      <c r="C12" s="209">
        <v>0</v>
      </c>
      <c r="D12" s="209">
        <v>45</v>
      </c>
      <c r="E12" s="210">
        <v>49</v>
      </c>
      <c r="G12" s="323" t="s">
        <v>28</v>
      </c>
      <c r="H12" s="324"/>
      <c r="I12" s="325"/>
      <c r="L12" s="227">
        <v>45000</v>
      </c>
      <c r="M12" s="228">
        <v>42.825061728395063</v>
      </c>
      <c r="N12" s="228">
        <v>44.986234567901235</v>
      </c>
      <c r="O12" s="229">
        <v>45.168641975308645</v>
      </c>
      <c r="W12" s="230">
        <v>45000</v>
      </c>
      <c r="X12" s="231">
        <v>39.703333333333333</v>
      </c>
      <c r="Y12" s="231">
        <v>140477.77777777778</v>
      </c>
      <c r="Z12" s="231">
        <v>0</v>
      </c>
      <c r="AA12" s="231">
        <v>40.778333333333336</v>
      </c>
      <c r="AB12" s="231">
        <v>189355.55555555556</v>
      </c>
      <c r="AC12" s="231">
        <v>0</v>
      </c>
      <c r="AD12" s="231">
        <v>44.54</v>
      </c>
      <c r="AE12" s="231">
        <v>28288.888888888891</v>
      </c>
      <c r="AF12" s="228">
        <f t="shared" si="4"/>
        <v>1927127.7777777778</v>
      </c>
      <c r="AG12" s="228">
        <f t="shared" si="5"/>
        <v>2024380.5555555557</v>
      </c>
      <c r="AH12" s="229">
        <f t="shared" si="6"/>
        <v>2032588.888888889</v>
      </c>
    </row>
    <row r="13" spans="2:34" ht="14.25" customHeight="1" thickBot="1" x14ac:dyDescent="0.4">
      <c r="B13" s="208" t="s">
        <v>29</v>
      </c>
      <c r="C13" s="209">
        <v>12</v>
      </c>
      <c r="D13" s="209">
        <v>9</v>
      </c>
      <c r="E13" s="210">
        <v>60</v>
      </c>
      <c r="G13" s="243" t="s">
        <v>9</v>
      </c>
      <c r="H13" s="244">
        <v>2</v>
      </c>
      <c r="I13" s="245" t="s">
        <v>10</v>
      </c>
      <c r="L13" s="227">
        <v>47000</v>
      </c>
      <c r="M13" s="228">
        <v>42.69222222222222</v>
      </c>
      <c r="N13" s="228">
        <v>44.807174940898342</v>
      </c>
      <c r="O13" s="229">
        <v>45.141891252955084</v>
      </c>
      <c r="W13" s="246">
        <v>50000</v>
      </c>
      <c r="X13" s="247">
        <v>39.703333333333333</v>
      </c>
      <c r="Y13" s="247">
        <v>140477.77777777778</v>
      </c>
      <c r="Z13" s="247">
        <v>0</v>
      </c>
      <c r="AA13" s="247">
        <v>40.778333333333336</v>
      </c>
      <c r="AB13" s="247">
        <v>189355.55555555556</v>
      </c>
      <c r="AC13" s="247">
        <v>0</v>
      </c>
      <c r="AD13" s="247">
        <v>44.54</v>
      </c>
      <c r="AE13" s="247">
        <v>42433.333333333328</v>
      </c>
      <c r="AF13" s="248">
        <f t="shared" si="4"/>
        <v>2125644.4444444445</v>
      </c>
      <c r="AG13" s="248">
        <f t="shared" si="5"/>
        <v>2228272.2222222225</v>
      </c>
      <c r="AH13" s="249">
        <f t="shared" si="6"/>
        <v>2269433.3333333335</v>
      </c>
    </row>
    <row r="14" spans="2:34" ht="14.25" customHeight="1" x14ac:dyDescent="0.35">
      <c r="B14" s="208" t="s">
        <v>30</v>
      </c>
      <c r="C14" s="209">
        <v>1</v>
      </c>
      <c r="D14" s="209">
        <v>1</v>
      </c>
      <c r="E14" s="210">
        <v>3</v>
      </c>
      <c r="G14" s="224" t="s">
        <v>4</v>
      </c>
      <c r="H14" s="250">
        <v>0.02</v>
      </c>
      <c r="I14" s="234" t="s">
        <v>31</v>
      </c>
      <c r="L14" s="227">
        <v>48000</v>
      </c>
      <c r="M14" s="228">
        <v>42.629953703703706</v>
      </c>
      <c r="N14" s="228">
        <v>44.723240740740742</v>
      </c>
      <c r="O14" s="229">
        <v>45.424027777777781</v>
      </c>
    </row>
    <row r="15" spans="2:34" ht="14.25" customHeight="1" thickBot="1" x14ac:dyDescent="0.4">
      <c r="B15" s="208" t="s">
        <v>75</v>
      </c>
      <c r="C15" s="250">
        <v>0.14000000000000001</v>
      </c>
      <c r="D15" s="250">
        <v>0.14000000000000001</v>
      </c>
      <c r="E15" s="251">
        <v>9.1999999999999998E-2</v>
      </c>
      <c r="G15" s="239" t="s">
        <v>21</v>
      </c>
      <c r="H15" s="252">
        <v>25</v>
      </c>
      <c r="I15" s="253" t="s">
        <v>22</v>
      </c>
      <c r="J15" s="242">
        <f>H15*(H13/60)*H2</f>
        <v>12500</v>
      </c>
      <c r="K15" s="198" t="s">
        <v>23</v>
      </c>
      <c r="L15" s="254">
        <v>60000</v>
      </c>
      <c r="M15" s="248">
        <v>42.044629629629632</v>
      </c>
      <c r="N15" s="248">
        <v>43.934259259259257</v>
      </c>
      <c r="O15" s="249">
        <v>45.247222222222227</v>
      </c>
    </row>
    <row r="16" spans="2:34" ht="14.25" customHeight="1" thickBot="1" x14ac:dyDescent="0.4">
      <c r="B16" s="255" t="s">
        <v>32</v>
      </c>
      <c r="C16" s="256">
        <f t="shared" ref="C16:D16" si="7">C15/3</f>
        <v>4.6666666666666669E-2</v>
      </c>
      <c r="D16" s="256">
        <f t="shared" si="7"/>
        <v>4.6666666666666669E-2</v>
      </c>
      <c r="E16" s="257">
        <v>0</v>
      </c>
    </row>
    <row r="17" spans="2:34" ht="14.25" customHeight="1" x14ac:dyDescent="0.35">
      <c r="B17" s="258"/>
      <c r="C17" s="259"/>
      <c r="D17" s="259"/>
      <c r="E17" s="260"/>
    </row>
    <row r="18" spans="2:34" ht="14.25" customHeight="1" thickBot="1" x14ac:dyDescent="0.4">
      <c r="B18" s="258"/>
      <c r="C18" s="259"/>
      <c r="D18" s="259"/>
      <c r="E18" s="260"/>
    </row>
    <row r="19" spans="2:34" ht="18" customHeight="1" thickBot="1" x14ac:dyDescent="0.4">
      <c r="B19" s="261" t="s">
        <v>33</v>
      </c>
      <c r="C19" s="262" t="s">
        <v>34</v>
      </c>
      <c r="D19" s="263" t="s">
        <v>35</v>
      </c>
      <c r="G19" s="334" t="s">
        <v>166</v>
      </c>
      <c r="H19" s="335"/>
      <c r="I19" s="335"/>
      <c r="J19" s="336"/>
    </row>
    <row r="20" spans="2:34" ht="19.850000000000001" customHeight="1" x14ac:dyDescent="0.35">
      <c r="B20" s="204" t="s">
        <v>36</v>
      </c>
      <c r="C20" s="264" t="s">
        <v>37</v>
      </c>
      <c r="D20" s="265">
        <v>0.25</v>
      </c>
      <c r="G20" s="302" t="s">
        <v>82</v>
      </c>
      <c r="H20" s="303" t="str">
        <f>C2</f>
        <v xml:space="preserve">CNC Milling </v>
      </c>
      <c r="I20" s="303" t="str">
        <f t="shared" ref="I20:J20" si="8">D2</f>
        <v>Water Jet Cutting</v>
      </c>
      <c r="J20" s="304" t="str">
        <f t="shared" si="8"/>
        <v>3D Printing</v>
      </c>
    </row>
    <row r="21" spans="2:34" ht="14.25" customHeight="1" x14ac:dyDescent="0.35">
      <c r="B21" s="208" t="s">
        <v>39</v>
      </c>
      <c r="C21" s="266" t="s">
        <v>40</v>
      </c>
      <c r="D21" s="267">
        <v>16</v>
      </c>
      <c r="G21" s="305" t="s">
        <v>38</v>
      </c>
      <c r="H21" s="220">
        <f>(60/C13)*C14</f>
        <v>5</v>
      </c>
      <c r="I21" s="220">
        <f>ROUNDDOWN((60/D13)*D14,0)</f>
        <v>6</v>
      </c>
      <c r="J21" s="221">
        <f>(60/E13)*E14</f>
        <v>3</v>
      </c>
      <c r="K21" s="268" t="s">
        <v>42</v>
      </c>
    </row>
    <row r="22" spans="2:34" ht="14.25" customHeight="1" x14ac:dyDescent="0.35">
      <c r="B22" s="208" t="s">
        <v>43</v>
      </c>
      <c r="C22" s="269" t="s">
        <v>44</v>
      </c>
      <c r="D22" s="270">
        <v>160</v>
      </c>
      <c r="G22" s="306" t="s">
        <v>41</v>
      </c>
      <c r="H22" s="220">
        <f>H21*(24*365*C8)</f>
        <v>30660</v>
      </c>
      <c r="I22" s="220">
        <f>I21*(24*365*D8)</f>
        <v>44676</v>
      </c>
      <c r="J22" s="221">
        <f>J21*(24*365*E8)</f>
        <v>23652</v>
      </c>
    </row>
    <row r="23" spans="2:34" ht="14.25" customHeight="1" thickBot="1" x14ac:dyDescent="0.4">
      <c r="B23" s="208" t="s">
        <v>46</v>
      </c>
      <c r="C23" s="269" t="s">
        <v>47</v>
      </c>
      <c r="D23" s="271">
        <v>0.4</v>
      </c>
      <c r="G23" s="307" t="s">
        <v>45</v>
      </c>
      <c r="H23" s="308">
        <f t="shared" ref="H23:J23" si="9">ROUNDUP($H$2/H22,0)</f>
        <v>1</v>
      </c>
      <c r="I23" s="308">
        <f t="shared" si="9"/>
        <v>1</v>
      </c>
      <c r="J23" s="309">
        <f t="shared" si="9"/>
        <v>1</v>
      </c>
    </row>
    <row r="24" spans="2:34" ht="14.25" customHeight="1" x14ac:dyDescent="0.35">
      <c r="B24" s="208" t="s">
        <v>48</v>
      </c>
      <c r="C24" s="269" t="s">
        <v>44</v>
      </c>
      <c r="D24" s="271">
        <v>0.25</v>
      </c>
    </row>
    <row r="25" spans="2:34" ht="14.25" customHeight="1" thickBot="1" x14ac:dyDescent="0.4">
      <c r="B25" s="255" t="s">
        <v>49</v>
      </c>
      <c r="C25" s="272" t="s">
        <v>47</v>
      </c>
      <c r="D25" s="273">
        <v>50</v>
      </c>
    </row>
    <row r="26" spans="2:34" ht="14.25" customHeight="1" x14ac:dyDescent="0.35">
      <c r="E26" s="198">
        <v>1000</v>
      </c>
    </row>
    <row r="27" spans="2:34" ht="14.25" customHeight="1" thickBot="1" x14ac:dyDescent="0.4"/>
    <row r="28" spans="2:34" ht="19.850000000000001" customHeight="1" thickBot="1" x14ac:dyDescent="0.4">
      <c r="B28" s="274" t="s">
        <v>72</v>
      </c>
      <c r="C28" s="275" t="str">
        <f>C2</f>
        <v xml:space="preserve">CNC Milling </v>
      </c>
      <c r="D28" s="275" t="str">
        <f t="shared" ref="D28:E28" si="10">D2</f>
        <v>Water Jet Cutting</v>
      </c>
      <c r="E28" s="275" t="str">
        <f t="shared" si="10"/>
        <v>3D Printing</v>
      </c>
      <c r="W28" s="328" t="s">
        <v>167</v>
      </c>
      <c r="X28" s="329"/>
      <c r="Y28" s="329"/>
      <c r="Z28" s="329"/>
      <c r="AA28" s="329"/>
      <c r="AB28" s="329"/>
      <c r="AC28" s="329"/>
      <c r="AD28" s="329"/>
      <c r="AE28" s="329"/>
      <c r="AF28" s="329"/>
      <c r="AG28" s="329"/>
      <c r="AH28" s="330"/>
    </row>
    <row r="29" spans="2:34" ht="21.65" customHeight="1" thickBot="1" x14ac:dyDescent="0.4">
      <c r="B29" s="276"/>
      <c r="C29" s="277">
        <f>'Total Cost'!C55</f>
        <v>665788.88888888888</v>
      </c>
      <c r="D29" s="277">
        <f>'Total Cost'!D55</f>
        <v>706352.77777777775</v>
      </c>
      <c r="E29" s="277">
        <f>'Total Cost'!E55</f>
        <v>682244.4444444445</v>
      </c>
      <c r="W29" s="290" t="s">
        <v>86</v>
      </c>
      <c r="X29" s="291"/>
      <c r="Y29" s="291"/>
      <c r="Z29" s="291"/>
      <c r="AA29" s="291"/>
      <c r="AB29" s="291"/>
      <c r="AC29" s="291"/>
      <c r="AD29" s="291"/>
      <c r="AE29" s="291"/>
      <c r="AF29" s="291" t="str">
        <f>M4</f>
        <v xml:space="preserve">CNC Milling </v>
      </c>
      <c r="AG29" s="291" t="str">
        <f t="shared" ref="AG29:AH29" si="11">N4</f>
        <v>Water Jet Cutting</v>
      </c>
      <c r="AH29" s="310" t="str">
        <f t="shared" si="11"/>
        <v>3D Printing</v>
      </c>
    </row>
    <row r="30" spans="2:34" ht="14.25" hidden="1" customHeight="1" x14ac:dyDescent="0.35">
      <c r="B30" s="230">
        <v>22</v>
      </c>
      <c r="C30" s="278">
        <f t="dataTable" ref="C30:E40" dt2D="0" dtr="0" r1="E12" ca="1"/>
        <v>665788.88888888888</v>
      </c>
      <c r="D30" s="278">
        <v>706352.77777777775</v>
      </c>
      <c r="E30" s="279">
        <v>628244.4444444445</v>
      </c>
      <c r="W30" s="287"/>
      <c r="X30" s="311"/>
      <c r="Y30" s="311"/>
      <c r="Z30" s="311"/>
      <c r="AA30" s="311"/>
      <c r="AB30" s="311"/>
      <c r="AC30" s="311"/>
      <c r="AD30" s="311"/>
      <c r="AE30" s="311"/>
      <c r="AF30" s="311">
        <f>H23</f>
        <v>1</v>
      </c>
      <c r="AG30" s="311">
        <f t="shared" ref="AG30:AH30" si="12">I23</f>
        <v>1</v>
      </c>
      <c r="AH30" s="312">
        <f t="shared" si="12"/>
        <v>1</v>
      </c>
    </row>
    <row r="31" spans="2:34" ht="14.25" customHeight="1" x14ac:dyDescent="0.35">
      <c r="B31" s="230">
        <v>26</v>
      </c>
      <c r="C31" s="278">
        <v>665788.88888888888</v>
      </c>
      <c r="D31" s="278">
        <v>706352.77777777775</v>
      </c>
      <c r="E31" s="279">
        <v>636244.4444444445</v>
      </c>
      <c r="W31" s="230">
        <v>5000</v>
      </c>
      <c r="X31" s="220">
        <f t="dataTable" ref="X31:AH40" dt2D="0" dtr="0" r1="H2" ca="1"/>
        <v>0</v>
      </c>
      <c r="Y31" s="220">
        <v>0</v>
      </c>
      <c r="Z31" s="220">
        <v>0</v>
      </c>
      <c r="AA31" s="220">
        <v>0</v>
      </c>
      <c r="AB31" s="220">
        <v>0</v>
      </c>
      <c r="AC31" s="220">
        <v>0</v>
      </c>
      <c r="AD31" s="220">
        <v>0</v>
      </c>
      <c r="AE31" s="220">
        <v>0</v>
      </c>
      <c r="AF31" s="220">
        <v>1</v>
      </c>
      <c r="AG31" s="220">
        <v>1</v>
      </c>
      <c r="AH31" s="221">
        <v>1</v>
      </c>
    </row>
    <row r="32" spans="2:34" ht="14.25" customHeight="1" x14ac:dyDescent="0.35">
      <c r="B32" s="230">
        <v>30</v>
      </c>
      <c r="C32" s="278">
        <v>665788.88888888888</v>
      </c>
      <c r="D32" s="278">
        <v>706352.77777777775</v>
      </c>
      <c r="E32" s="279">
        <v>644244.4444444445</v>
      </c>
      <c r="W32" s="230">
        <v>15000</v>
      </c>
      <c r="X32" s="220">
        <v>0</v>
      </c>
      <c r="Y32" s="220">
        <v>0</v>
      </c>
      <c r="Z32" s="220">
        <v>0</v>
      </c>
      <c r="AA32" s="220">
        <v>0</v>
      </c>
      <c r="AB32" s="220">
        <v>0</v>
      </c>
      <c r="AC32" s="220">
        <v>0</v>
      </c>
      <c r="AD32" s="220">
        <v>0</v>
      </c>
      <c r="AE32" s="220">
        <v>0</v>
      </c>
      <c r="AF32" s="220">
        <v>1</v>
      </c>
      <c r="AG32" s="220">
        <v>1</v>
      </c>
      <c r="AH32" s="221">
        <v>1</v>
      </c>
    </row>
    <row r="33" spans="2:34" ht="14.25" customHeight="1" x14ac:dyDescent="0.35">
      <c r="B33" s="230">
        <v>34</v>
      </c>
      <c r="C33" s="278">
        <v>665788.88888888888</v>
      </c>
      <c r="D33" s="278">
        <v>706352.77777777775</v>
      </c>
      <c r="E33" s="279">
        <v>652244.4444444445</v>
      </c>
      <c r="W33" s="230">
        <v>25000</v>
      </c>
      <c r="X33" s="220">
        <v>0</v>
      </c>
      <c r="Y33" s="220">
        <v>0</v>
      </c>
      <c r="Z33" s="220">
        <v>0</v>
      </c>
      <c r="AA33" s="220">
        <v>0</v>
      </c>
      <c r="AB33" s="220">
        <v>0</v>
      </c>
      <c r="AC33" s="220">
        <v>0</v>
      </c>
      <c r="AD33" s="220">
        <v>0</v>
      </c>
      <c r="AE33" s="220">
        <v>0</v>
      </c>
      <c r="AF33" s="220">
        <v>1</v>
      </c>
      <c r="AG33" s="220">
        <v>1</v>
      </c>
      <c r="AH33" s="221">
        <v>2</v>
      </c>
    </row>
    <row r="34" spans="2:34" ht="14.25" customHeight="1" x14ac:dyDescent="0.35">
      <c r="B34" s="230">
        <v>38</v>
      </c>
      <c r="C34" s="278">
        <v>665788.88888888888</v>
      </c>
      <c r="D34" s="278">
        <v>706352.77777777775</v>
      </c>
      <c r="E34" s="279">
        <v>660244.4444444445</v>
      </c>
      <c r="W34" s="230">
        <v>30000</v>
      </c>
      <c r="X34" s="220">
        <v>0</v>
      </c>
      <c r="Y34" s="220">
        <v>0</v>
      </c>
      <c r="Z34" s="220">
        <v>0</v>
      </c>
      <c r="AA34" s="220">
        <v>0</v>
      </c>
      <c r="AB34" s="220">
        <v>0</v>
      </c>
      <c r="AC34" s="220">
        <v>0</v>
      </c>
      <c r="AD34" s="220">
        <v>0</v>
      </c>
      <c r="AE34" s="220">
        <v>0</v>
      </c>
      <c r="AF34" s="220">
        <v>1</v>
      </c>
      <c r="AG34" s="220">
        <v>1</v>
      </c>
      <c r="AH34" s="221">
        <v>2</v>
      </c>
    </row>
    <row r="35" spans="2:34" ht="14.25" customHeight="1" x14ac:dyDescent="0.35">
      <c r="B35" s="230">
        <v>42</v>
      </c>
      <c r="C35" s="278">
        <v>665788.88888888888</v>
      </c>
      <c r="D35" s="278">
        <v>706352.77777777775</v>
      </c>
      <c r="E35" s="279">
        <v>668244.4444444445</v>
      </c>
      <c r="W35" s="230">
        <v>50000</v>
      </c>
      <c r="X35" s="220">
        <v>0</v>
      </c>
      <c r="Y35" s="220">
        <v>0</v>
      </c>
      <c r="Z35" s="220">
        <v>0</v>
      </c>
      <c r="AA35" s="220">
        <v>0</v>
      </c>
      <c r="AB35" s="220">
        <v>0</v>
      </c>
      <c r="AC35" s="220">
        <v>0</v>
      </c>
      <c r="AD35" s="220">
        <v>0</v>
      </c>
      <c r="AE35" s="220">
        <v>0</v>
      </c>
      <c r="AF35" s="220">
        <v>2</v>
      </c>
      <c r="AG35" s="220">
        <v>2</v>
      </c>
      <c r="AH35" s="221">
        <v>3</v>
      </c>
    </row>
    <row r="36" spans="2:34" ht="14.25" customHeight="1" x14ac:dyDescent="0.35">
      <c r="B36" s="230">
        <v>46</v>
      </c>
      <c r="C36" s="278">
        <v>665788.88888888888</v>
      </c>
      <c r="D36" s="278">
        <v>706352.77777777775</v>
      </c>
      <c r="E36" s="279">
        <v>676244.4444444445</v>
      </c>
      <c r="W36" s="230">
        <v>55000</v>
      </c>
      <c r="X36" s="220">
        <v>0</v>
      </c>
      <c r="Y36" s="220">
        <v>0</v>
      </c>
      <c r="Z36" s="220">
        <v>0</v>
      </c>
      <c r="AA36" s="220">
        <v>0</v>
      </c>
      <c r="AB36" s="220">
        <v>0</v>
      </c>
      <c r="AC36" s="220">
        <v>0</v>
      </c>
      <c r="AD36" s="220">
        <v>0</v>
      </c>
      <c r="AE36" s="220">
        <v>0</v>
      </c>
      <c r="AF36" s="220">
        <v>2</v>
      </c>
      <c r="AG36" s="220">
        <v>2</v>
      </c>
      <c r="AH36" s="221">
        <v>3</v>
      </c>
    </row>
    <row r="37" spans="2:34" ht="14.25" customHeight="1" x14ac:dyDescent="0.35">
      <c r="B37" s="230">
        <v>49</v>
      </c>
      <c r="C37" s="278">
        <v>665788.88888888888</v>
      </c>
      <c r="D37" s="278">
        <v>706352.77777777775</v>
      </c>
      <c r="E37" s="279">
        <v>682244.4444444445</v>
      </c>
      <c r="W37" s="230">
        <v>65000</v>
      </c>
      <c r="X37" s="220">
        <v>0</v>
      </c>
      <c r="Y37" s="220">
        <v>0</v>
      </c>
      <c r="Z37" s="220">
        <v>0</v>
      </c>
      <c r="AA37" s="220">
        <v>0</v>
      </c>
      <c r="AB37" s="220">
        <v>0</v>
      </c>
      <c r="AC37" s="220">
        <v>0</v>
      </c>
      <c r="AD37" s="220">
        <v>0</v>
      </c>
      <c r="AE37" s="220">
        <v>0</v>
      </c>
      <c r="AF37" s="220">
        <v>3</v>
      </c>
      <c r="AG37" s="220">
        <v>2</v>
      </c>
      <c r="AH37" s="221">
        <v>3</v>
      </c>
    </row>
    <row r="38" spans="2:34" ht="14.25" customHeight="1" x14ac:dyDescent="0.35">
      <c r="B38" s="230">
        <v>54</v>
      </c>
      <c r="C38" s="278">
        <v>665788.88888888888</v>
      </c>
      <c r="D38" s="278">
        <v>706352.77777777775</v>
      </c>
      <c r="E38" s="279">
        <v>692244.4444444445</v>
      </c>
      <c r="W38" s="230">
        <v>75000</v>
      </c>
      <c r="X38" s="220">
        <v>0</v>
      </c>
      <c r="Y38" s="220">
        <v>0</v>
      </c>
      <c r="Z38" s="220">
        <v>0</v>
      </c>
      <c r="AA38" s="220">
        <v>0</v>
      </c>
      <c r="AB38" s="220">
        <v>0</v>
      </c>
      <c r="AC38" s="220">
        <v>0</v>
      </c>
      <c r="AD38" s="220">
        <v>0</v>
      </c>
      <c r="AE38" s="220">
        <v>0</v>
      </c>
      <c r="AF38" s="220">
        <v>3</v>
      </c>
      <c r="AG38" s="220">
        <v>2</v>
      </c>
      <c r="AH38" s="221">
        <v>4</v>
      </c>
    </row>
    <row r="39" spans="2:34" ht="14.25" customHeight="1" x14ac:dyDescent="0.35">
      <c r="B39" s="230">
        <v>58</v>
      </c>
      <c r="C39" s="278">
        <v>665788.88888888888</v>
      </c>
      <c r="D39" s="278">
        <v>706352.77777777775</v>
      </c>
      <c r="E39" s="279">
        <v>700244.4444444445</v>
      </c>
      <c r="W39" s="230">
        <v>85000</v>
      </c>
      <c r="X39" s="220">
        <v>0</v>
      </c>
      <c r="Y39" s="220">
        <v>0</v>
      </c>
      <c r="Z39" s="220">
        <v>0</v>
      </c>
      <c r="AA39" s="220">
        <v>0</v>
      </c>
      <c r="AB39" s="220">
        <v>0</v>
      </c>
      <c r="AC39" s="220">
        <v>0</v>
      </c>
      <c r="AD39" s="220">
        <v>0</v>
      </c>
      <c r="AE39" s="220">
        <v>0</v>
      </c>
      <c r="AF39" s="220">
        <v>3</v>
      </c>
      <c r="AG39" s="220">
        <v>2</v>
      </c>
      <c r="AH39" s="221">
        <v>4</v>
      </c>
    </row>
    <row r="40" spans="2:34" ht="14.25" customHeight="1" thickBot="1" x14ac:dyDescent="0.4">
      <c r="B40" s="246">
        <v>62</v>
      </c>
      <c r="C40" s="280">
        <v>665788.88888888888</v>
      </c>
      <c r="D40" s="280">
        <v>706352.77777777775</v>
      </c>
      <c r="E40" s="281">
        <v>708244.4444444445</v>
      </c>
      <c r="W40" s="246">
        <v>95000</v>
      </c>
      <c r="X40" s="313">
        <v>0</v>
      </c>
      <c r="Y40" s="313">
        <v>0</v>
      </c>
      <c r="Z40" s="313">
        <v>0</v>
      </c>
      <c r="AA40" s="313">
        <v>0</v>
      </c>
      <c r="AB40" s="313">
        <v>0</v>
      </c>
      <c r="AC40" s="313">
        <v>0</v>
      </c>
      <c r="AD40" s="313">
        <v>0</v>
      </c>
      <c r="AE40" s="313">
        <v>0</v>
      </c>
      <c r="AF40" s="313">
        <v>4</v>
      </c>
      <c r="AG40" s="313">
        <v>3</v>
      </c>
      <c r="AH40" s="314">
        <v>5</v>
      </c>
    </row>
    <row r="41" spans="2:34" ht="14.25" customHeight="1" x14ac:dyDescent="0.35"/>
    <row r="42" spans="2:34" ht="14.25" customHeight="1" thickBot="1" x14ac:dyDescent="0.4"/>
    <row r="43" spans="2:34" ht="14.25" customHeight="1" thickBot="1" x14ac:dyDescent="0.4">
      <c r="B43" s="282" t="s">
        <v>71</v>
      </c>
      <c r="C43" s="275" t="str">
        <f>C28</f>
        <v xml:space="preserve">CNC Milling </v>
      </c>
      <c r="D43" s="275" t="str">
        <f t="shared" ref="D43:E43" si="13">D28</f>
        <v>Water Jet Cutting</v>
      </c>
      <c r="E43" s="275" t="str">
        <f t="shared" si="13"/>
        <v>3D Printing</v>
      </c>
    </row>
    <row r="44" spans="2:34" ht="14.25" customHeight="1" x14ac:dyDescent="0.35">
      <c r="B44" s="283"/>
      <c r="C44" s="284">
        <f>'Total Cost'!C55</f>
        <v>665788.88888888888</v>
      </c>
      <c r="D44" s="284">
        <f>'Total Cost'!D55</f>
        <v>706352.77777777775</v>
      </c>
      <c r="E44" s="284">
        <f>'Total Cost'!E55</f>
        <v>682244.4444444445</v>
      </c>
    </row>
    <row r="45" spans="2:34" ht="14.25" customHeight="1" x14ac:dyDescent="0.35">
      <c r="B45" s="230">
        <v>10</v>
      </c>
      <c r="C45" s="228">
        <f t="dataTable" ref="C45:E55" dt2D="0" dtr="0" r1="D12" ca="1"/>
        <v>665788.88888888888</v>
      </c>
      <c r="D45" s="228">
        <v>686665.27777777775</v>
      </c>
      <c r="E45" s="229">
        <v>682244.4444444445</v>
      </c>
    </row>
    <row r="46" spans="2:34" ht="14.25" customHeight="1" x14ac:dyDescent="0.35">
      <c r="B46" s="230">
        <v>15</v>
      </c>
      <c r="C46" s="228">
        <v>665788.88888888888</v>
      </c>
      <c r="D46" s="228">
        <v>689477.77777777775</v>
      </c>
      <c r="E46" s="229">
        <v>682244.4444444445</v>
      </c>
    </row>
    <row r="47" spans="2:34" ht="14.25" customHeight="1" x14ac:dyDescent="0.35">
      <c r="B47" s="230">
        <v>20</v>
      </c>
      <c r="C47" s="228">
        <v>665788.88888888888</v>
      </c>
      <c r="D47" s="228">
        <v>692290.27777777775</v>
      </c>
      <c r="E47" s="229">
        <v>682244.4444444445</v>
      </c>
    </row>
    <row r="48" spans="2:34" ht="14.25" customHeight="1" x14ac:dyDescent="0.35">
      <c r="B48" s="230">
        <v>25</v>
      </c>
      <c r="C48" s="228">
        <v>665788.88888888888</v>
      </c>
      <c r="D48" s="228">
        <v>695102.77777777775</v>
      </c>
      <c r="E48" s="229">
        <v>682244.4444444445</v>
      </c>
    </row>
    <row r="49" spans="2:5" ht="14.25" customHeight="1" x14ac:dyDescent="0.35">
      <c r="B49" s="230">
        <v>30</v>
      </c>
      <c r="C49" s="228">
        <v>665788.88888888888</v>
      </c>
      <c r="D49" s="228">
        <v>697915.27777777775</v>
      </c>
      <c r="E49" s="229">
        <v>682244.4444444445</v>
      </c>
    </row>
    <row r="50" spans="2:5" ht="14.25" customHeight="1" x14ac:dyDescent="0.35">
      <c r="B50" s="230">
        <v>35</v>
      </c>
      <c r="C50" s="228">
        <v>665788.88888888888</v>
      </c>
      <c r="D50" s="228">
        <v>700727.77777777775</v>
      </c>
      <c r="E50" s="229">
        <v>682244.4444444445</v>
      </c>
    </row>
    <row r="51" spans="2:5" ht="14.25" customHeight="1" x14ac:dyDescent="0.35">
      <c r="B51" s="230">
        <v>40</v>
      </c>
      <c r="C51" s="228">
        <v>665788.88888888888</v>
      </c>
      <c r="D51" s="228">
        <v>703540.27777777775</v>
      </c>
      <c r="E51" s="229">
        <v>682244.4444444445</v>
      </c>
    </row>
    <row r="52" spans="2:5" ht="14.25" customHeight="1" x14ac:dyDescent="0.35">
      <c r="B52" s="230">
        <v>45</v>
      </c>
      <c r="C52" s="228">
        <v>665788.88888888888</v>
      </c>
      <c r="D52" s="228">
        <v>706352.77777777775</v>
      </c>
      <c r="E52" s="229">
        <v>682244.4444444445</v>
      </c>
    </row>
    <row r="53" spans="2:5" ht="14.25" customHeight="1" x14ac:dyDescent="0.35">
      <c r="B53" s="230">
        <v>50</v>
      </c>
      <c r="C53" s="228">
        <v>665788.88888888888</v>
      </c>
      <c r="D53" s="228">
        <v>709165.27777777775</v>
      </c>
      <c r="E53" s="229">
        <v>682244.4444444445</v>
      </c>
    </row>
    <row r="54" spans="2:5" ht="14.25" customHeight="1" x14ac:dyDescent="0.35">
      <c r="B54" s="230">
        <v>55</v>
      </c>
      <c r="C54" s="228">
        <v>665788.88888888888</v>
      </c>
      <c r="D54" s="228">
        <v>711977.77777777775</v>
      </c>
      <c r="E54" s="229">
        <v>682244.4444444445</v>
      </c>
    </row>
    <row r="55" spans="2:5" ht="14.25" customHeight="1" thickBot="1" x14ac:dyDescent="0.4">
      <c r="B55" s="246">
        <v>60</v>
      </c>
      <c r="C55" s="248">
        <v>665788.88888888888</v>
      </c>
      <c r="D55" s="248">
        <v>714790.27777777775</v>
      </c>
      <c r="E55" s="249">
        <v>682244.4444444445</v>
      </c>
    </row>
    <row r="56" spans="2:5" ht="14.25" customHeight="1" x14ac:dyDescent="0.35"/>
    <row r="57" spans="2:5" ht="14.25" customHeight="1" thickBot="1" x14ac:dyDescent="0.4"/>
    <row r="58" spans="2:5" ht="14.25" customHeight="1" thickBot="1" x14ac:dyDescent="0.4">
      <c r="B58" s="285" t="s">
        <v>73</v>
      </c>
      <c r="C58" s="286" t="str">
        <f>C43</f>
        <v xml:space="preserve">CNC Milling </v>
      </c>
      <c r="D58" s="286" t="str">
        <f t="shared" ref="D58:E58" si="14">D43</f>
        <v>Water Jet Cutting</v>
      </c>
      <c r="E58" s="286" t="str">
        <f t="shared" si="14"/>
        <v>3D Printing</v>
      </c>
    </row>
    <row r="59" spans="2:5" ht="14.25" customHeight="1" x14ac:dyDescent="0.35">
      <c r="B59" s="283"/>
      <c r="C59" s="284">
        <f>'Total Cost'!C55</f>
        <v>665788.88888888888</v>
      </c>
      <c r="D59" s="284">
        <f>'Total Cost'!D55</f>
        <v>706352.77777777775</v>
      </c>
      <c r="E59" s="284">
        <f>'Total Cost'!E55</f>
        <v>682244.4444444445</v>
      </c>
    </row>
    <row r="60" spans="2:5" ht="14.25" customHeight="1" x14ac:dyDescent="0.35">
      <c r="B60" s="230">
        <v>0.25</v>
      </c>
      <c r="C60" s="228">
        <f t="dataTable" ref="C60:E81" dt2D="0" dtr="0" r1="D20" ca="1"/>
        <v>665788.88888888888</v>
      </c>
      <c r="D60" s="228">
        <v>706352.77777777775</v>
      </c>
      <c r="E60" s="229">
        <v>682244.4444444445</v>
      </c>
    </row>
    <row r="61" spans="2:5" ht="14.25" customHeight="1" x14ac:dyDescent="0.35">
      <c r="B61" s="230">
        <v>0.5</v>
      </c>
      <c r="C61" s="228">
        <v>684538.88888888888</v>
      </c>
      <c r="D61" s="228">
        <v>715915.27777777775</v>
      </c>
      <c r="E61" s="229">
        <v>694744.4444444445</v>
      </c>
    </row>
    <row r="62" spans="2:5" ht="14.25" customHeight="1" x14ac:dyDescent="0.35">
      <c r="B62" s="230">
        <v>0.75</v>
      </c>
      <c r="C62" s="228">
        <v>703288.88888888888</v>
      </c>
      <c r="D62" s="228">
        <v>725477.77777777775</v>
      </c>
      <c r="E62" s="229">
        <v>707244.4444444445</v>
      </c>
    </row>
    <row r="63" spans="2:5" ht="14.25" customHeight="1" x14ac:dyDescent="0.35">
      <c r="B63" s="230">
        <v>1</v>
      </c>
      <c r="C63" s="228">
        <v>722038.88888888888</v>
      </c>
      <c r="D63" s="228">
        <v>735040.27777777775</v>
      </c>
      <c r="E63" s="229">
        <v>719744.4444444445</v>
      </c>
    </row>
    <row r="64" spans="2:5" ht="14.25" customHeight="1" x14ac:dyDescent="0.35">
      <c r="B64" s="230">
        <v>1.25</v>
      </c>
      <c r="C64" s="228">
        <v>740788.88888888888</v>
      </c>
      <c r="D64" s="228">
        <v>744602.77777777775</v>
      </c>
      <c r="E64" s="229">
        <v>732244.4444444445</v>
      </c>
    </row>
    <row r="65" spans="2:5" ht="14.25" customHeight="1" x14ac:dyDescent="0.35">
      <c r="B65" s="230">
        <v>1.5</v>
      </c>
      <c r="C65" s="228">
        <v>759538.88888888888</v>
      </c>
      <c r="D65" s="228">
        <v>754165.27777777775</v>
      </c>
      <c r="E65" s="229">
        <v>744744.4444444445</v>
      </c>
    </row>
    <row r="66" spans="2:5" ht="14.25" customHeight="1" x14ac:dyDescent="0.35">
      <c r="B66" s="230">
        <v>1.75</v>
      </c>
      <c r="C66" s="228">
        <v>778288.88888888888</v>
      </c>
      <c r="D66" s="228">
        <v>763727.77777777775</v>
      </c>
      <c r="E66" s="229">
        <v>757244.4444444445</v>
      </c>
    </row>
    <row r="67" spans="2:5" ht="14.25" customHeight="1" x14ac:dyDescent="0.35">
      <c r="B67" s="230">
        <v>2</v>
      </c>
      <c r="C67" s="228">
        <v>797038.88888888888</v>
      </c>
      <c r="D67" s="228">
        <v>773290.27777777775</v>
      </c>
      <c r="E67" s="229">
        <v>769744.4444444445</v>
      </c>
    </row>
    <row r="68" spans="2:5" ht="14.25" customHeight="1" x14ac:dyDescent="0.35">
      <c r="B68" s="230">
        <v>2.25</v>
      </c>
      <c r="C68" s="228">
        <v>815788.88888888888</v>
      </c>
      <c r="D68" s="228">
        <v>782852.77777777775</v>
      </c>
      <c r="E68" s="229">
        <v>782244.4444444445</v>
      </c>
    </row>
    <row r="69" spans="2:5" ht="14.25" customHeight="1" x14ac:dyDescent="0.35">
      <c r="B69" s="230">
        <v>2.5</v>
      </c>
      <c r="C69" s="228">
        <v>834538.88888888888</v>
      </c>
      <c r="D69" s="228">
        <v>792415.27777777775</v>
      </c>
      <c r="E69" s="229">
        <v>794744.4444444445</v>
      </c>
    </row>
    <row r="70" spans="2:5" ht="14.25" customHeight="1" x14ac:dyDescent="0.35">
      <c r="B70" s="230">
        <v>2.75</v>
      </c>
      <c r="C70" s="228">
        <v>853288.88888888888</v>
      </c>
      <c r="D70" s="228">
        <v>801977.77777777775</v>
      </c>
      <c r="E70" s="229">
        <v>807244.4444444445</v>
      </c>
    </row>
    <row r="71" spans="2:5" ht="14.25" customHeight="1" thickBot="1" x14ac:dyDescent="0.4">
      <c r="B71" s="246">
        <v>3</v>
      </c>
      <c r="C71" s="248">
        <v>872038.88888888888</v>
      </c>
      <c r="D71" s="248">
        <v>811540.27777777775</v>
      </c>
      <c r="E71" s="249">
        <v>819744.4444444445</v>
      </c>
    </row>
    <row r="72" spans="2:5" ht="14.25" hidden="1" customHeight="1" x14ac:dyDescent="0.35">
      <c r="B72" s="287"/>
      <c r="C72" s="288">
        <v>647038.88888888888</v>
      </c>
      <c r="D72" s="288">
        <v>696790.27777777775</v>
      </c>
      <c r="E72" s="289">
        <v>669744.4444444445</v>
      </c>
    </row>
    <row r="73" spans="2:5" ht="14.25" hidden="1" customHeight="1" x14ac:dyDescent="0.35">
      <c r="B73" s="230"/>
      <c r="C73" s="228">
        <v>647038.88888888888</v>
      </c>
      <c r="D73" s="228">
        <v>696790.27777777775</v>
      </c>
      <c r="E73" s="229">
        <v>669744.4444444445</v>
      </c>
    </row>
    <row r="74" spans="2:5" ht="14.25" hidden="1" customHeight="1" x14ac:dyDescent="0.35">
      <c r="B74" s="230"/>
      <c r="C74" s="228">
        <v>647038.88888888888</v>
      </c>
      <c r="D74" s="228">
        <v>696790.27777777775</v>
      </c>
      <c r="E74" s="229">
        <v>669744.4444444445</v>
      </c>
    </row>
    <row r="75" spans="2:5" ht="14.25" hidden="1" customHeight="1" x14ac:dyDescent="0.35">
      <c r="B75" s="230"/>
      <c r="C75" s="228">
        <v>647038.88888888888</v>
      </c>
      <c r="D75" s="228">
        <v>696790.27777777775</v>
      </c>
      <c r="E75" s="229">
        <v>669744.4444444445</v>
      </c>
    </row>
    <row r="76" spans="2:5" ht="14.25" hidden="1" customHeight="1" x14ac:dyDescent="0.35">
      <c r="B76" s="230"/>
      <c r="C76" s="228">
        <v>647038.88888888888</v>
      </c>
      <c r="D76" s="228">
        <v>696790.27777777775</v>
      </c>
      <c r="E76" s="229">
        <v>669744.4444444445</v>
      </c>
    </row>
    <row r="77" spans="2:5" ht="14.25" hidden="1" customHeight="1" x14ac:dyDescent="0.35">
      <c r="B77" s="230"/>
      <c r="C77" s="228">
        <v>647038.88888888888</v>
      </c>
      <c r="D77" s="228">
        <v>696790.27777777775</v>
      </c>
      <c r="E77" s="229">
        <v>669744.4444444445</v>
      </c>
    </row>
    <row r="78" spans="2:5" ht="14.25" hidden="1" customHeight="1" x14ac:dyDescent="0.35">
      <c r="B78" s="230"/>
      <c r="C78" s="228">
        <v>647038.88888888888</v>
      </c>
      <c r="D78" s="228">
        <v>696790.27777777775</v>
      </c>
      <c r="E78" s="229">
        <v>669744.4444444445</v>
      </c>
    </row>
    <row r="79" spans="2:5" ht="14.25" hidden="1" customHeight="1" x14ac:dyDescent="0.35">
      <c r="B79" s="230"/>
      <c r="C79" s="228">
        <v>647038.88888888888</v>
      </c>
      <c r="D79" s="228">
        <v>696790.27777777775</v>
      </c>
      <c r="E79" s="229">
        <v>669744.4444444445</v>
      </c>
    </row>
    <row r="80" spans="2:5" ht="14.25" hidden="1" customHeight="1" x14ac:dyDescent="0.35">
      <c r="B80" s="230"/>
      <c r="C80" s="228">
        <v>647038.88888888888</v>
      </c>
      <c r="D80" s="228">
        <v>696790.27777777775</v>
      </c>
      <c r="E80" s="229">
        <v>669744.4444444445</v>
      </c>
    </row>
    <row r="81" spans="2:5" ht="14.25" hidden="1" customHeight="1" thickBot="1" x14ac:dyDescent="0.4">
      <c r="B81" s="230"/>
      <c r="C81" s="248">
        <v>647038.88888888888</v>
      </c>
      <c r="D81" s="248">
        <v>696790.27777777775</v>
      </c>
      <c r="E81" s="249">
        <v>669744.4444444445</v>
      </c>
    </row>
    <row r="82" spans="2:5" ht="14.25" customHeight="1" thickBot="1" x14ac:dyDescent="0.4"/>
    <row r="83" spans="2:5" ht="14.25" customHeight="1" thickBot="1" x14ac:dyDescent="0.4">
      <c r="B83" s="290" t="s">
        <v>74</v>
      </c>
      <c r="C83" s="291" t="str">
        <f>C58</f>
        <v xml:space="preserve">CNC Milling </v>
      </c>
      <c r="D83" s="291" t="str">
        <f t="shared" ref="D83:E83" si="15">D58</f>
        <v>Water Jet Cutting</v>
      </c>
      <c r="E83" s="291" t="str">
        <f t="shared" si="15"/>
        <v>3D Printing</v>
      </c>
    </row>
    <row r="84" spans="2:5" ht="14.25" customHeight="1" x14ac:dyDescent="0.35">
      <c r="B84" s="292"/>
      <c r="C84" s="288">
        <f>'Total Cost'!C55</f>
        <v>665788.88888888888</v>
      </c>
      <c r="D84" s="288">
        <f>'Total Cost'!D55</f>
        <v>706352.77777777775</v>
      </c>
      <c r="E84" s="288">
        <f>'Total Cost'!E55</f>
        <v>682244.4444444445</v>
      </c>
    </row>
    <row r="85" spans="2:5" ht="14.25" customHeight="1" x14ac:dyDescent="0.35">
      <c r="B85" s="230">
        <v>110</v>
      </c>
      <c r="C85" s="228">
        <f t="dataTable" ref="C85:E97" dt2D="0" dtr="0" r1="D22" ca="1"/>
        <v>665788.88888888888</v>
      </c>
      <c r="D85" s="228">
        <v>706352.77777777775</v>
      </c>
      <c r="E85" s="229">
        <v>613244.4444444445</v>
      </c>
    </row>
    <row r="86" spans="2:5" ht="14.25" customHeight="1" x14ac:dyDescent="0.35">
      <c r="B86" s="230">
        <v>120</v>
      </c>
      <c r="C86" s="228">
        <v>665788.88888888888</v>
      </c>
      <c r="D86" s="228">
        <v>706352.77777777775</v>
      </c>
      <c r="E86" s="229">
        <v>627044.4444444445</v>
      </c>
    </row>
    <row r="87" spans="2:5" ht="14.25" customHeight="1" x14ac:dyDescent="0.35">
      <c r="B87" s="230">
        <v>130</v>
      </c>
      <c r="C87" s="228">
        <v>665788.88888888888</v>
      </c>
      <c r="D87" s="228">
        <v>706352.77777777775</v>
      </c>
      <c r="E87" s="229">
        <v>640844.4444444445</v>
      </c>
    </row>
    <row r="88" spans="2:5" ht="14.25" customHeight="1" x14ac:dyDescent="0.35">
      <c r="B88" s="230">
        <v>140</v>
      </c>
      <c r="C88" s="228">
        <v>665788.88888888888</v>
      </c>
      <c r="D88" s="228">
        <v>706352.77777777775</v>
      </c>
      <c r="E88" s="229">
        <v>654644.4444444445</v>
      </c>
    </row>
    <row r="89" spans="2:5" ht="14.25" customHeight="1" x14ac:dyDescent="0.35">
      <c r="B89" s="230">
        <v>150</v>
      </c>
      <c r="C89" s="228">
        <v>665788.88888888888</v>
      </c>
      <c r="D89" s="228">
        <v>706352.77777777775</v>
      </c>
      <c r="E89" s="229">
        <v>668444.4444444445</v>
      </c>
    </row>
    <row r="90" spans="2:5" ht="14.25" customHeight="1" x14ac:dyDescent="0.35">
      <c r="B90" s="230">
        <v>160</v>
      </c>
      <c r="C90" s="228">
        <v>665788.88888888888</v>
      </c>
      <c r="D90" s="228">
        <v>706352.77777777775</v>
      </c>
      <c r="E90" s="229">
        <v>682244.4444444445</v>
      </c>
    </row>
    <row r="91" spans="2:5" ht="14.25" customHeight="1" x14ac:dyDescent="0.35">
      <c r="B91" s="230">
        <v>170</v>
      </c>
      <c r="C91" s="228">
        <v>665788.88888888888</v>
      </c>
      <c r="D91" s="228">
        <v>706352.77777777775</v>
      </c>
      <c r="E91" s="229">
        <v>696044.4444444445</v>
      </c>
    </row>
    <row r="92" spans="2:5" ht="14.25" customHeight="1" x14ac:dyDescent="0.35">
      <c r="B92" s="230">
        <v>180</v>
      </c>
      <c r="C92" s="293">
        <v>665788.88888888888</v>
      </c>
      <c r="D92" s="228">
        <v>706352.77777777775</v>
      </c>
      <c r="E92" s="229">
        <v>709844.4444444445</v>
      </c>
    </row>
    <row r="93" spans="2:5" ht="14.25" customHeight="1" x14ac:dyDescent="0.35">
      <c r="B93" s="230">
        <v>190</v>
      </c>
      <c r="C93" s="228">
        <v>665788.88888888888</v>
      </c>
      <c r="D93" s="228">
        <v>706352.77777777775</v>
      </c>
      <c r="E93" s="229">
        <v>723644.4444444445</v>
      </c>
    </row>
    <row r="94" spans="2:5" ht="14.25" customHeight="1" x14ac:dyDescent="0.35">
      <c r="B94" s="230">
        <v>200</v>
      </c>
      <c r="C94" s="228">
        <v>665788.88888888888</v>
      </c>
      <c r="D94" s="228">
        <v>706352.77777777775</v>
      </c>
      <c r="E94" s="229">
        <v>737444.4444444445</v>
      </c>
    </row>
    <row r="95" spans="2:5" ht="14.25" customHeight="1" x14ac:dyDescent="0.35">
      <c r="B95" s="230">
        <v>210</v>
      </c>
      <c r="C95" s="228">
        <v>665788.88888888888</v>
      </c>
      <c r="D95" s="228">
        <v>706352.77777777775</v>
      </c>
      <c r="E95" s="229">
        <v>751244.4444444445</v>
      </c>
    </row>
    <row r="96" spans="2:5" ht="14.25" customHeight="1" x14ac:dyDescent="0.35">
      <c r="B96" s="230">
        <v>220</v>
      </c>
      <c r="C96" s="228">
        <v>665788.88888888888</v>
      </c>
      <c r="D96" s="228">
        <v>706352.77777777775</v>
      </c>
      <c r="E96" s="229">
        <v>765044.4444444445</v>
      </c>
    </row>
    <row r="97" spans="2:5" ht="14.25" customHeight="1" thickBot="1" x14ac:dyDescent="0.4">
      <c r="B97" s="246">
        <v>230</v>
      </c>
      <c r="C97" s="248">
        <v>665788.88888888888</v>
      </c>
      <c r="D97" s="248">
        <v>706352.77777777775</v>
      </c>
      <c r="E97" s="249">
        <v>778844.4444444445</v>
      </c>
    </row>
    <row r="98" spans="2:5" ht="14.25" customHeight="1" x14ac:dyDescent="0.35"/>
    <row r="99" spans="2:5" ht="14.25" customHeight="1" x14ac:dyDescent="0.35"/>
    <row r="100" spans="2:5" ht="14.25" customHeight="1" x14ac:dyDescent="0.35"/>
    <row r="101" spans="2:5" ht="14.25" customHeight="1" x14ac:dyDescent="0.35"/>
    <row r="102" spans="2:5" ht="14.25" customHeight="1" x14ac:dyDescent="0.35"/>
    <row r="103" spans="2:5" ht="14.25" customHeight="1" thickBot="1" x14ac:dyDescent="0.4"/>
    <row r="104" spans="2:5" ht="14.25" customHeight="1" thickBot="1" x14ac:dyDescent="0.4">
      <c r="B104" s="290" t="s">
        <v>76</v>
      </c>
      <c r="C104" s="291" t="str">
        <f>C83</f>
        <v xml:space="preserve">CNC Milling </v>
      </c>
      <c r="D104" s="291" t="str">
        <f t="shared" ref="D104:E104" si="16">D83</f>
        <v>Water Jet Cutting</v>
      </c>
      <c r="E104" s="291" t="str">
        <f t="shared" si="16"/>
        <v>3D Printing</v>
      </c>
    </row>
    <row r="105" spans="2:5" ht="14.25" customHeight="1" x14ac:dyDescent="0.35">
      <c r="B105" s="287"/>
      <c r="C105" s="288">
        <f>'Total Cost'!C55</f>
        <v>665788.88888888888</v>
      </c>
      <c r="D105" s="288">
        <f>'Total Cost'!D55</f>
        <v>706352.77777777775</v>
      </c>
      <c r="E105" s="288">
        <f>'Total Cost'!E55</f>
        <v>682244.4444444445</v>
      </c>
    </row>
    <row r="106" spans="2:5" ht="14.25" customHeight="1" x14ac:dyDescent="0.35">
      <c r="B106" s="230">
        <v>10</v>
      </c>
      <c r="C106" s="228">
        <f t="dataTable" ref="C106:E121" dt2D="0" dtr="0" r1="D21" ca="1"/>
        <v>575788.88888888888</v>
      </c>
      <c r="D106" s="228">
        <v>616352.77777777775</v>
      </c>
      <c r="E106" s="229">
        <v>682244.4444444445</v>
      </c>
    </row>
    <row r="107" spans="2:5" ht="14.25" customHeight="1" x14ac:dyDescent="0.35">
      <c r="B107" s="230">
        <v>11</v>
      </c>
      <c r="C107" s="228">
        <v>590788.88888888888</v>
      </c>
      <c r="D107" s="228">
        <v>631352.77777777775</v>
      </c>
      <c r="E107" s="229">
        <v>682244.4444444445</v>
      </c>
    </row>
    <row r="108" spans="2:5" ht="14.25" customHeight="1" x14ac:dyDescent="0.35">
      <c r="B108" s="230">
        <v>12</v>
      </c>
      <c r="C108" s="228">
        <v>605788.88888888888</v>
      </c>
      <c r="D108" s="228">
        <v>646352.77777777775</v>
      </c>
      <c r="E108" s="229">
        <v>682244.4444444445</v>
      </c>
    </row>
    <row r="109" spans="2:5" ht="14.25" customHeight="1" x14ac:dyDescent="0.35">
      <c r="B109" s="230">
        <v>13</v>
      </c>
      <c r="C109" s="228">
        <v>620788.88888888888</v>
      </c>
      <c r="D109" s="228">
        <v>661352.77777777775</v>
      </c>
      <c r="E109" s="229">
        <v>682244.4444444445</v>
      </c>
    </row>
    <row r="110" spans="2:5" ht="14.25" customHeight="1" x14ac:dyDescent="0.35">
      <c r="B110" s="230">
        <v>14</v>
      </c>
      <c r="C110" s="228">
        <v>635788.88888888888</v>
      </c>
      <c r="D110" s="228">
        <v>676352.77777777775</v>
      </c>
      <c r="E110" s="229">
        <v>682244.4444444445</v>
      </c>
    </row>
    <row r="111" spans="2:5" ht="14.25" customHeight="1" x14ac:dyDescent="0.35">
      <c r="B111" s="230">
        <v>15</v>
      </c>
      <c r="C111" s="228">
        <v>650788.88888888888</v>
      </c>
      <c r="D111" s="228">
        <v>691352.77777777775</v>
      </c>
      <c r="E111" s="229">
        <v>682244.4444444445</v>
      </c>
    </row>
    <row r="112" spans="2:5" ht="14.25" customHeight="1" x14ac:dyDescent="0.35">
      <c r="B112" s="230">
        <v>16</v>
      </c>
      <c r="C112" s="228">
        <v>665788.88888888888</v>
      </c>
      <c r="D112" s="228">
        <v>706352.77777777775</v>
      </c>
      <c r="E112" s="229">
        <v>682244.4444444445</v>
      </c>
    </row>
    <row r="113" spans="2:5" ht="14.25" customHeight="1" x14ac:dyDescent="0.35">
      <c r="B113" s="230">
        <v>17</v>
      </c>
      <c r="C113" s="228">
        <v>680788.88888888888</v>
      </c>
      <c r="D113" s="228">
        <v>721352.77777777775</v>
      </c>
      <c r="E113" s="229">
        <v>682244.4444444445</v>
      </c>
    </row>
    <row r="114" spans="2:5" ht="14.25" customHeight="1" x14ac:dyDescent="0.35">
      <c r="B114" s="230">
        <v>18</v>
      </c>
      <c r="C114" s="228">
        <v>695788.88888888888</v>
      </c>
      <c r="D114" s="228">
        <v>736352.77777777775</v>
      </c>
      <c r="E114" s="229">
        <v>682244.4444444445</v>
      </c>
    </row>
    <row r="115" spans="2:5" ht="14.25" customHeight="1" x14ac:dyDescent="0.35">
      <c r="B115" s="230">
        <v>19</v>
      </c>
      <c r="C115" s="228">
        <v>710788.88888888888</v>
      </c>
      <c r="D115" s="228">
        <v>751352.77777777775</v>
      </c>
      <c r="E115" s="229">
        <v>682244.4444444445</v>
      </c>
    </row>
    <row r="116" spans="2:5" ht="14.25" customHeight="1" x14ac:dyDescent="0.35">
      <c r="B116" s="230">
        <v>20</v>
      </c>
      <c r="C116" s="228">
        <v>725788.88888888888</v>
      </c>
      <c r="D116" s="228">
        <v>766352.77777777775</v>
      </c>
      <c r="E116" s="229">
        <v>682244.4444444445</v>
      </c>
    </row>
    <row r="117" spans="2:5" ht="14.25" customHeight="1" x14ac:dyDescent="0.35">
      <c r="B117" s="230">
        <v>21</v>
      </c>
      <c r="C117" s="228">
        <v>740788.88888888888</v>
      </c>
      <c r="D117" s="228">
        <v>781352.77777777775</v>
      </c>
      <c r="E117" s="229">
        <v>682244.4444444445</v>
      </c>
    </row>
    <row r="118" spans="2:5" ht="14.25" customHeight="1" x14ac:dyDescent="0.35">
      <c r="B118" s="230">
        <v>22</v>
      </c>
      <c r="C118" s="228">
        <v>755788.88888888888</v>
      </c>
      <c r="D118" s="228">
        <v>796352.77777777775</v>
      </c>
      <c r="E118" s="229">
        <v>682244.4444444445</v>
      </c>
    </row>
    <row r="119" spans="2:5" ht="14.25" customHeight="1" x14ac:dyDescent="0.35">
      <c r="B119" s="230">
        <v>23</v>
      </c>
      <c r="C119" s="228">
        <v>770788.88888888888</v>
      </c>
      <c r="D119" s="228">
        <v>811352.77777777775</v>
      </c>
      <c r="E119" s="229">
        <v>682244.4444444445</v>
      </c>
    </row>
    <row r="120" spans="2:5" ht="14.25" customHeight="1" x14ac:dyDescent="0.35">
      <c r="B120" s="230">
        <v>24</v>
      </c>
      <c r="C120" s="228">
        <v>785788.88888888888</v>
      </c>
      <c r="D120" s="228">
        <v>826352.77777777775</v>
      </c>
      <c r="E120" s="229">
        <v>682244.4444444445</v>
      </c>
    </row>
    <row r="121" spans="2:5" ht="14.25" customHeight="1" thickBot="1" x14ac:dyDescent="0.4">
      <c r="B121" s="246">
        <v>25</v>
      </c>
      <c r="C121" s="248">
        <v>800788.88888888888</v>
      </c>
      <c r="D121" s="248">
        <v>841352.77777777775</v>
      </c>
      <c r="E121" s="249">
        <v>682244.4444444445</v>
      </c>
    </row>
    <row r="122" spans="2:5" ht="14.25" customHeight="1" x14ac:dyDescent="0.35"/>
    <row r="123" spans="2:5" ht="14.25" customHeight="1" x14ac:dyDescent="0.35"/>
    <row r="124" spans="2:5" ht="14.25" customHeight="1" x14ac:dyDescent="0.35"/>
    <row r="125" spans="2:5" ht="14.25" customHeight="1" x14ac:dyDescent="0.35">
      <c r="B125" s="294" t="s">
        <v>77</v>
      </c>
      <c r="C125" s="294" t="str">
        <f>C104</f>
        <v xml:space="preserve">CNC Milling </v>
      </c>
      <c r="D125" s="294" t="str">
        <f t="shared" ref="D125:E125" si="17">D104</f>
        <v>Water Jet Cutting</v>
      </c>
      <c r="E125" s="294" t="str">
        <f t="shared" si="17"/>
        <v>3D Printing</v>
      </c>
    </row>
    <row r="126" spans="2:5" ht="14.25" customHeight="1" x14ac:dyDescent="0.35">
      <c r="B126" s="295"/>
      <c r="C126" s="296">
        <f>'Total Cost'!C55</f>
        <v>665788.88888888888</v>
      </c>
      <c r="D126" s="296">
        <f>'Total Cost'!D55</f>
        <v>706352.77777777775</v>
      </c>
      <c r="E126" s="296">
        <f>'Total Cost'!E55</f>
        <v>682244.4444444445</v>
      </c>
    </row>
    <row r="127" spans="2:5" ht="14.25" customHeight="1" x14ac:dyDescent="0.35">
      <c r="B127" s="220">
        <v>0.1</v>
      </c>
      <c r="C127" s="228">
        <f t="dataTable" ref="C127:E138" dt2D="0" dtr="0" r1="D23" ca="1"/>
        <v>665788.88888888888</v>
      </c>
      <c r="D127" s="228">
        <v>706352.77777777775</v>
      </c>
      <c r="E127" s="228">
        <v>608744.4444444445</v>
      </c>
    </row>
    <row r="128" spans="2:5" ht="14.25" customHeight="1" x14ac:dyDescent="0.35">
      <c r="B128" s="220">
        <v>0.2</v>
      </c>
      <c r="C128" s="228">
        <v>665788.88888888888</v>
      </c>
      <c r="D128" s="228">
        <v>706352.77777777775</v>
      </c>
      <c r="E128" s="228">
        <v>633244.4444444445</v>
      </c>
    </row>
    <row r="129" spans="2:5" ht="14.25" customHeight="1" x14ac:dyDescent="0.35">
      <c r="B129" s="220">
        <v>0.3</v>
      </c>
      <c r="C129" s="228">
        <v>665788.88888888888</v>
      </c>
      <c r="D129" s="228">
        <v>706352.77777777775</v>
      </c>
      <c r="E129" s="228">
        <v>657744.4444444445</v>
      </c>
    </row>
    <row r="130" spans="2:5" ht="14.25" customHeight="1" x14ac:dyDescent="0.35">
      <c r="B130" s="220">
        <v>0.4</v>
      </c>
      <c r="C130" s="228">
        <v>665788.88888888888</v>
      </c>
      <c r="D130" s="228">
        <v>706352.77777777775</v>
      </c>
      <c r="E130" s="228">
        <v>682244.4444444445</v>
      </c>
    </row>
    <row r="131" spans="2:5" ht="14.25" customHeight="1" x14ac:dyDescent="0.35">
      <c r="B131" s="220">
        <v>0.5</v>
      </c>
      <c r="C131" s="228">
        <v>665788.88888888888</v>
      </c>
      <c r="D131" s="228">
        <v>706352.77777777775</v>
      </c>
      <c r="E131" s="228">
        <v>706744.4444444445</v>
      </c>
    </row>
    <row r="132" spans="2:5" ht="14.25" customHeight="1" x14ac:dyDescent="0.35">
      <c r="B132" s="220">
        <v>0.6</v>
      </c>
      <c r="C132" s="228">
        <v>665788.88888888888</v>
      </c>
      <c r="D132" s="228">
        <v>706352.77777777775</v>
      </c>
      <c r="E132" s="228">
        <v>731244.4444444445</v>
      </c>
    </row>
    <row r="133" spans="2:5" ht="14.25" customHeight="1" x14ac:dyDescent="0.35">
      <c r="B133" s="220">
        <v>0.7</v>
      </c>
      <c r="C133" s="228">
        <v>665788.88888888888</v>
      </c>
      <c r="D133" s="228">
        <v>706352.77777777775</v>
      </c>
      <c r="E133" s="228">
        <v>755744.4444444445</v>
      </c>
    </row>
    <row r="134" spans="2:5" ht="14.25" customHeight="1" x14ac:dyDescent="0.35">
      <c r="B134" s="220">
        <v>0.8</v>
      </c>
      <c r="C134" s="228">
        <v>665788.88888888888</v>
      </c>
      <c r="D134" s="228">
        <v>706352.77777777775</v>
      </c>
      <c r="E134" s="228">
        <v>780244.4444444445</v>
      </c>
    </row>
    <row r="135" spans="2:5" ht="14.25" customHeight="1" x14ac:dyDescent="0.35">
      <c r="B135" s="220">
        <v>0.9</v>
      </c>
      <c r="C135" s="228">
        <v>665788.88888888888</v>
      </c>
      <c r="D135" s="228">
        <v>706352.77777777775</v>
      </c>
      <c r="E135" s="228">
        <v>804744.4444444445</v>
      </c>
    </row>
    <row r="136" spans="2:5" ht="14.25" customHeight="1" x14ac:dyDescent="0.35">
      <c r="B136" s="220">
        <v>1</v>
      </c>
      <c r="C136" s="228">
        <v>665788.88888888888</v>
      </c>
      <c r="D136" s="228">
        <v>706352.77777777775</v>
      </c>
      <c r="E136" s="228">
        <v>829244.4444444445</v>
      </c>
    </row>
    <row r="137" spans="2:5" ht="14.25" customHeight="1" x14ac:dyDescent="0.35">
      <c r="B137" s="220">
        <v>1.1000000000000001</v>
      </c>
      <c r="C137" s="228">
        <v>665788.88888888888</v>
      </c>
      <c r="D137" s="228">
        <v>706352.77777777775</v>
      </c>
      <c r="E137" s="228">
        <v>853744.4444444445</v>
      </c>
    </row>
    <row r="138" spans="2:5" ht="14.25" customHeight="1" x14ac:dyDescent="0.35">
      <c r="B138" s="220">
        <v>1.2</v>
      </c>
      <c r="C138" s="228">
        <v>665788.88888888888</v>
      </c>
      <c r="D138" s="228">
        <v>706352.77777777775</v>
      </c>
      <c r="E138" s="228">
        <v>878244.4444444445</v>
      </c>
    </row>
    <row r="139" spans="2:5" ht="14.25" customHeight="1" x14ac:dyDescent="0.35">
      <c r="C139" s="297"/>
      <c r="D139" s="297"/>
      <c r="E139" s="297"/>
    </row>
    <row r="140" spans="2:5" ht="14.25" customHeight="1" x14ac:dyDescent="0.35">
      <c r="C140" s="297"/>
      <c r="D140" s="297"/>
      <c r="E140" s="297"/>
    </row>
    <row r="141" spans="2:5" ht="14.25" customHeight="1" x14ac:dyDescent="0.35">
      <c r="C141" s="297"/>
      <c r="D141" s="297"/>
      <c r="E141" s="297"/>
    </row>
    <row r="142" spans="2:5" ht="14.25" customHeight="1" x14ac:dyDescent="0.35">
      <c r="C142" s="297"/>
      <c r="D142" s="297"/>
      <c r="E142" s="297"/>
    </row>
    <row r="143" spans="2:5" ht="14.25" customHeight="1" x14ac:dyDescent="0.35">
      <c r="C143" s="297"/>
      <c r="D143" s="297"/>
      <c r="E143" s="297"/>
    </row>
    <row r="144" spans="2:5" ht="14.25" customHeight="1" x14ac:dyDescent="0.35">
      <c r="C144" s="297"/>
      <c r="D144" s="297"/>
      <c r="E144" s="297"/>
    </row>
    <row r="145" spans="2:5" ht="14.25" customHeight="1" thickBot="1" x14ac:dyDescent="0.4">
      <c r="C145" s="297"/>
      <c r="D145" s="297"/>
      <c r="E145" s="297"/>
    </row>
    <row r="146" spans="2:5" ht="14.25" customHeight="1" thickBot="1" x14ac:dyDescent="0.4">
      <c r="B146" s="290" t="s">
        <v>78</v>
      </c>
      <c r="C146" s="291" t="str">
        <f>C125</f>
        <v xml:space="preserve">CNC Milling </v>
      </c>
      <c r="D146" s="291" t="str">
        <f t="shared" ref="D146:E146" si="18">D125</f>
        <v>Water Jet Cutting</v>
      </c>
      <c r="E146" s="291" t="str">
        <f t="shared" si="18"/>
        <v>3D Printing</v>
      </c>
    </row>
    <row r="147" spans="2:5" ht="14.25" customHeight="1" x14ac:dyDescent="0.35">
      <c r="B147" s="287"/>
      <c r="C147" s="298">
        <f>'Total Cost'!C55</f>
        <v>665788.88888888888</v>
      </c>
      <c r="D147" s="298">
        <f>'Total Cost'!D55</f>
        <v>706352.77777777775</v>
      </c>
      <c r="E147" s="298">
        <f>'Total Cost'!E55</f>
        <v>682244.4444444445</v>
      </c>
    </row>
    <row r="148" spans="2:5" ht="14.25" customHeight="1" x14ac:dyDescent="0.35">
      <c r="B148" s="230">
        <v>0.1</v>
      </c>
      <c r="C148" s="293">
        <f t="dataTable" ref="C148:E159" dt2D="0" dtr="0" r1="D24" ca="1"/>
        <v>665788.88888888888</v>
      </c>
      <c r="D148" s="293">
        <v>691165.27777777775</v>
      </c>
      <c r="E148" s="299">
        <v>682244.4444444445</v>
      </c>
    </row>
    <row r="149" spans="2:5" ht="14.25" customHeight="1" x14ac:dyDescent="0.35">
      <c r="B149" s="230">
        <v>0.15</v>
      </c>
      <c r="C149" s="293">
        <v>665788.88888888888</v>
      </c>
      <c r="D149" s="293">
        <v>696227.77777777775</v>
      </c>
      <c r="E149" s="299">
        <v>682244.4444444445</v>
      </c>
    </row>
    <row r="150" spans="2:5" ht="14.25" customHeight="1" x14ac:dyDescent="0.35">
      <c r="B150" s="230">
        <v>0.2</v>
      </c>
      <c r="C150" s="293">
        <v>665788.88888888888</v>
      </c>
      <c r="D150" s="293">
        <v>701290.27777777775</v>
      </c>
      <c r="E150" s="299">
        <v>682244.4444444445</v>
      </c>
    </row>
    <row r="151" spans="2:5" ht="14.25" customHeight="1" x14ac:dyDescent="0.35">
      <c r="B151" s="230">
        <v>0.25</v>
      </c>
      <c r="C151" s="293">
        <v>665788.88888888888</v>
      </c>
      <c r="D151" s="293">
        <v>706352.77777777775</v>
      </c>
      <c r="E151" s="299">
        <v>682244.4444444445</v>
      </c>
    </row>
    <row r="152" spans="2:5" ht="14.25" customHeight="1" x14ac:dyDescent="0.35">
      <c r="B152" s="230">
        <v>0.3</v>
      </c>
      <c r="C152" s="293">
        <v>665788.88888888888</v>
      </c>
      <c r="D152" s="293">
        <v>711415.27777777775</v>
      </c>
      <c r="E152" s="299">
        <v>682244.4444444445</v>
      </c>
    </row>
    <row r="153" spans="2:5" ht="14.25" customHeight="1" x14ac:dyDescent="0.35">
      <c r="B153" s="230">
        <v>0.35</v>
      </c>
      <c r="C153" s="293">
        <v>665788.88888888888</v>
      </c>
      <c r="D153" s="293">
        <v>716477.77777777775</v>
      </c>
      <c r="E153" s="299">
        <v>682244.4444444445</v>
      </c>
    </row>
    <row r="154" spans="2:5" ht="14.25" customHeight="1" x14ac:dyDescent="0.35">
      <c r="B154" s="230">
        <v>0.4</v>
      </c>
      <c r="C154" s="293">
        <v>665788.88888888888</v>
      </c>
      <c r="D154" s="293">
        <v>721540.27777777775</v>
      </c>
      <c r="E154" s="299">
        <v>682244.4444444445</v>
      </c>
    </row>
    <row r="155" spans="2:5" ht="14.25" customHeight="1" x14ac:dyDescent="0.35">
      <c r="B155" s="230">
        <v>0.45</v>
      </c>
      <c r="C155" s="293">
        <v>665788.88888888888</v>
      </c>
      <c r="D155" s="293">
        <v>726602.77777777775</v>
      </c>
      <c r="E155" s="299">
        <v>682244.4444444445</v>
      </c>
    </row>
    <row r="156" spans="2:5" ht="14.25" customHeight="1" x14ac:dyDescent="0.35">
      <c r="B156" s="230">
        <v>0.5</v>
      </c>
      <c r="C156" s="293">
        <v>665788.88888888888</v>
      </c>
      <c r="D156" s="293">
        <v>731665.27777777775</v>
      </c>
      <c r="E156" s="299">
        <v>682244.4444444445</v>
      </c>
    </row>
    <row r="157" spans="2:5" ht="14.25" customHeight="1" x14ac:dyDescent="0.35">
      <c r="B157" s="230">
        <v>0.55000000000000004</v>
      </c>
      <c r="C157" s="293">
        <v>665788.88888888888</v>
      </c>
      <c r="D157" s="293">
        <v>736727.77777777775</v>
      </c>
      <c r="E157" s="299">
        <v>682244.4444444445</v>
      </c>
    </row>
    <row r="158" spans="2:5" ht="14.25" customHeight="1" x14ac:dyDescent="0.35">
      <c r="B158" s="230">
        <v>0.6</v>
      </c>
      <c r="C158" s="293">
        <v>665788.88888888888</v>
      </c>
      <c r="D158" s="293">
        <v>741790.27777777775</v>
      </c>
      <c r="E158" s="299">
        <v>682244.4444444445</v>
      </c>
    </row>
    <row r="159" spans="2:5" ht="14.25" customHeight="1" thickBot="1" x14ac:dyDescent="0.4">
      <c r="B159" s="246">
        <v>0.65</v>
      </c>
      <c r="C159" s="300">
        <v>665788.88888888888</v>
      </c>
      <c r="D159" s="300">
        <v>746852.77777777775</v>
      </c>
      <c r="E159" s="301">
        <v>682244.4444444445</v>
      </c>
    </row>
    <row r="160" spans="2:5" ht="14.25" customHeight="1" x14ac:dyDescent="0.35"/>
    <row r="161" s="198" customFormat="1" ht="14.25" customHeight="1" x14ac:dyDescent="0.35"/>
    <row r="162" s="198" customFormat="1" ht="14.25" customHeight="1" x14ac:dyDescent="0.35"/>
    <row r="163" s="198" customFormat="1" ht="14.25" customHeight="1" x14ac:dyDescent="0.35"/>
    <row r="164" s="198" customFormat="1" ht="14.25" customHeight="1" x14ac:dyDescent="0.35"/>
    <row r="165" s="198" customFormat="1" ht="14.25" customHeight="1" x14ac:dyDescent="0.35"/>
    <row r="166" s="198" customFormat="1" ht="14.25" customHeight="1" x14ac:dyDescent="0.35"/>
    <row r="167" s="198" customFormat="1" ht="14.25" customHeight="1" x14ac:dyDescent="0.35"/>
    <row r="168" s="198" customFormat="1" ht="14.25" customHeight="1" x14ac:dyDescent="0.35"/>
    <row r="169" s="198" customFormat="1" ht="14.25" customHeight="1" x14ac:dyDescent="0.35"/>
    <row r="170" s="198" customFormat="1" ht="14.25" customHeight="1" x14ac:dyDescent="0.35"/>
    <row r="171" s="198" customFormat="1" ht="14.25" customHeight="1" x14ac:dyDescent="0.35"/>
    <row r="172" s="198" customFormat="1" ht="14.25" customHeight="1" x14ac:dyDescent="0.35"/>
    <row r="173" s="198" customFormat="1" ht="14.25" customHeight="1" x14ac:dyDescent="0.35"/>
    <row r="174" s="198" customFormat="1" ht="14.25" customHeight="1" x14ac:dyDescent="0.35"/>
    <row r="175" s="198" customFormat="1" ht="14.25" customHeight="1" x14ac:dyDescent="0.35"/>
    <row r="176" s="198" customFormat="1" ht="14.25" customHeight="1" x14ac:dyDescent="0.35"/>
    <row r="177" s="198" customFormat="1" ht="14.25" customHeight="1" x14ac:dyDescent="0.35"/>
    <row r="178" s="198" customFormat="1" ht="14.25" customHeight="1" x14ac:dyDescent="0.35"/>
    <row r="179" s="198" customFormat="1" ht="14.25" customHeight="1" x14ac:dyDescent="0.35"/>
    <row r="180" s="198" customFormat="1" ht="14.25" customHeight="1" x14ac:dyDescent="0.35"/>
    <row r="181" s="198" customFormat="1" ht="14.25" customHeight="1" x14ac:dyDescent="0.35"/>
    <row r="182" s="198" customFormat="1" ht="14.25" customHeight="1" x14ac:dyDescent="0.35"/>
    <row r="183" s="198" customFormat="1" ht="14.25" customHeight="1" x14ac:dyDescent="0.35"/>
    <row r="184" s="198" customFormat="1" ht="14.25" customHeight="1" x14ac:dyDescent="0.35"/>
    <row r="185" s="198" customFormat="1" ht="14.25" customHeight="1" x14ac:dyDescent="0.35"/>
    <row r="186" s="198" customFormat="1" ht="14.25" customHeight="1" x14ac:dyDescent="0.35"/>
    <row r="187" s="198" customFormat="1" ht="14.25" customHeight="1" x14ac:dyDescent="0.35"/>
    <row r="188" s="198" customFormat="1" ht="14.25" customHeight="1" x14ac:dyDescent="0.35"/>
    <row r="189" s="198" customFormat="1" ht="14.25" customHeight="1" x14ac:dyDescent="0.35"/>
    <row r="190" s="198" customFormat="1" ht="14.25" customHeight="1" x14ac:dyDescent="0.35"/>
    <row r="191" s="198" customFormat="1" ht="14.25" customHeight="1" x14ac:dyDescent="0.35"/>
    <row r="192" s="198" customFormat="1" ht="14.25" customHeight="1" x14ac:dyDescent="0.35"/>
    <row r="193" s="198" customFormat="1" ht="14.25" customHeight="1" x14ac:dyDescent="0.35"/>
    <row r="194" s="198" customFormat="1" ht="14.25" customHeight="1" x14ac:dyDescent="0.35"/>
    <row r="195" s="198" customFormat="1" ht="14.25" customHeight="1" x14ac:dyDescent="0.35"/>
    <row r="196" s="198" customFormat="1" ht="14.25" customHeight="1" x14ac:dyDescent="0.35"/>
    <row r="197" s="198" customFormat="1" ht="14.25" customHeight="1" x14ac:dyDescent="0.35"/>
    <row r="198" s="198" customFormat="1" ht="14.25" customHeight="1" x14ac:dyDescent="0.35"/>
    <row r="199" s="198" customFormat="1" ht="14.25" customHeight="1" x14ac:dyDescent="0.35"/>
    <row r="200" s="198" customFormat="1" ht="14.25" customHeight="1" x14ac:dyDescent="0.35"/>
    <row r="201" s="198" customFormat="1" ht="14.25" customHeight="1" x14ac:dyDescent="0.35"/>
    <row r="202" s="198" customFormat="1" ht="14.25" customHeight="1" x14ac:dyDescent="0.35"/>
    <row r="203" s="198" customFormat="1" ht="14.25" customHeight="1" x14ac:dyDescent="0.35"/>
    <row r="204" s="198" customFormat="1" ht="14.25" customHeight="1" x14ac:dyDescent="0.35"/>
    <row r="205" s="198" customFormat="1" ht="14.25" customHeight="1" x14ac:dyDescent="0.35"/>
    <row r="206" s="198" customFormat="1" ht="14.25" customHeight="1" x14ac:dyDescent="0.35"/>
    <row r="207" s="198" customFormat="1" ht="14.25" customHeight="1" x14ac:dyDescent="0.35"/>
    <row r="208" s="198" customFormat="1" ht="14.25" customHeight="1" x14ac:dyDescent="0.35"/>
    <row r="209" s="198" customFormat="1" ht="14.25" customHeight="1" x14ac:dyDescent="0.35"/>
    <row r="210" s="198" customFormat="1" ht="14.25" customHeight="1" x14ac:dyDescent="0.35"/>
    <row r="211" s="198" customFormat="1" ht="14.25" customHeight="1" x14ac:dyDescent="0.35"/>
    <row r="212" s="198" customFormat="1" ht="14.25" customHeight="1" x14ac:dyDescent="0.35"/>
    <row r="213" s="198" customFormat="1" ht="14.25" customHeight="1" x14ac:dyDescent="0.35"/>
    <row r="214" s="198" customFormat="1" ht="14.25" customHeight="1" x14ac:dyDescent="0.35"/>
    <row r="215" s="198" customFormat="1" ht="14.25" customHeight="1" x14ac:dyDescent="0.35"/>
    <row r="216" s="198" customFormat="1" ht="14.25" customHeight="1" x14ac:dyDescent="0.35"/>
    <row r="217" s="198" customFormat="1" ht="14.25" customHeight="1" x14ac:dyDescent="0.35"/>
    <row r="218" s="198" customFormat="1" ht="14.25" customHeight="1" x14ac:dyDescent="0.35"/>
    <row r="219" s="198" customFormat="1" ht="14.25" customHeight="1" x14ac:dyDescent="0.35"/>
    <row r="220" s="198" customFormat="1" ht="14.25" customHeight="1" x14ac:dyDescent="0.35"/>
    <row r="221" s="198" customFormat="1" ht="14.25" customHeight="1" x14ac:dyDescent="0.35"/>
    <row r="222" s="198" customFormat="1" ht="14.25" customHeight="1" x14ac:dyDescent="0.35"/>
    <row r="223" s="198" customFormat="1" ht="14.25" customHeight="1" x14ac:dyDescent="0.35"/>
    <row r="224" s="198" customFormat="1" ht="14.25" customHeight="1" x14ac:dyDescent="0.35"/>
    <row r="225" s="198" customFormat="1" ht="14.25" customHeight="1" x14ac:dyDescent="0.35"/>
    <row r="226" s="198" customFormat="1" ht="14.25" customHeight="1" x14ac:dyDescent="0.35"/>
    <row r="227" s="198" customFormat="1" ht="14.25" customHeight="1" x14ac:dyDescent="0.35"/>
    <row r="228" s="198" customFormat="1" ht="14.25" customHeight="1" x14ac:dyDescent="0.35"/>
    <row r="229" s="198" customFormat="1" ht="14.25" customHeight="1" x14ac:dyDescent="0.35"/>
    <row r="230" s="198" customFormat="1" ht="14.25" customHeight="1" x14ac:dyDescent="0.35"/>
    <row r="231" s="198" customFormat="1" ht="14.25" customHeight="1" x14ac:dyDescent="0.35"/>
    <row r="232" s="198" customFormat="1" ht="14.25" customHeight="1" x14ac:dyDescent="0.35"/>
    <row r="233" s="198" customFormat="1" ht="14.25" customHeight="1" x14ac:dyDescent="0.35"/>
    <row r="234" s="198" customFormat="1" ht="14.25" customHeight="1" x14ac:dyDescent="0.35"/>
    <row r="235" s="198" customFormat="1" ht="14.25" customHeight="1" x14ac:dyDescent="0.35"/>
    <row r="236" s="198" customFormat="1" ht="14.25" customHeight="1" x14ac:dyDescent="0.35"/>
    <row r="237" s="198" customFormat="1" ht="14.25" customHeight="1" x14ac:dyDescent="0.35"/>
    <row r="238" s="198" customFormat="1" ht="14.25" customHeight="1" x14ac:dyDescent="0.35"/>
    <row r="239" s="198" customFormat="1" ht="14.25" customHeight="1" x14ac:dyDescent="0.35"/>
    <row r="240" s="198" customFormat="1" ht="14.25" customHeight="1" x14ac:dyDescent="0.35"/>
    <row r="241" s="198" customFormat="1" ht="14.25" customHeight="1" x14ac:dyDescent="0.35"/>
    <row r="242" s="198" customFormat="1" ht="14.25" customHeight="1" x14ac:dyDescent="0.35"/>
    <row r="243" s="198" customFormat="1" ht="14.25" customHeight="1" x14ac:dyDescent="0.35"/>
    <row r="244" s="198" customFormat="1" ht="14.25" customHeight="1" x14ac:dyDescent="0.35"/>
    <row r="245" s="198" customFormat="1" ht="14.25" customHeight="1" x14ac:dyDescent="0.35"/>
    <row r="246" s="198" customFormat="1" ht="14.25" customHeight="1" x14ac:dyDescent="0.35"/>
    <row r="247" s="198" customFormat="1" ht="14.25" customHeight="1" x14ac:dyDescent="0.35"/>
    <row r="248" s="198" customFormat="1" ht="14.25" customHeight="1" x14ac:dyDescent="0.35"/>
    <row r="249" s="198" customFormat="1" ht="14.25" customHeight="1" x14ac:dyDescent="0.35"/>
    <row r="250" s="198" customFormat="1" ht="14.25" customHeight="1" x14ac:dyDescent="0.35"/>
    <row r="251" s="198" customFormat="1" ht="14.25" customHeight="1" x14ac:dyDescent="0.35"/>
    <row r="252" s="198" customFormat="1" ht="14.25" customHeight="1" x14ac:dyDescent="0.35"/>
    <row r="253" s="198" customFormat="1" ht="14.25" customHeight="1" x14ac:dyDescent="0.35"/>
    <row r="254" s="198" customFormat="1" ht="14.25" customHeight="1" x14ac:dyDescent="0.35"/>
    <row r="255" s="198" customFormat="1" ht="14.25" customHeight="1" x14ac:dyDescent="0.35"/>
    <row r="256" s="198" customFormat="1" ht="14.25" customHeight="1" x14ac:dyDescent="0.35"/>
    <row r="257" s="198" customFormat="1" ht="14.25" customHeight="1" x14ac:dyDescent="0.35"/>
    <row r="258" s="198" customFormat="1" ht="14.25" customHeight="1" x14ac:dyDescent="0.35"/>
    <row r="259" s="198" customFormat="1" ht="14.25" customHeight="1" x14ac:dyDescent="0.35"/>
    <row r="260" s="198" customFormat="1" ht="14.25" customHeight="1" x14ac:dyDescent="0.35"/>
    <row r="261" s="198" customFormat="1" ht="14.25" customHeight="1" x14ac:dyDescent="0.35"/>
    <row r="262" s="198" customFormat="1" ht="14.25" customHeight="1" x14ac:dyDescent="0.35"/>
    <row r="263" s="198" customFormat="1" ht="14.25" customHeight="1" x14ac:dyDescent="0.35"/>
    <row r="264" s="198" customFormat="1" ht="14.25" customHeight="1" x14ac:dyDescent="0.35"/>
    <row r="265" s="198" customFormat="1" ht="14.25" customHeight="1" x14ac:dyDescent="0.35"/>
    <row r="266" s="198" customFormat="1" ht="14.25" customHeight="1" x14ac:dyDescent="0.35"/>
    <row r="267" s="198" customFormat="1" ht="14.25" customHeight="1" x14ac:dyDescent="0.35"/>
    <row r="268" s="198" customFormat="1" ht="14.25" customHeight="1" x14ac:dyDescent="0.35"/>
    <row r="269" s="198" customFormat="1" ht="14.25" customHeight="1" x14ac:dyDescent="0.35"/>
    <row r="270" s="198" customFormat="1" ht="14.25" customHeight="1" x14ac:dyDescent="0.35"/>
    <row r="271" s="198" customFormat="1" ht="14.25" customHeight="1" x14ac:dyDescent="0.35"/>
    <row r="272" s="198" customFormat="1" ht="14.25" customHeight="1" x14ac:dyDescent="0.35"/>
    <row r="273" s="198" customFormat="1" ht="14.25" customHeight="1" x14ac:dyDescent="0.35"/>
    <row r="274" s="198" customFormat="1" ht="14.25" customHeight="1" x14ac:dyDescent="0.35"/>
    <row r="275" s="198" customFormat="1" ht="14.25" customHeight="1" x14ac:dyDescent="0.35"/>
    <row r="276" s="198" customFormat="1" ht="14.25" customHeight="1" x14ac:dyDescent="0.35"/>
    <row r="277" s="198" customFormat="1" ht="14.25" customHeight="1" x14ac:dyDescent="0.35"/>
    <row r="278" s="198" customFormat="1" ht="14.25" customHeight="1" x14ac:dyDescent="0.35"/>
    <row r="279" s="198" customFormat="1" ht="14.25" customHeight="1" x14ac:dyDescent="0.35"/>
    <row r="280" s="198" customFormat="1" ht="14.25" customHeight="1" x14ac:dyDescent="0.35"/>
    <row r="281" s="198" customFormat="1" ht="14.25" customHeight="1" x14ac:dyDescent="0.35"/>
    <row r="282" s="198" customFormat="1" ht="14.25" customHeight="1" x14ac:dyDescent="0.35"/>
    <row r="283" s="198" customFormat="1" ht="14.25" customHeight="1" x14ac:dyDescent="0.35"/>
    <row r="284" s="198" customFormat="1" ht="14.25" customHeight="1" x14ac:dyDescent="0.35"/>
    <row r="285" s="198" customFormat="1" ht="14.25" customHeight="1" x14ac:dyDescent="0.35"/>
    <row r="286" s="198" customFormat="1" ht="14.25" customHeight="1" x14ac:dyDescent="0.35"/>
    <row r="287" s="198" customFormat="1" ht="14.25" customHeight="1" x14ac:dyDescent="0.35"/>
    <row r="288" s="198" customFormat="1" ht="14.25" customHeight="1" x14ac:dyDescent="0.35"/>
    <row r="289" s="198" customFormat="1" ht="14.25" customHeight="1" x14ac:dyDescent="0.35"/>
    <row r="290" s="198" customFormat="1" ht="14.25" customHeight="1" x14ac:dyDescent="0.35"/>
    <row r="291" s="198" customFormat="1" ht="14.25" customHeight="1" x14ac:dyDescent="0.35"/>
    <row r="292" s="198" customFormat="1" ht="14.25" customHeight="1" x14ac:dyDescent="0.35"/>
    <row r="293" s="198" customFormat="1" ht="14.25" customHeight="1" x14ac:dyDescent="0.35"/>
    <row r="294" s="198" customFormat="1" ht="14.25" customHeight="1" x14ac:dyDescent="0.35"/>
    <row r="295" s="198" customFormat="1" ht="14.25" customHeight="1" x14ac:dyDescent="0.35"/>
    <row r="296" s="198" customFormat="1" ht="14.25" customHeight="1" x14ac:dyDescent="0.35"/>
    <row r="297" s="198" customFormat="1" ht="14.25" customHeight="1" x14ac:dyDescent="0.35"/>
    <row r="298" s="198" customFormat="1" ht="14.25" customHeight="1" x14ac:dyDescent="0.35"/>
    <row r="299" s="198" customFormat="1" ht="14.25" customHeight="1" x14ac:dyDescent="0.35"/>
    <row r="300" s="198" customFormat="1" ht="14.25" customHeight="1" x14ac:dyDescent="0.35"/>
    <row r="301" s="198" customFormat="1" ht="14.25" customHeight="1" x14ac:dyDescent="0.35"/>
    <row r="302" s="198" customFormat="1" ht="14.25" customHeight="1" x14ac:dyDescent="0.35"/>
    <row r="303" s="198" customFormat="1" ht="14.25" customHeight="1" x14ac:dyDescent="0.35"/>
    <row r="304" s="198" customFormat="1" ht="14.25" customHeight="1" x14ac:dyDescent="0.35"/>
    <row r="305" s="198" customFormat="1" ht="14.25" customHeight="1" x14ac:dyDescent="0.35"/>
    <row r="306" s="198" customFormat="1" ht="14.25" customHeight="1" x14ac:dyDescent="0.35"/>
    <row r="307" s="198" customFormat="1" ht="14.25" customHeight="1" x14ac:dyDescent="0.35"/>
    <row r="308" s="198" customFormat="1" ht="14.25" customHeight="1" x14ac:dyDescent="0.35"/>
    <row r="309" s="198" customFormat="1" ht="14.25" customHeight="1" x14ac:dyDescent="0.35"/>
    <row r="310" s="198" customFormat="1" ht="14.25" customHeight="1" x14ac:dyDescent="0.35"/>
    <row r="311" s="198" customFormat="1" ht="14.25" customHeight="1" x14ac:dyDescent="0.35"/>
    <row r="312" s="198" customFormat="1" ht="14.25" customHeight="1" x14ac:dyDescent="0.35"/>
    <row r="313" s="198" customFormat="1" ht="14.25" customHeight="1" x14ac:dyDescent="0.35"/>
    <row r="314" s="198" customFormat="1" ht="14.25" customHeight="1" x14ac:dyDescent="0.35"/>
    <row r="315" s="198" customFormat="1" ht="14.25" customHeight="1" x14ac:dyDescent="0.35"/>
    <row r="316" s="198" customFormat="1" ht="14.25" customHeight="1" x14ac:dyDescent="0.35"/>
    <row r="317" s="198" customFormat="1" ht="14.25" customHeight="1" x14ac:dyDescent="0.35"/>
    <row r="318" s="198" customFormat="1" ht="14.25" customHeight="1" x14ac:dyDescent="0.35"/>
    <row r="319" s="198" customFormat="1" ht="14.25" customHeight="1" x14ac:dyDescent="0.35"/>
    <row r="320" s="198" customFormat="1" ht="14.25" customHeight="1" x14ac:dyDescent="0.35"/>
    <row r="321" s="198" customFormat="1" ht="14.25" customHeight="1" x14ac:dyDescent="0.35"/>
    <row r="322" s="198" customFormat="1" ht="14.25" customHeight="1" x14ac:dyDescent="0.35"/>
    <row r="323" s="198" customFormat="1" ht="14.25" customHeight="1" x14ac:dyDescent="0.35"/>
    <row r="324" s="198" customFormat="1" ht="14.25" customHeight="1" x14ac:dyDescent="0.35"/>
    <row r="325" s="198" customFormat="1" ht="14.25" customHeight="1" x14ac:dyDescent="0.35"/>
    <row r="326" s="198" customFormat="1" ht="14.25" customHeight="1" x14ac:dyDescent="0.35"/>
    <row r="327" s="198" customFormat="1" ht="14.25" customHeight="1" x14ac:dyDescent="0.35"/>
    <row r="328" s="198" customFormat="1" ht="14.25" customHeight="1" x14ac:dyDescent="0.35"/>
    <row r="329" s="198" customFormat="1" ht="14.25" customHeight="1" x14ac:dyDescent="0.35"/>
    <row r="330" s="198" customFormat="1" ht="14.25" customHeight="1" x14ac:dyDescent="0.35"/>
    <row r="331" s="198" customFormat="1" ht="14.25" customHeight="1" x14ac:dyDescent="0.35"/>
    <row r="332" s="198" customFormat="1" ht="14.25" customHeight="1" x14ac:dyDescent="0.35"/>
    <row r="333" s="198" customFormat="1" ht="14.25" customHeight="1" x14ac:dyDescent="0.35"/>
    <row r="334" s="198" customFormat="1" ht="14.25" customHeight="1" x14ac:dyDescent="0.35"/>
    <row r="335" s="198" customFormat="1" ht="14.25" customHeight="1" x14ac:dyDescent="0.35"/>
    <row r="336" s="198" customFormat="1" ht="14.25" customHeight="1" x14ac:dyDescent="0.35"/>
    <row r="337" s="198" customFormat="1" ht="14.25" customHeight="1" x14ac:dyDescent="0.35"/>
    <row r="338" s="198" customFormat="1" ht="14.25" customHeight="1" x14ac:dyDescent="0.35"/>
    <row r="339" s="198" customFormat="1" ht="14.25" customHeight="1" x14ac:dyDescent="0.35"/>
    <row r="340" s="198" customFormat="1" ht="14.25" customHeight="1" x14ac:dyDescent="0.35"/>
    <row r="341" s="198" customFormat="1" ht="14.25" customHeight="1" x14ac:dyDescent="0.35"/>
    <row r="342" s="198" customFormat="1" ht="14.25" customHeight="1" x14ac:dyDescent="0.35"/>
    <row r="343" s="198" customFormat="1" ht="14.25" customHeight="1" x14ac:dyDescent="0.35"/>
    <row r="344" s="198" customFormat="1" ht="14.25" customHeight="1" x14ac:dyDescent="0.35"/>
    <row r="345" s="198" customFormat="1" ht="14.25" customHeight="1" x14ac:dyDescent="0.35"/>
    <row r="346" s="198" customFormat="1" ht="14.25" customHeight="1" x14ac:dyDescent="0.35"/>
    <row r="347" s="198" customFormat="1" ht="14.25" customHeight="1" x14ac:dyDescent="0.35"/>
    <row r="348" s="198" customFormat="1" ht="14.25" customHeight="1" x14ac:dyDescent="0.35"/>
    <row r="349" s="198" customFormat="1" ht="14.25" customHeight="1" x14ac:dyDescent="0.35"/>
    <row r="350" s="198" customFormat="1" ht="14.25" customHeight="1" x14ac:dyDescent="0.35"/>
    <row r="351" s="198" customFormat="1" ht="14.25" customHeight="1" x14ac:dyDescent="0.35"/>
    <row r="352" s="198" customFormat="1" ht="14.25" customHeight="1" x14ac:dyDescent="0.35"/>
    <row r="353" s="198" customFormat="1" ht="14.25" customHeight="1" x14ac:dyDescent="0.35"/>
    <row r="354" s="198" customFormat="1" ht="14.25" customHeight="1" x14ac:dyDescent="0.35"/>
    <row r="355" s="198" customFormat="1" ht="14.25" customHeight="1" x14ac:dyDescent="0.35"/>
    <row r="356" s="198" customFormat="1" ht="14.25" customHeight="1" x14ac:dyDescent="0.35"/>
    <row r="357" s="198" customFormat="1" ht="14.25" customHeight="1" x14ac:dyDescent="0.35"/>
    <row r="358" s="198" customFormat="1" ht="14.25" customHeight="1" x14ac:dyDescent="0.35"/>
    <row r="359" s="198" customFormat="1" ht="14.25" customHeight="1" x14ac:dyDescent="0.35"/>
    <row r="360" s="198" customFormat="1" ht="14.25" customHeight="1" x14ac:dyDescent="0.35"/>
    <row r="361" s="198" customFormat="1" ht="14.25" customHeight="1" x14ac:dyDescent="0.35"/>
    <row r="362" s="198" customFormat="1" ht="14.25" customHeight="1" x14ac:dyDescent="0.35"/>
    <row r="363" s="198" customFormat="1" ht="14.25" customHeight="1" x14ac:dyDescent="0.35"/>
    <row r="364" s="198" customFormat="1" ht="14.25" customHeight="1" x14ac:dyDescent="0.35"/>
    <row r="365" s="198" customFormat="1" ht="14.25" customHeight="1" x14ac:dyDescent="0.35"/>
    <row r="366" s="198" customFormat="1" ht="14.25" customHeight="1" x14ac:dyDescent="0.35"/>
    <row r="367" s="198" customFormat="1" ht="14.25" customHeight="1" x14ac:dyDescent="0.35"/>
    <row r="368" s="198" customFormat="1" ht="14.25" customHeight="1" x14ac:dyDescent="0.35"/>
    <row r="369" s="198" customFormat="1" ht="14.25" customHeight="1" x14ac:dyDescent="0.35"/>
    <row r="370" s="198" customFormat="1" ht="14.25" customHeight="1" x14ac:dyDescent="0.35"/>
    <row r="371" s="198" customFormat="1" ht="14.25" customHeight="1" x14ac:dyDescent="0.35"/>
    <row r="372" s="198" customFormat="1" ht="14.25" customHeight="1" x14ac:dyDescent="0.35"/>
    <row r="373" s="198" customFormat="1" ht="14.25" customHeight="1" x14ac:dyDescent="0.35"/>
    <row r="374" s="198" customFormat="1" ht="14.25" customHeight="1" x14ac:dyDescent="0.35"/>
    <row r="375" s="198" customFormat="1" ht="14.25" customHeight="1" x14ac:dyDescent="0.35"/>
    <row r="376" s="198" customFormat="1" ht="14.25" customHeight="1" x14ac:dyDescent="0.35"/>
    <row r="377" s="198" customFormat="1" ht="14.25" customHeight="1" x14ac:dyDescent="0.35"/>
    <row r="378" s="198" customFormat="1" ht="14.25" customHeight="1" x14ac:dyDescent="0.35"/>
    <row r="379" s="198" customFormat="1" ht="14.25" customHeight="1" x14ac:dyDescent="0.35"/>
    <row r="380" s="198" customFormat="1" ht="14.25" customHeight="1" x14ac:dyDescent="0.35"/>
    <row r="381" s="198" customFormat="1" ht="14.25" customHeight="1" x14ac:dyDescent="0.35"/>
    <row r="382" s="198" customFormat="1" ht="14.25" customHeight="1" x14ac:dyDescent="0.35"/>
    <row r="383" s="198" customFormat="1" ht="14.25" customHeight="1" x14ac:dyDescent="0.35"/>
    <row r="384" s="198" customFormat="1" ht="14.25" customHeight="1" x14ac:dyDescent="0.35"/>
    <row r="385" s="198" customFormat="1" ht="14.25" customHeight="1" x14ac:dyDescent="0.35"/>
    <row r="386" s="198" customFormat="1" ht="14.25" customHeight="1" x14ac:dyDescent="0.35"/>
    <row r="387" s="198" customFormat="1" ht="14.25" customHeight="1" x14ac:dyDescent="0.35"/>
    <row r="388" s="198" customFormat="1" ht="14.25" customHeight="1" x14ac:dyDescent="0.35"/>
    <row r="389" s="198" customFormat="1" ht="14.25" customHeight="1" x14ac:dyDescent="0.35"/>
    <row r="390" s="198" customFormat="1" ht="14.25" customHeight="1" x14ac:dyDescent="0.35"/>
    <row r="391" s="198" customFormat="1" ht="14.25" customHeight="1" x14ac:dyDescent="0.35"/>
    <row r="392" s="198" customFormat="1" ht="14.25" customHeight="1" x14ac:dyDescent="0.35"/>
    <row r="393" s="198" customFormat="1" ht="14.25" customHeight="1" x14ac:dyDescent="0.35"/>
    <row r="394" s="198" customFormat="1" ht="14.25" customHeight="1" x14ac:dyDescent="0.35"/>
    <row r="395" s="198" customFormat="1" ht="14.25" customHeight="1" x14ac:dyDescent="0.35"/>
    <row r="396" s="198" customFormat="1" ht="14.25" customHeight="1" x14ac:dyDescent="0.35"/>
    <row r="397" s="198" customFormat="1" ht="14.25" customHeight="1" x14ac:dyDescent="0.35"/>
    <row r="398" s="198" customFormat="1" ht="14.25" customHeight="1" x14ac:dyDescent="0.35"/>
    <row r="399" s="198" customFormat="1" ht="14.25" customHeight="1" x14ac:dyDescent="0.35"/>
    <row r="400" s="198" customFormat="1" ht="14.25" customHeight="1" x14ac:dyDescent="0.35"/>
    <row r="401" s="198" customFormat="1" ht="14.25" customHeight="1" x14ac:dyDescent="0.35"/>
    <row r="402" s="198" customFormat="1" ht="14.25" customHeight="1" x14ac:dyDescent="0.35"/>
    <row r="403" s="198" customFormat="1" ht="14.25" customHeight="1" x14ac:dyDescent="0.35"/>
    <row r="404" s="198" customFormat="1" ht="14.25" customHeight="1" x14ac:dyDescent="0.35"/>
    <row r="405" s="198" customFormat="1" ht="14.25" customHeight="1" x14ac:dyDescent="0.35"/>
    <row r="406" s="198" customFormat="1" ht="14.25" customHeight="1" x14ac:dyDescent="0.35"/>
    <row r="407" s="198" customFormat="1" ht="14.25" customHeight="1" x14ac:dyDescent="0.35"/>
    <row r="408" s="198" customFormat="1" ht="14.25" customHeight="1" x14ac:dyDescent="0.35"/>
    <row r="409" s="198" customFormat="1" ht="14.25" customHeight="1" x14ac:dyDescent="0.35"/>
    <row r="410" s="198" customFormat="1" ht="14.25" customHeight="1" x14ac:dyDescent="0.35"/>
    <row r="411" s="198" customFormat="1" ht="14.25" customHeight="1" x14ac:dyDescent="0.35"/>
    <row r="412" s="198" customFormat="1" ht="14.25" customHeight="1" x14ac:dyDescent="0.35"/>
    <row r="413" s="198" customFormat="1" ht="14.25" customHeight="1" x14ac:dyDescent="0.35"/>
    <row r="414" s="198" customFormat="1" ht="14.25" customHeight="1" x14ac:dyDescent="0.35"/>
    <row r="415" s="198" customFormat="1" ht="14.25" customHeight="1" x14ac:dyDescent="0.35"/>
    <row r="416" s="198" customFormat="1" ht="14.25" customHeight="1" x14ac:dyDescent="0.35"/>
    <row r="417" s="198" customFormat="1" ht="14.25" customHeight="1" x14ac:dyDescent="0.35"/>
    <row r="418" s="198" customFormat="1" ht="14.25" customHeight="1" x14ac:dyDescent="0.35"/>
    <row r="419" s="198" customFormat="1" ht="14.25" customHeight="1" x14ac:dyDescent="0.35"/>
    <row r="420" s="198" customFormat="1" ht="14.25" customHeight="1" x14ac:dyDescent="0.35"/>
    <row r="421" s="198" customFormat="1" ht="14.25" customHeight="1" x14ac:dyDescent="0.35"/>
    <row r="422" s="198" customFormat="1" ht="14.25" customHeight="1" x14ac:dyDescent="0.35"/>
    <row r="423" s="198" customFormat="1" ht="14.25" customHeight="1" x14ac:dyDescent="0.35"/>
    <row r="424" s="198" customFormat="1" ht="14.25" customHeight="1" x14ac:dyDescent="0.35"/>
    <row r="425" s="198" customFormat="1" ht="14.25" customHeight="1" x14ac:dyDescent="0.35"/>
    <row r="426" s="198" customFormat="1" ht="14.25" customHeight="1" x14ac:dyDescent="0.35"/>
    <row r="427" s="198" customFormat="1" ht="14.25" customHeight="1" x14ac:dyDescent="0.35"/>
    <row r="428" s="198" customFormat="1" ht="14.25" customHeight="1" x14ac:dyDescent="0.35"/>
    <row r="429" s="198" customFormat="1" ht="14.25" customHeight="1" x14ac:dyDescent="0.35"/>
    <row r="430" s="198" customFormat="1" ht="14.25" customHeight="1" x14ac:dyDescent="0.35"/>
    <row r="431" s="198" customFormat="1" ht="14.25" customHeight="1" x14ac:dyDescent="0.35"/>
    <row r="432" s="198" customFormat="1" ht="14.25" customHeight="1" x14ac:dyDescent="0.35"/>
    <row r="433" s="198" customFormat="1" ht="14.25" customHeight="1" x14ac:dyDescent="0.35"/>
    <row r="434" s="198" customFormat="1" ht="14.25" customHeight="1" x14ac:dyDescent="0.35"/>
    <row r="435" s="198" customFormat="1" ht="14.25" customHeight="1" x14ac:dyDescent="0.35"/>
    <row r="436" s="198" customFormat="1" ht="14.25" customHeight="1" x14ac:dyDescent="0.35"/>
    <row r="437" s="198" customFormat="1" ht="14.25" customHeight="1" x14ac:dyDescent="0.35"/>
    <row r="438" s="198" customFormat="1" ht="14.25" customHeight="1" x14ac:dyDescent="0.35"/>
    <row r="439" s="198" customFormat="1" ht="14.25" customHeight="1" x14ac:dyDescent="0.35"/>
    <row r="440" s="198" customFormat="1" ht="14.25" customHeight="1" x14ac:dyDescent="0.35"/>
    <row r="441" s="198" customFormat="1" ht="14.25" customHeight="1" x14ac:dyDescent="0.35"/>
    <row r="442" s="198" customFormat="1" ht="14.25" customHeight="1" x14ac:dyDescent="0.35"/>
    <row r="443" s="198" customFormat="1" ht="14.25" customHeight="1" x14ac:dyDescent="0.35"/>
    <row r="444" s="198" customFormat="1" ht="14.25" customHeight="1" x14ac:dyDescent="0.35"/>
    <row r="445" s="198" customFormat="1" ht="14.25" customHeight="1" x14ac:dyDescent="0.35"/>
    <row r="446" s="198" customFormat="1" ht="14.25" customHeight="1" x14ac:dyDescent="0.35"/>
    <row r="447" s="198" customFormat="1" ht="14.25" customHeight="1" x14ac:dyDescent="0.35"/>
    <row r="448" s="198" customFormat="1" ht="14.25" customHeight="1" x14ac:dyDescent="0.35"/>
    <row r="449" s="198" customFormat="1" ht="14.25" customHeight="1" x14ac:dyDescent="0.35"/>
    <row r="450" s="198" customFormat="1" ht="14.25" customHeight="1" x14ac:dyDescent="0.35"/>
    <row r="451" s="198" customFormat="1" ht="14.25" customHeight="1" x14ac:dyDescent="0.35"/>
    <row r="452" s="198" customFormat="1" ht="14.25" customHeight="1" x14ac:dyDescent="0.35"/>
    <row r="453" s="198" customFormat="1" ht="14.25" customHeight="1" x14ac:dyDescent="0.35"/>
    <row r="454" s="198" customFormat="1" ht="14.25" customHeight="1" x14ac:dyDescent="0.35"/>
    <row r="455" s="198" customFormat="1" ht="14.25" customHeight="1" x14ac:dyDescent="0.35"/>
    <row r="456" s="198" customFormat="1" ht="14.25" customHeight="1" x14ac:dyDescent="0.35"/>
    <row r="457" s="198" customFormat="1" ht="14.25" customHeight="1" x14ac:dyDescent="0.35"/>
    <row r="458" s="198" customFormat="1" ht="14.25" customHeight="1" x14ac:dyDescent="0.35"/>
    <row r="459" s="198" customFormat="1" ht="14.25" customHeight="1" x14ac:dyDescent="0.35"/>
    <row r="460" s="198" customFormat="1" ht="14.25" customHeight="1" x14ac:dyDescent="0.35"/>
    <row r="461" s="198" customFormat="1" ht="14.25" customHeight="1" x14ac:dyDescent="0.35"/>
    <row r="462" s="198" customFormat="1" ht="14.25" customHeight="1" x14ac:dyDescent="0.35"/>
    <row r="463" s="198" customFormat="1" ht="14.25" customHeight="1" x14ac:dyDescent="0.35"/>
    <row r="464" s="198" customFormat="1" ht="14.25" customHeight="1" x14ac:dyDescent="0.35"/>
    <row r="465" s="198" customFormat="1" ht="14.25" customHeight="1" x14ac:dyDescent="0.35"/>
    <row r="466" s="198" customFormat="1" ht="14.25" customHeight="1" x14ac:dyDescent="0.35"/>
    <row r="467" s="198" customFormat="1" ht="14.25" customHeight="1" x14ac:dyDescent="0.35"/>
    <row r="468" s="198" customFormat="1" ht="14.25" customHeight="1" x14ac:dyDescent="0.35"/>
    <row r="469" s="198" customFormat="1" ht="14.25" customHeight="1" x14ac:dyDescent="0.35"/>
    <row r="470" s="198" customFormat="1" ht="14.25" customHeight="1" x14ac:dyDescent="0.35"/>
    <row r="471" s="198" customFormat="1" ht="14.25" customHeight="1" x14ac:dyDescent="0.35"/>
    <row r="472" s="198" customFormat="1" ht="14.25" customHeight="1" x14ac:dyDescent="0.35"/>
    <row r="473" s="198" customFormat="1" ht="14.25" customHeight="1" x14ac:dyDescent="0.35"/>
    <row r="474" s="198" customFormat="1" ht="14.25" customHeight="1" x14ac:dyDescent="0.35"/>
    <row r="475" s="198" customFormat="1" ht="14.25" customHeight="1" x14ac:dyDescent="0.35"/>
    <row r="476" s="198" customFormat="1" ht="14.25" customHeight="1" x14ac:dyDescent="0.35"/>
    <row r="477" s="198" customFormat="1" ht="14.25" customHeight="1" x14ac:dyDescent="0.35"/>
    <row r="478" s="198" customFormat="1" ht="14.25" customHeight="1" x14ac:dyDescent="0.35"/>
    <row r="479" s="198" customFormat="1" ht="14.25" customHeight="1" x14ac:dyDescent="0.35"/>
    <row r="480" s="198" customFormat="1" ht="14.25" customHeight="1" x14ac:dyDescent="0.35"/>
    <row r="481" s="198" customFormat="1" ht="14.25" customHeight="1" x14ac:dyDescent="0.35"/>
    <row r="482" s="198" customFormat="1" ht="14.25" customHeight="1" x14ac:dyDescent="0.35"/>
    <row r="483" s="198" customFormat="1" ht="14.25" customHeight="1" x14ac:dyDescent="0.35"/>
    <row r="484" s="198" customFormat="1" ht="14.25" customHeight="1" x14ac:dyDescent="0.35"/>
    <row r="485" s="198" customFormat="1" ht="14.25" customHeight="1" x14ac:dyDescent="0.35"/>
    <row r="486" s="198" customFormat="1" ht="14.25" customHeight="1" x14ac:dyDescent="0.35"/>
    <row r="487" s="198" customFormat="1" ht="14.25" customHeight="1" x14ac:dyDescent="0.35"/>
    <row r="488" s="198" customFormat="1" ht="14.25" customHeight="1" x14ac:dyDescent="0.35"/>
    <row r="489" s="198" customFormat="1" ht="14.25" customHeight="1" x14ac:dyDescent="0.35"/>
    <row r="490" s="198" customFormat="1" ht="14.25" customHeight="1" x14ac:dyDescent="0.35"/>
    <row r="491" s="198" customFormat="1" ht="14.25" customHeight="1" x14ac:dyDescent="0.35"/>
    <row r="492" s="198" customFormat="1" ht="14.25" customHeight="1" x14ac:dyDescent="0.35"/>
    <row r="493" s="198" customFormat="1" ht="14.25" customHeight="1" x14ac:dyDescent="0.35"/>
    <row r="494" s="198" customFormat="1" ht="14.25" customHeight="1" x14ac:dyDescent="0.35"/>
    <row r="495" s="198" customFormat="1" ht="14.25" customHeight="1" x14ac:dyDescent="0.35"/>
    <row r="496" s="198" customFormat="1" ht="14.25" customHeight="1" x14ac:dyDescent="0.35"/>
    <row r="497" s="198" customFormat="1" ht="14.25" customHeight="1" x14ac:dyDescent="0.35"/>
    <row r="498" s="198" customFormat="1" ht="14.25" customHeight="1" x14ac:dyDescent="0.35"/>
    <row r="499" s="198" customFormat="1" ht="14.25" customHeight="1" x14ac:dyDescent="0.35"/>
    <row r="500" s="198" customFormat="1" ht="14.25" customHeight="1" x14ac:dyDescent="0.35"/>
    <row r="501" s="198" customFormat="1" ht="14.25" customHeight="1" x14ac:dyDescent="0.35"/>
    <row r="502" s="198" customFormat="1" ht="14.25" customHeight="1" x14ac:dyDescent="0.35"/>
    <row r="503" s="198" customFormat="1" ht="14.25" customHeight="1" x14ac:dyDescent="0.35"/>
    <row r="504" s="198" customFormat="1" ht="14.25" customHeight="1" x14ac:dyDescent="0.35"/>
    <row r="505" s="198" customFormat="1" ht="14.25" customHeight="1" x14ac:dyDescent="0.35"/>
    <row r="506" s="198" customFormat="1" ht="14.25" customHeight="1" x14ac:dyDescent="0.35"/>
    <row r="507" s="198" customFormat="1" ht="14.25" customHeight="1" x14ac:dyDescent="0.35"/>
    <row r="508" s="198" customFormat="1" ht="14.25" customHeight="1" x14ac:dyDescent="0.35"/>
    <row r="509" s="198" customFormat="1" ht="14.25" customHeight="1" x14ac:dyDescent="0.35"/>
    <row r="510" s="198" customFormat="1" ht="14.25" customHeight="1" x14ac:dyDescent="0.35"/>
    <row r="511" s="198" customFormat="1" ht="14.25" customHeight="1" x14ac:dyDescent="0.35"/>
    <row r="512" s="198" customFormat="1" ht="14.25" customHeight="1" x14ac:dyDescent="0.35"/>
    <row r="513" s="198" customFormat="1" ht="14.25" customHeight="1" x14ac:dyDescent="0.35"/>
    <row r="514" s="198" customFormat="1" ht="14.25" customHeight="1" x14ac:dyDescent="0.35"/>
    <row r="515" s="198" customFormat="1" ht="14.25" customHeight="1" x14ac:dyDescent="0.35"/>
    <row r="516" s="198" customFormat="1" ht="14.25" customHeight="1" x14ac:dyDescent="0.35"/>
    <row r="517" s="198" customFormat="1" ht="14.25" customHeight="1" x14ac:dyDescent="0.35"/>
    <row r="518" s="198" customFormat="1" ht="14.25" customHeight="1" x14ac:dyDescent="0.35"/>
    <row r="519" s="198" customFormat="1" ht="14.25" customHeight="1" x14ac:dyDescent="0.35"/>
    <row r="520" s="198" customFormat="1" ht="14.25" customHeight="1" x14ac:dyDescent="0.35"/>
    <row r="521" s="198" customFormat="1" ht="14.25" customHeight="1" x14ac:dyDescent="0.35"/>
    <row r="522" s="198" customFormat="1" ht="14.25" customHeight="1" x14ac:dyDescent="0.35"/>
    <row r="523" s="198" customFormat="1" ht="14.25" customHeight="1" x14ac:dyDescent="0.35"/>
    <row r="524" s="198" customFormat="1" ht="14.25" customHeight="1" x14ac:dyDescent="0.35"/>
    <row r="525" s="198" customFormat="1" ht="14.25" customHeight="1" x14ac:dyDescent="0.35"/>
    <row r="526" s="198" customFormat="1" ht="14.25" customHeight="1" x14ac:dyDescent="0.35"/>
    <row r="527" s="198" customFormat="1" ht="14.25" customHeight="1" x14ac:dyDescent="0.35"/>
    <row r="528" s="198" customFormat="1" ht="14.25" customHeight="1" x14ac:dyDescent="0.35"/>
    <row r="529" s="198" customFormat="1" ht="14.25" customHeight="1" x14ac:dyDescent="0.35"/>
    <row r="530" s="198" customFormat="1" ht="14.25" customHeight="1" x14ac:dyDescent="0.35"/>
    <row r="531" s="198" customFormat="1" ht="14.25" customHeight="1" x14ac:dyDescent="0.35"/>
    <row r="532" s="198" customFormat="1" ht="14.25" customHeight="1" x14ac:dyDescent="0.35"/>
    <row r="533" s="198" customFormat="1" ht="14.25" customHeight="1" x14ac:dyDescent="0.35"/>
    <row r="534" s="198" customFormat="1" ht="14.25" customHeight="1" x14ac:dyDescent="0.35"/>
    <row r="535" s="198" customFormat="1" ht="14.25" customHeight="1" x14ac:dyDescent="0.35"/>
    <row r="536" s="198" customFormat="1" ht="14.25" customHeight="1" x14ac:dyDescent="0.35"/>
    <row r="537" s="198" customFormat="1" ht="14.25" customHeight="1" x14ac:dyDescent="0.35"/>
    <row r="538" s="198" customFormat="1" ht="14.25" customHeight="1" x14ac:dyDescent="0.35"/>
    <row r="539" s="198" customFormat="1" ht="14.25" customHeight="1" x14ac:dyDescent="0.35"/>
    <row r="540" s="198" customFormat="1" ht="14.25" customHeight="1" x14ac:dyDescent="0.35"/>
    <row r="541" s="198" customFormat="1" ht="14.25" customHeight="1" x14ac:dyDescent="0.35"/>
    <row r="542" s="198" customFormat="1" ht="14.25" customHeight="1" x14ac:dyDescent="0.35"/>
    <row r="543" s="198" customFormat="1" ht="14.25" customHeight="1" x14ac:dyDescent="0.35"/>
    <row r="544" s="198" customFormat="1" ht="14.25" customHeight="1" x14ac:dyDescent="0.35"/>
    <row r="545" s="198" customFormat="1" ht="14.25" customHeight="1" x14ac:dyDescent="0.35"/>
    <row r="546" s="198" customFormat="1" ht="14.25" customHeight="1" x14ac:dyDescent="0.35"/>
    <row r="547" s="198" customFormat="1" ht="14.25" customHeight="1" x14ac:dyDescent="0.35"/>
    <row r="548" s="198" customFormat="1" ht="14.25" customHeight="1" x14ac:dyDescent="0.35"/>
    <row r="549" s="198" customFormat="1" ht="14.25" customHeight="1" x14ac:dyDescent="0.35"/>
    <row r="550" s="198" customFormat="1" ht="14.25" customHeight="1" x14ac:dyDescent="0.35"/>
    <row r="551" s="198" customFormat="1" ht="14.25" customHeight="1" x14ac:dyDescent="0.35"/>
    <row r="552" s="198" customFormat="1" ht="14.25" customHeight="1" x14ac:dyDescent="0.35"/>
    <row r="553" s="198" customFormat="1" ht="14.25" customHeight="1" x14ac:dyDescent="0.35"/>
    <row r="554" s="198" customFormat="1" ht="14.25" customHeight="1" x14ac:dyDescent="0.35"/>
    <row r="555" s="198" customFormat="1" ht="14.25" customHeight="1" x14ac:dyDescent="0.35"/>
    <row r="556" s="198" customFormat="1" ht="14.25" customHeight="1" x14ac:dyDescent="0.35"/>
    <row r="557" s="198" customFormat="1" ht="14.25" customHeight="1" x14ac:dyDescent="0.35"/>
    <row r="558" s="198" customFormat="1" ht="14.25" customHeight="1" x14ac:dyDescent="0.35"/>
    <row r="559" s="198" customFormat="1" ht="14.25" customHeight="1" x14ac:dyDescent="0.35"/>
    <row r="560" s="198" customFormat="1" ht="14.25" customHeight="1" x14ac:dyDescent="0.35"/>
    <row r="561" s="198" customFormat="1" ht="14.25" customHeight="1" x14ac:dyDescent="0.35"/>
    <row r="562" s="198" customFormat="1" ht="14.25" customHeight="1" x14ac:dyDescent="0.35"/>
    <row r="563" s="198" customFormat="1" ht="14.25" customHeight="1" x14ac:dyDescent="0.35"/>
    <row r="564" s="198" customFormat="1" ht="14.25" customHeight="1" x14ac:dyDescent="0.35"/>
    <row r="565" s="198" customFormat="1" ht="14.25" customHeight="1" x14ac:dyDescent="0.35"/>
    <row r="566" s="198" customFormat="1" ht="14.25" customHeight="1" x14ac:dyDescent="0.35"/>
    <row r="567" s="198" customFormat="1" ht="14.25" customHeight="1" x14ac:dyDescent="0.35"/>
    <row r="568" s="198" customFormat="1" ht="14.25" customHeight="1" x14ac:dyDescent="0.35"/>
    <row r="569" s="198" customFormat="1" ht="14.25" customHeight="1" x14ac:dyDescent="0.35"/>
    <row r="570" s="198" customFormat="1" ht="14.25" customHeight="1" x14ac:dyDescent="0.35"/>
    <row r="571" s="198" customFormat="1" ht="14.25" customHeight="1" x14ac:dyDescent="0.35"/>
    <row r="572" s="198" customFormat="1" ht="14.25" customHeight="1" x14ac:dyDescent="0.35"/>
    <row r="573" s="198" customFormat="1" ht="14.25" customHeight="1" x14ac:dyDescent="0.35"/>
    <row r="574" s="198" customFormat="1" ht="14.25" customHeight="1" x14ac:dyDescent="0.35"/>
    <row r="575" s="198" customFormat="1" ht="14.25" customHeight="1" x14ac:dyDescent="0.35"/>
    <row r="576" s="198" customFormat="1" ht="14.25" customHeight="1" x14ac:dyDescent="0.35"/>
    <row r="577" s="198" customFormat="1" ht="14.25" customHeight="1" x14ac:dyDescent="0.35"/>
    <row r="578" s="198" customFormat="1" ht="14.25" customHeight="1" x14ac:dyDescent="0.35"/>
    <row r="579" s="198" customFormat="1" ht="14.25" customHeight="1" x14ac:dyDescent="0.35"/>
    <row r="580" s="198" customFormat="1" ht="14.25" customHeight="1" x14ac:dyDescent="0.35"/>
    <row r="581" s="198" customFormat="1" ht="14.25" customHeight="1" x14ac:dyDescent="0.35"/>
    <row r="582" s="198" customFormat="1" ht="14.25" customHeight="1" x14ac:dyDescent="0.35"/>
    <row r="583" s="198" customFormat="1" ht="14.25" customHeight="1" x14ac:dyDescent="0.35"/>
    <row r="584" s="198" customFormat="1" ht="14.25" customHeight="1" x14ac:dyDescent="0.35"/>
    <row r="585" s="198" customFormat="1" ht="14.25" customHeight="1" x14ac:dyDescent="0.35"/>
    <row r="586" s="198" customFormat="1" ht="14.25" customHeight="1" x14ac:dyDescent="0.35"/>
    <row r="587" s="198" customFormat="1" ht="14.25" customHeight="1" x14ac:dyDescent="0.35"/>
    <row r="588" s="198" customFormat="1" ht="14.25" customHeight="1" x14ac:dyDescent="0.35"/>
    <row r="589" s="198" customFormat="1" ht="14.25" customHeight="1" x14ac:dyDescent="0.35"/>
    <row r="590" s="198" customFormat="1" ht="14.25" customHeight="1" x14ac:dyDescent="0.35"/>
    <row r="591" s="198" customFormat="1" ht="14.25" customHeight="1" x14ac:dyDescent="0.35"/>
    <row r="592" s="198" customFormat="1" ht="14.25" customHeight="1" x14ac:dyDescent="0.35"/>
    <row r="593" s="198" customFormat="1" ht="14.25" customHeight="1" x14ac:dyDescent="0.35"/>
    <row r="594" s="198" customFormat="1" ht="14.25" customHeight="1" x14ac:dyDescent="0.35"/>
    <row r="595" s="198" customFormat="1" ht="14.25" customHeight="1" x14ac:dyDescent="0.35"/>
    <row r="596" s="198" customFormat="1" ht="14.25" customHeight="1" x14ac:dyDescent="0.35"/>
    <row r="597" s="198" customFormat="1" ht="14.25" customHeight="1" x14ac:dyDescent="0.35"/>
    <row r="598" s="198" customFormat="1" ht="14.25" customHeight="1" x14ac:dyDescent="0.35"/>
    <row r="599" s="198" customFormat="1" ht="14.25" customHeight="1" x14ac:dyDescent="0.35"/>
    <row r="600" s="198" customFormat="1" ht="14.25" customHeight="1" x14ac:dyDescent="0.35"/>
    <row r="601" s="198" customFormat="1" ht="14.25" customHeight="1" x14ac:dyDescent="0.35"/>
    <row r="602" s="198" customFormat="1" ht="14.25" customHeight="1" x14ac:dyDescent="0.35"/>
    <row r="603" s="198" customFormat="1" ht="14.25" customHeight="1" x14ac:dyDescent="0.35"/>
    <row r="604" s="198" customFormat="1" ht="14.25" customHeight="1" x14ac:dyDescent="0.35"/>
    <row r="605" s="198" customFormat="1" ht="14.25" customHeight="1" x14ac:dyDescent="0.35"/>
    <row r="606" s="198" customFormat="1" ht="14.25" customHeight="1" x14ac:dyDescent="0.35"/>
    <row r="607" s="198" customFormat="1" ht="14.25" customHeight="1" x14ac:dyDescent="0.35"/>
    <row r="608" s="198" customFormat="1" ht="14.25" customHeight="1" x14ac:dyDescent="0.35"/>
    <row r="609" s="198" customFormat="1" ht="14.25" customHeight="1" x14ac:dyDescent="0.35"/>
    <row r="610" s="198" customFormat="1" ht="14.25" customHeight="1" x14ac:dyDescent="0.35"/>
    <row r="611" s="198" customFormat="1" ht="14.25" customHeight="1" x14ac:dyDescent="0.35"/>
    <row r="612" s="198" customFormat="1" ht="14.25" customHeight="1" x14ac:dyDescent="0.35"/>
    <row r="613" s="198" customFormat="1" ht="14.25" customHeight="1" x14ac:dyDescent="0.35"/>
    <row r="614" s="198" customFormat="1" ht="14.25" customHeight="1" x14ac:dyDescent="0.35"/>
    <row r="615" s="198" customFormat="1" ht="14.25" customHeight="1" x14ac:dyDescent="0.35"/>
    <row r="616" s="198" customFormat="1" ht="14.25" customHeight="1" x14ac:dyDescent="0.35"/>
    <row r="617" s="198" customFormat="1" ht="14.25" customHeight="1" x14ac:dyDescent="0.35"/>
    <row r="618" s="198" customFormat="1" ht="14.25" customHeight="1" x14ac:dyDescent="0.35"/>
    <row r="619" s="198" customFormat="1" ht="14.25" customHeight="1" x14ac:dyDescent="0.35"/>
    <row r="620" s="198" customFormat="1" ht="14.25" customHeight="1" x14ac:dyDescent="0.35"/>
    <row r="621" s="198" customFormat="1" ht="14.25" customHeight="1" x14ac:dyDescent="0.35"/>
    <row r="622" s="198" customFormat="1" ht="14.25" customHeight="1" x14ac:dyDescent="0.35"/>
    <row r="623" s="198" customFormat="1" ht="14.25" customHeight="1" x14ac:dyDescent="0.35"/>
    <row r="624" s="198" customFormat="1" ht="14.25" customHeight="1" x14ac:dyDescent="0.35"/>
    <row r="625" s="198" customFormat="1" ht="14.25" customHeight="1" x14ac:dyDescent="0.35"/>
    <row r="626" s="198" customFormat="1" ht="14.25" customHeight="1" x14ac:dyDescent="0.35"/>
    <row r="627" s="198" customFormat="1" ht="14.25" customHeight="1" x14ac:dyDescent="0.35"/>
    <row r="628" s="198" customFormat="1" ht="14.25" customHeight="1" x14ac:dyDescent="0.35"/>
    <row r="629" s="198" customFormat="1" ht="14.25" customHeight="1" x14ac:dyDescent="0.35"/>
    <row r="630" s="198" customFormat="1" ht="14.25" customHeight="1" x14ac:dyDescent="0.35"/>
    <row r="631" s="198" customFormat="1" ht="14.25" customHeight="1" x14ac:dyDescent="0.35"/>
    <row r="632" s="198" customFormat="1" ht="14.25" customHeight="1" x14ac:dyDescent="0.35"/>
    <row r="633" s="198" customFormat="1" ht="14.25" customHeight="1" x14ac:dyDescent="0.35"/>
    <row r="634" s="198" customFormat="1" ht="14.25" customHeight="1" x14ac:dyDescent="0.35"/>
    <row r="635" s="198" customFormat="1" ht="14.25" customHeight="1" x14ac:dyDescent="0.35"/>
    <row r="636" s="198" customFormat="1" ht="14.25" customHeight="1" x14ac:dyDescent="0.35"/>
    <row r="637" s="198" customFormat="1" ht="14.25" customHeight="1" x14ac:dyDescent="0.35"/>
    <row r="638" s="198" customFormat="1" ht="14.25" customHeight="1" x14ac:dyDescent="0.35"/>
    <row r="639" s="198" customFormat="1" ht="14.25" customHeight="1" x14ac:dyDescent="0.35"/>
    <row r="640" s="198" customFormat="1" ht="14.25" customHeight="1" x14ac:dyDescent="0.35"/>
    <row r="641" s="198" customFormat="1" ht="14.25" customHeight="1" x14ac:dyDescent="0.35"/>
    <row r="642" s="198" customFormat="1" ht="14.25" customHeight="1" x14ac:dyDescent="0.35"/>
    <row r="643" s="198" customFormat="1" ht="14.25" customHeight="1" x14ac:dyDescent="0.35"/>
    <row r="644" s="198" customFormat="1" ht="14.25" customHeight="1" x14ac:dyDescent="0.35"/>
    <row r="645" s="198" customFormat="1" ht="14.25" customHeight="1" x14ac:dyDescent="0.35"/>
    <row r="646" s="198" customFormat="1" ht="14.25" customHeight="1" x14ac:dyDescent="0.35"/>
    <row r="647" s="198" customFormat="1" ht="14.25" customHeight="1" x14ac:dyDescent="0.35"/>
    <row r="648" s="198" customFormat="1" ht="14.25" customHeight="1" x14ac:dyDescent="0.35"/>
    <row r="649" s="198" customFormat="1" ht="14.25" customHeight="1" x14ac:dyDescent="0.35"/>
    <row r="650" s="198" customFormat="1" ht="14.25" customHeight="1" x14ac:dyDescent="0.35"/>
    <row r="651" s="198" customFormat="1" ht="14.25" customHeight="1" x14ac:dyDescent="0.35"/>
    <row r="652" s="198" customFormat="1" ht="14.25" customHeight="1" x14ac:dyDescent="0.35"/>
    <row r="653" s="198" customFormat="1" ht="14.25" customHeight="1" x14ac:dyDescent="0.35"/>
    <row r="654" s="198" customFormat="1" ht="14.25" customHeight="1" x14ac:dyDescent="0.35"/>
    <row r="655" s="198" customFormat="1" ht="14.25" customHeight="1" x14ac:dyDescent="0.35"/>
    <row r="656" s="198" customFormat="1" ht="14.25" customHeight="1" x14ac:dyDescent="0.35"/>
    <row r="657" s="198" customFormat="1" ht="14.25" customHeight="1" x14ac:dyDescent="0.35"/>
    <row r="658" s="198" customFormat="1" ht="14.25" customHeight="1" x14ac:dyDescent="0.35"/>
    <row r="659" s="198" customFormat="1" ht="14.25" customHeight="1" x14ac:dyDescent="0.35"/>
    <row r="660" s="198" customFormat="1" ht="14.25" customHeight="1" x14ac:dyDescent="0.35"/>
    <row r="661" s="198" customFormat="1" ht="14.25" customHeight="1" x14ac:dyDescent="0.35"/>
    <row r="662" s="198" customFormat="1" ht="14.25" customHeight="1" x14ac:dyDescent="0.35"/>
    <row r="663" s="198" customFormat="1" ht="14.25" customHeight="1" x14ac:dyDescent="0.35"/>
    <row r="664" s="198" customFormat="1" ht="14.25" customHeight="1" x14ac:dyDescent="0.35"/>
    <row r="665" s="198" customFormat="1" ht="14.25" customHeight="1" x14ac:dyDescent="0.35"/>
    <row r="666" s="198" customFormat="1" ht="14.25" customHeight="1" x14ac:dyDescent="0.35"/>
    <row r="667" s="198" customFormat="1" ht="14.25" customHeight="1" x14ac:dyDescent="0.35"/>
    <row r="668" s="198" customFormat="1" ht="14.25" customHeight="1" x14ac:dyDescent="0.35"/>
    <row r="669" s="198" customFormat="1" ht="14.25" customHeight="1" x14ac:dyDescent="0.35"/>
    <row r="670" s="198" customFormat="1" ht="14.25" customHeight="1" x14ac:dyDescent="0.35"/>
    <row r="671" s="198" customFormat="1" ht="14.25" customHeight="1" x14ac:dyDescent="0.35"/>
    <row r="672" s="198" customFormat="1" ht="14.25" customHeight="1" x14ac:dyDescent="0.35"/>
    <row r="673" s="198" customFormat="1" ht="14.25" customHeight="1" x14ac:dyDescent="0.35"/>
    <row r="674" s="198" customFormat="1" ht="14.25" customHeight="1" x14ac:dyDescent="0.35"/>
    <row r="675" s="198" customFormat="1" ht="14.25" customHeight="1" x14ac:dyDescent="0.35"/>
    <row r="676" s="198" customFormat="1" ht="14.25" customHeight="1" x14ac:dyDescent="0.35"/>
    <row r="677" s="198" customFormat="1" ht="14.25" customHeight="1" x14ac:dyDescent="0.35"/>
    <row r="678" s="198" customFormat="1" ht="14.25" customHeight="1" x14ac:dyDescent="0.35"/>
    <row r="679" s="198" customFormat="1" ht="14.25" customHeight="1" x14ac:dyDescent="0.35"/>
    <row r="680" s="198" customFormat="1" ht="14.25" customHeight="1" x14ac:dyDescent="0.35"/>
    <row r="681" s="198" customFormat="1" ht="14.25" customHeight="1" x14ac:dyDescent="0.35"/>
    <row r="682" s="198" customFormat="1" ht="14.25" customHeight="1" x14ac:dyDescent="0.35"/>
    <row r="683" s="198" customFormat="1" ht="14.25" customHeight="1" x14ac:dyDescent="0.35"/>
    <row r="684" s="198" customFormat="1" ht="14.25" customHeight="1" x14ac:dyDescent="0.35"/>
    <row r="685" s="198" customFormat="1" ht="14.25" customHeight="1" x14ac:dyDescent="0.35"/>
    <row r="686" s="198" customFormat="1" ht="14.25" customHeight="1" x14ac:dyDescent="0.35"/>
    <row r="687" s="198" customFormat="1" ht="14.25" customHeight="1" x14ac:dyDescent="0.35"/>
    <row r="688" s="198" customFormat="1" ht="14.25" customHeight="1" x14ac:dyDescent="0.35"/>
    <row r="689" s="198" customFormat="1" ht="14.25" customHeight="1" x14ac:dyDescent="0.35"/>
    <row r="690" s="198" customFormat="1" ht="14.25" customHeight="1" x14ac:dyDescent="0.35"/>
    <row r="691" s="198" customFormat="1" ht="14.25" customHeight="1" x14ac:dyDescent="0.35"/>
    <row r="692" s="198" customFormat="1" ht="14.25" customHeight="1" x14ac:dyDescent="0.35"/>
    <row r="693" s="198" customFormat="1" ht="14.25" customHeight="1" x14ac:dyDescent="0.35"/>
    <row r="694" s="198" customFormat="1" ht="14.25" customHeight="1" x14ac:dyDescent="0.35"/>
    <row r="695" s="198" customFormat="1" ht="14.25" customHeight="1" x14ac:dyDescent="0.35"/>
    <row r="696" s="198" customFormat="1" ht="14.25" customHeight="1" x14ac:dyDescent="0.35"/>
    <row r="697" s="198" customFormat="1" ht="14.25" customHeight="1" x14ac:dyDescent="0.35"/>
    <row r="698" s="198" customFormat="1" ht="14.25" customHeight="1" x14ac:dyDescent="0.35"/>
    <row r="699" s="198" customFormat="1" ht="14.25" customHeight="1" x14ac:dyDescent="0.35"/>
    <row r="700" s="198" customFormat="1" ht="14.25" customHeight="1" x14ac:dyDescent="0.35"/>
    <row r="701" s="198" customFormat="1" ht="14.25" customHeight="1" x14ac:dyDescent="0.35"/>
    <row r="702" s="198" customFormat="1" ht="14.25" customHeight="1" x14ac:dyDescent="0.35"/>
    <row r="703" s="198" customFormat="1" ht="14.25" customHeight="1" x14ac:dyDescent="0.35"/>
    <row r="704" s="198" customFormat="1" ht="14.25" customHeight="1" x14ac:dyDescent="0.35"/>
    <row r="705" s="198" customFormat="1" ht="14.25" customHeight="1" x14ac:dyDescent="0.35"/>
    <row r="706" s="198" customFormat="1" ht="14.25" customHeight="1" x14ac:dyDescent="0.35"/>
    <row r="707" s="198" customFormat="1" ht="14.25" customHeight="1" x14ac:dyDescent="0.35"/>
    <row r="708" s="198" customFormat="1" ht="14.25" customHeight="1" x14ac:dyDescent="0.35"/>
    <row r="709" s="198" customFormat="1" ht="14.25" customHeight="1" x14ac:dyDescent="0.35"/>
    <row r="710" s="198" customFormat="1" ht="14.25" customHeight="1" x14ac:dyDescent="0.35"/>
    <row r="711" s="198" customFormat="1" ht="14.25" customHeight="1" x14ac:dyDescent="0.35"/>
    <row r="712" s="198" customFormat="1" ht="14.25" customHeight="1" x14ac:dyDescent="0.35"/>
    <row r="713" s="198" customFormat="1" ht="14.25" customHeight="1" x14ac:dyDescent="0.35"/>
    <row r="714" s="198" customFormat="1" ht="14.25" customHeight="1" x14ac:dyDescent="0.35"/>
    <row r="715" s="198" customFormat="1" ht="14.25" customHeight="1" x14ac:dyDescent="0.35"/>
    <row r="716" s="198" customFormat="1" ht="14.25" customHeight="1" x14ac:dyDescent="0.35"/>
    <row r="717" s="198" customFormat="1" ht="14.25" customHeight="1" x14ac:dyDescent="0.35"/>
    <row r="718" s="198" customFormat="1" ht="14.25" customHeight="1" x14ac:dyDescent="0.35"/>
    <row r="719" s="198" customFormat="1" ht="14.25" customHeight="1" x14ac:dyDescent="0.35"/>
    <row r="720" s="198" customFormat="1" ht="14.25" customHeight="1" x14ac:dyDescent="0.35"/>
    <row r="721" s="198" customFormat="1" ht="14.25" customHeight="1" x14ac:dyDescent="0.35"/>
    <row r="722" s="198" customFormat="1" ht="14.25" customHeight="1" x14ac:dyDescent="0.35"/>
    <row r="723" s="198" customFormat="1" ht="14.25" customHeight="1" x14ac:dyDescent="0.35"/>
    <row r="724" s="198" customFormat="1" ht="14.25" customHeight="1" x14ac:dyDescent="0.35"/>
    <row r="725" s="198" customFormat="1" ht="14.25" customHeight="1" x14ac:dyDescent="0.35"/>
    <row r="726" s="198" customFormat="1" ht="14.25" customHeight="1" x14ac:dyDescent="0.35"/>
    <row r="727" s="198" customFormat="1" ht="14.25" customHeight="1" x14ac:dyDescent="0.35"/>
    <row r="728" s="198" customFormat="1" ht="14.25" customHeight="1" x14ac:dyDescent="0.35"/>
    <row r="729" s="198" customFormat="1" ht="14.25" customHeight="1" x14ac:dyDescent="0.35"/>
    <row r="730" s="198" customFormat="1" ht="14.25" customHeight="1" x14ac:dyDescent="0.35"/>
    <row r="731" s="198" customFormat="1" ht="14.25" customHeight="1" x14ac:dyDescent="0.35"/>
    <row r="732" s="198" customFormat="1" ht="14.25" customHeight="1" x14ac:dyDescent="0.35"/>
    <row r="733" s="198" customFormat="1" ht="14.25" customHeight="1" x14ac:dyDescent="0.35"/>
    <row r="734" s="198" customFormat="1" ht="14.25" customHeight="1" x14ac:dyDescent="0.35"/>
    <row r="735" s="198" customFormat="1" ht="14.25" customHeight="1" x14ac:dyDescent="0.35"/>
    <row r="736" s="198" customFormat="1" ht="14.25" customHeight="1" x14ac:dyDescent="0.35"/>
    <row r="737" s="198" customFormat="1" ht="14.25" customHeight="1" x14ac:dyDescent="0.35"/>
    <row r="738" s="198" customFormat="1" ht="14.25" customHeight="1" x14ac:dyDescent="0.35"/>
    <row r="739" s="198" customFormat="1" ht="14.25" customHeight="1" x14ac:dyDescent="0.35"/>
    <row r="740" s="198" customFormat="1" ht="14.25" customHeight="1" x14ac:dyDescent="0.35"/>
    <row r="741" s="198" customFormat="1" ht="14.25" customHeight="1" x14ac:dyDescent="0.35"/>
    <row r="742" s="198" customFormat="1" ht="14.25" customHeight="1" x14ac:dyDescent="0.35"/>
    <row r="743" s="198" customFormat="1" ht="14.25" customHeight="1" x14ac:dyDescent="0.35"/>
    <row r="744" s="198" customFormat="1" ht="14.25" customHeight="1" x14ac:dyDescent="0.35"/>
    <row r="745" s="198" customFormat="1" ht="14.25" customHeight="1" x14ac:dyDescent="0.35"/>
    <row r="746" s="198" customFormat="1" ht="14.25" customHeight="1" x14ac:dyDescent="0.35"/>
    <row r="747" s="198" customFormat="1" ht="14.25" customHeight="1" x14ac:dyDescent="0.35"/>
    <row r="748" s="198" customFormat="1" ht="14.25" customHeight="1" x14ac:dyDescent="0.35"/>
    <row r="749" s="198" customFormat="1" ht="14.25" customHeight="1" x14ac:dyDescent="0.35"/>
    <row r="750" s="198" customFormat="1" ht="14.25" customHeight="1" x14ac:dyDescent="0.35"/>
    <row r="751" s="198" customFormat="1" ht="14.25" customHeight="1" x14ac:dyDescent="0.35"/>
    <row r="752" s="198" customFormat="1" ht="14.25" customHeight="1" x14ac:dyDescent="0.35"/>
    <row r="753" s="198" customFormat="1" ht="14.25" customHeight="1" x14ac:dyDescent="0.35"/>
    <row r="754" s="198" customFormat="1" ht="14.25" customHeight="1" x14ac:dyDescent="0.35"/>
    <row r="755" s="198" customFormat="1" ht="14.25" customHeight="1" x14ac:dyDescent="0.35"/>
    <row r="756" s="198" customFormat="1" ht="14.25" customHeight="1" x14ac:dyDescent="0.35"/>
    <row r="757" s="198" customFormat="1" ht="14.25" customHeight="1" x14ac:dyDescent="0.35"/>
    <row r="758" s="198" customFormat="1" ht="14.25" customHeight="1" x14ac:dyDescent="0.35"/>
    <row r="759" s="198" customFormat="1" ht="14.25" customHeight="1" x14ac:dyDescent="0.35"/>
    <row r="760" s="198" customFormat="1" ht="14.25" customHeight="1" x14ac:dyDescent="0.35"/>
    <row r="761" s="198" customFormat="1" ht="14.25" customHeight="1" x14ac:dyDescent="0.35"/>
    <row r="762" s="198" customFormat="1" ht="14.25" customHeight="1" x14ac:dyDescent="0.35"/>
    <row r="763" s="198" customFormat="1" ht="14.25" customHeight="1" x14ac:dyDescent="0.35"/>
    <row r="764" s="198" customFormat="1" ht="14.25" customHeight="1" x14ac:dyDescent="0.35"/>
    <row r="765" s="198" customFormat="1" ht="14.25" customHeight="1" x14ac:dyDescent="0.35"/>
    <row r="766" s="198" customFormat="1" ht="14.25" customHeight="1" x14ac:dyDescent="0.35"/>
    <row r="767" s="198" customFormat="1" ht="14.25" customHeight="1" x14ac:dyDescent="0.35"/>
    <row r="768" s="198" customFormat="1" ht="14.25" customHeight="1" x14ac:dyDescent="0.35"/>
    <row r="769" s="198" customFormat="1" ht="14.25" customHeight="1" x14ac:dyDescent="0.35"/>
    <row r="770" s="198" customFormat="1" ht="14.25" customHeight="1" x14ac:dyDescent="0.35"/>
    <row r="771" s="198" customFormat="1" ht="14.25" customHeight="1" x14ac:dyDescent="0.35"/>
    <row r="772" s="198" customFormat="1" ht="14.25" customHeight="1" x14ac:dyDescent="0.35"/>
    <row r="773" s="198" customFormat="1" ht="14.25" customHeight="1" x14ac:dyDescent="0.35"/>
    <row r="774" s="198" customFormat="1" ht="14.25" customHeight="1" x14ac:dyDescent="0.35"/>
    <row r="775" s="198" customFormat="1" ht="14.25" customHeight="1" x14ac:dyDescent="0.35"/>
    <row r="776" s="198" customFormat="1" ht="14.25" customHeight="1" x14ac:dyDescent="0.35"/>
    <row r="777" s="198" customFormat="1" ht="14.25" customHeight="1" x14ac:dyDescent="0.35"/>
    <row r="778" s="198" customFormat="1" ht="14.25" customHeight="1" x14ac:dyDescent="0.35"/>
    <row r="779" s="198" customFormat="1" ht="14.25" customHeight="1" x14ac:dyDescent="0.35"/>
    <row r="780" s="198" customFormat="1" ht="14.25" customHeight="1" x14ac:dyDescent="0.35"/>
    <row r="781" s="198" customFormat="1" ht="14.25" customHeight="1" x14ac:dyDescent="0.35"/>
    <row r="782" s="198" customFormat="1" ht="14.25" customHeight="1" x14ac:dyDescent="0.35"/>
    <row r="783" s="198" customFormat="1" ht="14.25" customHeight="1" x14ac:dyDescent="0.35"/>
    <row r="784" s="198" customFormat="1" ht="14.25" customHeight="1" x14ac:dyDescent="0.35"/>
    <row r="785" s="198" customFormat="1" ht="14.25" customHeight="1" x14ac:dyDescent="0.35"/>
    <row r="786" s="198" customFormat="1" ht="14.25" customHeight="1" x14ac:dyDescent="0.35"/>
    <row r="787" s="198" customFormat="1" ht="14.25" customHeight="1" x14ac:dyDescent="0.35"/>
    <row r="788" s="198" customFormat="1" ht="14.25" customHeight="1" x14ac:dyDescent="0.35"/>
    <row r="789" s="198" customFormat="1" ht="14.25" customHeight="1" x14ac:dyDescent="0.35"/>
    <row r="790" s="198" customFormat="1" ht="14.25" customHeight="1" x14ac:dyDescent="0.35"/>
    <row r="791" s="198" customFormat="1" ht="14.25" customHeight="1" x14ac:dyDescent="0.35"/>
    <row r="792" s="198" customFormat="1" ht="14.25" customHeight="1" x14ac:dyDescent="0.35"/>
    <row r="793" s="198" customFormat="1" ht="14.25" customHeight="1" x14ac:dyDescent="0.35"/>
    <row r="794" s="198" customFormat="1" ht="14.25" customHeight="1" x14ac:dyDescent="0.35"/>
    <row r="795" s="198" customFormat="1" ht="14.25" customHeight="1" x14ac:dyDescent="0.35"/>
    <row r="796" s="198" customFormat="1" ht="14.25" customHeight="1" x14ac:dyDescent="0.35"/>
    <row r="797" s="198" customFormat="1" ht="14.25" customHeight="1" x14ac:dyDescent="0.35"/>
    <row r="798" s="198" customFormat="1" ht="14.25" customHeight="1" x14ac:dyDescent="0.35"/>
    <row r="799" s="198" customFormat="1" ht="14.25" customHeight="1" x14ac:dyDescent="0.35"/>
    <row r="800" s="198" customFormat="1" ht="14.25" customHeight="1" x14ac:dyDescent="0.35"/>
    <row r="801" s="198" customFormat="1" ht="14.25" customHeight="1" x14ac:dyDescent="0.35"/>
    <row r="802" s="198" customFormat="1" ht="14.25" customHeight="1" x14ac:dyDescent="0.35"/>
    <row r="803" s="198" customFormat="1" ht="14.25" customHeight="1" x14ac:dyDescent="0.35"/>
    <row r="804" s="198" customFormat="1" ht="14.25" customHeight="1" x14ac:dyDescent="0.35"/>
    <row r="805" s="198" customFormat="1" ht="14.25" customHeight="1" x14ac:dyDescent="0.35"/>
    <row r="806" s="198" customFormat="1" ht="14.25" customHeight="1" x14ac:dyDescent="0.35"/>
    <row r="807" s="198" customFormat="1" ht="14.25" customHeight="1" x14ac:dyDescent="0.35"/>
    <row r="808" s="198" customFormat="1" ht="14.25" customHeight="1" x14ac:dyDescent="0.35"/>
    <row r="809" s="198" customFormat="1" ht="14.25" customHeight="1" x14ac:dyDescent="0.35"/>
    <row r="810" s="198" customFormat="1" ht="14.25" customHeight="1" x14ac:dyDescent="0.35"/>
    <row r="811" s="198" customFormat="1" ht="14.25" customHeight="1" x14ac:dyDescent="0.35"/>
    <row r="812" s="198" customFormat="1" ht="14.25" customHeight="1" x14ac:dyDescent="0.35"/>
    <row r="813" s="198" customFormat="1" ht="14.25" customHeight="1" x14ac:dyDescent="0.35"/>
    <row r="814" s="198" customFormat="1" ht="14.25" customHeight="1" x14ac:dyDescent="0.35"/>
    <row r="815" s="198" customFormat="1" ht="14.25" customHeight="1" x14ac:dyDescent="0.35"/>
    <row r="816" s="198" customFormat="1" ht="14.25" customHeight="1" x14ac:dyDescent="0.35"/>
    <row r="817" s="198" customFormat="1" ht="14.25" customHeight="1" x14ac:dyDescent="0.35"/>
    <row r="818" s="198" customFormat="1" ht="14.25" customHeight="1" x14ac:dyDescent="0.35"/>
    <row r="819" s="198" customFormat="1" ht="14.25" customHeight="1" x14ac:dyDescent="0.35"/>
    <row r="820" s="198" customFormat="1" ht="14.25" customHeight="1" x14ac:dyDescent="0.35"/>
    <row r="821" s="198" customFormat="1" ht="14.25" customHeight="1" x14ac:dyDescent="0.35"/>
    <row r="822" s="198" customFormat="1" ht="14.25" customHeight="1" x14ac:dyDescent="0.35"/>
    <row r="823" s="198" customFormat="1" ht="14.25" customHeight="1" x14ac:dyDescent="0.35"/>
    <row r="824" s="198" customFormat="1" ht="14.25" customHeight="1" x14ac:dyDescent="0.35"/>
    <row r="825" s="198" customFormat="1" ht="14.25" customHeight="1" x14ac:dyDescent="0.35"/>
    <row r="826" s="198" customFormat="1" ht="14.25" customHeight="1" x14ac:dyDescent="0.35"/>
    <row r="827" s="198" customFormat="1" ht="14.25" customHeight="1" x14ac:dyDescent="0.35"/>
    <row r="828" s="198" customFormat="1" ht="14.25" customHeight="1" x14ac:dyDescent="0.35"/>
    <row r="829" s="198" customFormat="1" ht="14.25" customHeight="1" x14ac:dyDescent="0.35"/>
    <row r="830" s="198" customFormat="1" ht="14.25" customHeight="1" x14ac:dyDescent="0.35"/>
    <row r="831" s="198" customFormat="1" ht="14.25" customHeight="1" x14ac:dyDescent="0.35"/>
    <row r="832" s="198" customFormat="1" ht="14.25" customHeight="1" x14ac:dyDescent="0.35"/>
    <row r="833" s="198" customFormat="1" ht="14.25" customHeight="1" x14ac:dyDescent="0.35"/>
    <row r="834" s="198" customFormat="1" ht="14.25" customHeight="1" x14ac:dyDescent="0.35"/>
    <row r="835" s="198" customFormat="1" ht="14.25" customHeight="1" x14ac:dyDescent="0.35"/>
    <row r="836" s="198" customFormat="1" ht="14.25" customHeight="1" x14ac:dyDescent="0.35"/>
    <row r="837" s="198" customFormat="1" ht="14.25" customHeight="1" x14ac:dyDescent="0.35"/>
    <row r="838" s="198" customFormat="1" ht="14.25" customHeight="1" x14ac:dyDescent="0.35"/>
    <row r="839" s="198" customFormat="1" ht="14.25" customHeight="1" x14ac:dyDescent="0.35"/>
    <row r="840" s="198" customFormat="1" ht="14.25" customHeight="1" x14ac:dyDescent="0.35"/>
    <row r="841" s="198" customFormat="1" ht="14.25" customHeight="1" x14ac:dyDescent="0.35"/>
    <row r="842" s="198" customFormat="1" ht="14.25" customHeight="1" x14ac:dyDescent="0.35"/>
    <row r="843" s="198" customFormat="1" ht="14.25" customHeight="1" x14ac:dyDescent="0.35"/>
    <row r="844" s="198" customFormat="1" ht="14.25" customHeight="1" x14ac:dyDescent="0.35"/>
    <row r="845" s="198" customFormat="1" ht="14.25" customHeight="1" x14ac:dyDescent="0.35"/>
    <row r="846" s="198" customFormat="1" ht="14.25" customHeight="1" x14ac:dyDescent="0.35"/>
    <row r="847" s="198" customFormat="1" ht="14.25" customHeight="1" x14ac:dyDescent="0.35"/>
    <row r="848" s="198" customFormat="1" ht="14.25" customHeight="1" x14ac:dyDescent="0.35"/>
    <row r="849" s="198" customFormat="1" ht="14.25" customHeight="1" x14ac:dyDescent="0.35"/>
    <row r="850" s="198" customFormat="1" ht="14.25" customHeight="1" x14ac:dyDescent="0.35"/>
    <row r="851" s="198" customFormat="1" ht="14.25" customHeight="1" x14ac:dyDescent="0.35"/>
    <row r="852" s="198" customFormat="1" ht="14.25" customHeight="1" x14ac:dyDescent="0.35"/>
    <row r="853" s="198" customFormat="1" ht="14.25" customHeight="1" x14ac:dyDescent="0.35"/>
    <row r="854" s="198" customFormat="1" ht="14.25" customHeight="1" x14ac:dyDescent="0.35"/>
    <row r="855" s="198" customFormat="1" ht="14.25" customHeight="1" x14ac:dyDescent="0.35"/>
    <row r="856" s="198" customFormat="1" ht="14.25" customHeight="1" x14ac:dyDescent="0.35"/>
    <row r="857" s="198" customFormat="1" ht="14.25" customHeight="1" x14ac:dyDescent="0.35"/>
    <row r="858" s="198" customFormat="1" ht="14.25" customHeight="1" x14ac:dyDescent="0.35"/>
    <row r="859" s="198" customFormat="1" ht="14.25" customHeight="1" x14ac:dyDescent="0.35"/>
    <row r="860" s="198" customFormat="1" ht="14.25" customHeight="1" x14ac:dyDescent="0.35"/>
    <row r="861" s="198" customFormat="1" ht="14.25" customHeight="1" x14ac:dyDescent="0.35"/>
    <row r="862" s="198" customFormat="1" ht="14.25" customHeight="1" x14ac:dyDescent="0.35"/>
    <row r="863" s="198" customFormat="1" ht="14.25" customHeight="1" x14ac:dyDescent="0.35"/>
    <row r="864" s="198" customFormat="1" ht="14.25" customHeight="1" x14ac:dyDescent="0.35"/>
    <row r="865" s="198" customFormat="1" ht="14.25" customHeight="1" x14ac:dyDescent="0.35"/>
    <row r="866" s="198" customFormat="1" ht="14.25" customHeight="1" x14ac:dyDescent="0.35"/>
    <row r="867" s="198" customFormat="1" ht="14.25" customHeight="1" x14ac:dyDescent="0.35"/>
    <row r="868" s="198" customFormat="1" ht="14.25" customHeight="1" x14ac:dyDescent="0.35"/>
    <row r="869" s="198" customFormat="1" ht="14.25" customHeight="1" x14ac:dyDescent="0.35"/>
    <row r="870" s="198" customFormat="1" ht="14.25" customHeight="1" x14ac:dyDescent="0.35"/>
    <row r="871" s="198" customFormat="1" ht="14.25" customHeight="1" x14ac:dyDescent="0.35"/>
    <row r="872" s="198" customFormat="1" ht="14.25" customHeight="1" x14ac:dyDescent="0.35"/>
    <row r="873" s="198" customFormat="1" ht="14.25" customHeight="1" x14ac:dyDescent="0.35"/>
    <row r="874" s="198" customFormat="1" ht="14.25" customHeight="1" x14ac:dyDescent="0.35"/>
    <row r="875" s="198" customFormat="1" ht="14.25" customHeight="1" x14ac:dyDescent="0.35"/>
    <row r="876" s="198" customFormat="1" ht="14.25" customHeight="1" x14ac:dyDescent="0.35"/>
    <row r="877" s="198" customFormat="1" ht="14.25" customHeight="1" x14ac:dyDescent="0.35"/>
    <row r="878" s="198" customFormat="1" ht="14.25" customHeight="1" x14ac:dyDescent="0.35"/>
    <row r="879" s="198" customFormat="1" ht="14.25" customHeight="1" x14ac:dyDescent="0.35"/>
    <row r="880" s="198" customFormat="1" ht="14.25" customHeight="1" x14ac:dyDescent="0.35"/>
    <row r="881" s="198" customFormat="1" ht="14.25" customHeight="1" x14ac:dyDescent="0.35"/>
    <row r="882" s="198" customFormat="1" ht="14.25" customHeight="1" x14ac:dyDescent="0.35"/>
    <row r="883" s="198" customFormat="1" ht="14.25" customHeight="1" x14ac:dyDescent="0.35"/>
    <row r="884" s="198" customFormat="1" ht="14.25" customHeight="1" x14ac:dyDescent="0.35"/>
    <row r="885" s="198" customFormat="1" ht="14.25" customHeight="1" x14ac:dyDescent="0.35"/>
    <row r="886" s="198" customFormat="1" ht="14.25" customHeight="1" x14ac:dyDescent="0.35"/>
    <row r="887" s="198" customFormat="1" ht="14.25" customHeight="1" x14ac:dyDescent="0.35"/>
    <row r="888" s="198" customFormat="1" ht="14.25" customHeight="1" x14ac:dyDescent="0.35"/>
    <row r="889" s="198" customFormat="1" ht="14.25" customHeight="1" x14ac:dyDescent="0.35"/>
    <row r="890" s="198" customFormat="1" ht="14.25" customHeight="1" x14ac:dyDescent="0.35"/>
    <row r="891" s="198" customFormat="1" ht="14.25" customHeight="1" x14ac:dyDescent="0.35"/>
    <row r="892" s="198" customFormat="1" ht="14.25" customHeight="1" x14ac:dyDescent="0.35"/>
    <row r="893" s="198" customFormat="1" ht="14.25" customHeight="1" x14ac:dyDescent="0.35"/>
    <row r="894" s="198" customFormat="1" ht="14.25" customHeight="1" x14ac:dyDescent="0.35"/>
    <row r="895" s="198" customFormat="1" ht="14.25" customHeight="1" x14ac:dyDescent="0.35"/>
    <row r="896" s="198" customFormat="1" ht="14.25" customHeight="1" x14ac:dyDescent="0.35"/>
    <row r="897" s="198" customFormat="1" ht="14.25" customHeight="1" x14ac:dyDescent="0.35"/>
    <row r="898" s="198" customFormat="1" ht="14.25" customHeight="1" x14ac:dyDescent="0.35"/>
    <row r="899" s="198" customFormat="1" ht="14.25" customHeight="1" x14ac:dyDescent="0.35"/>
    <row r="900" s="198" customFormat="1" ht="14.25" customHeight="1" x14ac:dyDescent="0.35"/>
    <row r="901" s="198" customFormat="1" ht="14.25" customHeight="1" x14ac:dyDescent="0.35"/>
    <row r="902" s="198" customFormat="1" ht="14.25" customHeight="1" x14ac:dyDescent="0.35"/>
    <row r="903" s="198" customFormat="1" ht="14.25" customHeight="1" x14ac:dyDescent="0.35"/>
    <row r="904" s="198" customFormat="1" ht="14.25" customHeight="1" x14ac:dyDescent="0.35"/>
    <row r="905" s="198" customFormat="1" ht="14.25" customHeight="1" x14ac:dyDescent="0.35"/>
    <row r="906" s="198" customFormat="1" ht="14.25" customHeight="1" x14ac:dyDescent="0.35"/>
    <row r="907" s="198" customFormat="1" ht="14.25" customHeight="1" x14ac:dyDescent="0.35"/>
    <row r="908" s="198" customFormat="1" ht="14.25" customHeight="1" x14ac:dyDescent="0.35"/>
    <row r="909" s="198" customFormat="1" ht="14.25" customHeight="1" x14ac:dyDescent="0.35"/>
    <row r="910" s="198" customFormat="1" ht="14.25" customHeight="1" x14ac:dyDescent="0.35"/>
    <row r="911" s="198" customFormat="1" ht="14.25" customHeight="1" x14ac:dyDescent="0.35"/>
    <row r="912" s="198" customFormat="1" ht="14.25" customHeight="1" x14ac:dyDescent="0.35"/>
    <row r="913" s="198" customFormat="1" ht="14.25" customHeight="1" x14ac:dyDescent="0.35"/>
    <row r="914" s="198" customFormat="1" ht="14.25" customHeight="1" x14ac:dyDescent="0.35"/>
    <row r="915" s="198" customFormat="1" ht="14.25" customHeight="1" x14ac:dyDescent="0.35"/>
    <row r="916" s="198" customFormat="1" ht="14.25" customHeight="1" x14ac:dyDescent="0.35"/>
    <row r="917" s="198" customFormat="1" ht="14.25" customHeight="1" x14ac:dyDescent="0.35"/>
    <row r="918" s="198" customFormat="1" ht="14.25" customHeight="1" x14ac:dyDescent="0.35"/>
    <row r="919" s="198" customFormat="1" ht="14.25" customHeight="1" x14ac:dyDescent="0.35"/>
    <row r="920" s="198" customFormat="1" ht="14.25" customHeight="1" x14ac:dyDescent="0.35"/>
    <row r="921" s="198" customFormat="1" ht="14.25" customHeight="1" x14ac:dyDescent="0.35"/>
    <row r="922" s="198" customFormat="1" ht="14.25" customHeight="1" x14ac:dyDescent="0.35"/>
    <row r="923" s="198" customFormat="1" ht="14.25" customHeight="1" x14ac:dyDescent="0.35"/>
    <row r="924" s="198" customFormat="1" ht="14.25" customHeight="1" x14ac:dyDescent="0.35"/>
    <row r="925" s="198" customFormat="1" ht="14.25" customHeight="1" x14ac:dyDescent="0.35"/>
    <row r="926" s="198" customFormat="1" ht="14.25" customHeight="1" x14ac:dyDescent="0.35"/>
    <row r="927" s="198" customFormat="1" ht="14.25" customHeight="1" x14ac:dyDescent="0.35"/>
    <row r="928" s="198" customFormat="1" ht="14.25" customHeight="1" x14ac:dyDescent="0.35"/>
    <row r="929" s="198" customFormat="1" ht="14.25" customHeight="1" x14ac:dyDescent="0.35"/>
    <row r="930" s="198" customFormat="1" ht="14.25" customHeight="1" x14ac:dyDescent="0.35"/>
    <row r="931" s="198" customFormat="1" ht="14.25" customHeight="1" x14ac:dyDescent="0.35"/>
    <row r="932" s="198" customFormat="1" ht="14.25" customHeight="1" x14ac:dyDescent="0.35"/>
    <row r="933" s="198" customFormat="1" ht="14.25" customHeight="1" x14ac:dyDescent="0.35"/>
    <row r="934" s="198" customFormat="1" ht="14.25" customHeight="1" x14ac:dyDescent="0.35"/>
    <row r="935" s="198" customFormat="1" ht="14.25" customHeight="1" x14ac:dyDescent="0.35"/>
    <row r="936" s="198" customFormat="1" ht="14.25" customHeight="1" x14ac:dyDescent="0.35"/>
    <row r="937" s="198" customFormat="1" ht="14.25" customHeight="1" x14ac:dyDescent="0.35"/>
    <row r="938" s="198" customFormat="1" ht="14.25" customHeight="1" x14ac:dyDescent="0.35"/>
    <row r="939" s="198" customFormat="1" ht="14.25" customHeight="1" x14ac:dyDescent="0.35"/>
    <row r="940" s="198" customFormat="1" ht="14.25" customHeight="1" x14ac:dyDescent="0.35"/>
    <row r="941" s="198" customFormat="1" ht="14.25" customHeight="1" x14ac:dyDescent="0.35"/>
    <row r="942" s="198" customFormat="1" ht="14.25" customHeight="1" x14ac:dyDescent="0.35"/>
    <row r="943" s="198" customFormat="1" ht="14.25" customHeight="1" x14ac:dyDescent="0.35"/>
    <row r="944" s="198" customFormat="1" ht="14.25" customHeight="1" x14ac:dyDescent="0.35"/>
    <row r="945" s="198" customFormat="1" ht="14.25" customHeight="1" x14ac:dyDescent="0.35"/>
    <row r="946" s="198" customFormat="1" ht="14.25" customHeight="1" x14ac:dyDescent="0.35"/>
    <row r="947" s="198" customFormat="1" ht="14.25" customHeight="1" x14ac:dyDescent="0.35"/>
    <row r="948" s="198" customFormat="1" ht="14.25" customHeight="1" x14ac:dyDescent="0.35"/>
    <row r="949" s="198" customFormat="1" ht="14.25" customHeight="1" x14ac:dyDescent="0.35"/>
    <row r="950" s="198" customFormat="1" ht="14.25" customHeight="1" x14ac:dyDescent="0.35"/>
    <row r="951" s="198" customFormat="1" ht="14.25" customHeight="1" x14ac:dyDescent="0.35"/>
    <row r="952" s="198" customFormat="1" ht="14.25" customHeight="1" x14ac:dyDescent="0.35"/>
    <row r="953" s="198" customFormat="1" ht="14.25" customHeight="1" x14ac:dyDescent="0.35"/>
    <row r="954" s="198" customFormat="1" ht="14.25" customHeight="1" x14ac:dyDescent="0.35"/>
    <row r="955" s="198" customFormat="1" ht="14.25" customHeight="1" x14ac:dyDescent="0.35"/>
    <row r="956" s="198" customFormat="1" ht="14.25" customHeight="1" x14ac:dyDescent="0.35"/>
    <row r="957" s="198" customFormat="1" ht="14.25" customHeight="1" x14ac:dyDescent="0.35"/>
    <row r="958" s="198" customFormat="1" ht="14.25" customHeight="1" x14ac:dyDescent="0.35"/>
    <row r="959" s="198" customFormat="1" ht="14.25" customHeight="1" x14ac:dyDescent="0.35"/>
    <row r="960" s="198" customFormat="1" ht="14.25" customHeight="1" x14ac:dyDescent="0.35"/>
    <row r="961" s="198" customFormat="1" ht="14.25" customHeight="1" x14ac:dyDescent="0.35"/>
    <row r="962" s="198" customFormat="1" ht="14.25" customHeight="1" x14ac:dyDescent="0.35"/>
    <row r="963" s="198" customFormat="1" ht="14.25" customHeight="1" x14ac:dyDescent="0.35"/>
    <row r="964" s="198" customFormat="1" ht="14.25" customHeight="1" x14ac:dyDescent="0.35"/>
    <row r="965" s="198" customFormat="1" ht="14.25" customHeight="1" x14ac:dyDescent="0.35"/>
    <row r="966" s="198" customFormat="1" ht="14.25" customHeight="1" x14ac:dyDescent="0.35"/>
    <row r="967" s="198" customFormat="1" ht="14.25" customHeight="1" x14ac:dyDescent="0.35"/>
    <row r="968" s="198" customFormat="1" ht="14.25" customHeight="1" x14ac:dyDescent="0.35"/>
    <row r="969" s="198" customFormat="1" ht="14.25" customHeight="1" x14ac:dyDescent="0.35"/>
    <row r="970" s="198" customFormat="1" ht="14.25" customHeight="1" x14ac:dyDescent="0.35"/>
    <row r="971" s="198" customFormat="1" ht="14.25" customHeight="1" x14ac:dyDescent="0.35"/>
    <row r="972" s="198" customFormat="1" ht="14.25" customHeight="1" x14ac:dyDescent="0.35"/>
    <row r="973" s="198" customFormat="1" ht="14.25" customHeight="1" x14ac:dyDescent="0.35"/>
    <row r="974" s="198" customFormat="1" ht="14.25" customHeight="1" x14ac:dyDescent="0.35"/>
    <row r="975" s="198" customFormat="1" ht="14.25" customHeight="1" x14ac:dyDescent="0.35"/>
    <row r="976" s="198" customFormat="1" ht="14.25" customHeight="1" x14ac:dyDescent="0.35"/>
    <row r="977" s="198" customFormat="1" ht="14.25" customHeight="1" x14ac:dyDescent="0.35"/>
    <row r="978" s="198" customFormat="1" ht="14.25" customHeight="1" x14ac:dyDescent="0.35"/>
    <row r="979" s="198" customFormat="1" ht="14.25" customHeight="1" x14ac:dyDescent="0.35"/>
    <row r="980" s="198" customFormat="1" ht="14.25" customHeight="1" x14ac:dyDescent="0.35"/>
    <row r="981" s="198" customFormat="1" ht="14.25" customHeight="1" x14ac:dyDescent="0.35"/>
    <row r="982" s="198" customFormat="1" ht="14.25" customHeight="1" x14ac:dyDescent="0.35"/>
    <row r="983" s="198" customFormat="1" ht="14.25" customHeight="1" x14ac:dyDescent="0.35"/>
    <row r="984" s="198" customFormat="1" ht="14.25" customHeight="1" x14ac:dyDescent="0.35"/>
    <row r="985" s="198" customFormat="1" ht="14.25" customHeight="1" x14ac:dyDescent="0.35"/>
    <row r="986" s="198" customFormat="1" ht="14.25" customHeight="1" x14ac:dyDescent="0.35"/>
    <row r="987" s="198" customFormat="1" ht="14.25" customHeight="1" x14ac:dyDescent="0.35"/>
    <row r="988" s="198" customFormat="1" ht="14.25" customHeight="1" x14ac:dyDescent="0.35"/>
    <row r="989" s="198" customFormat="1" ht="14.25" customHeight="1" x14ac:dyDescent="0.35"/>
    <row r="990" s="198" customFormat="1" ht="14.25" customHeight="1" x14ac:dyDescent="0.35"/>
    <row r="991" s="198" customFormat="1" ht="14.25" customHeight="1" x14ac:dyDescent="0.35"/>
    <row r="992" s="198" customFormat="1" ht="14.25" customHeight="1" x14ac:dyDescent="0.35"/>
    <row r="993" s="198" customFormat="1" ht="14.25" customHeight="1" x14ac:dyDescent="0.35"/>
    <row r="994" s="198" customFormat="1" ht="14.25" customHeight="1" x14ac:dyDescent="0.35"/>
    <row r="995" s="198" customFormat="1" ht="14.25" customHeight="1" x14ac:dyDescent="0.35"/>
    <row r="996" s="198" customFormat="1" ht="14.25" customHeight="1" x14ac:dyDescent="0.35"/>
    <row r="997" s="198" customFormat="1" ht="14.25" customHeight="1" x14ac:dyDescent="0.35"/>
    <row r="998" s="198" customFormat="1" ht="14.25" customHeight="1" x14ac:dyDescent="0.35"/>
    <row r="999" s="198" customFormat="1" ht="14.25" customHeight="1" x14ac:dyDescent="0.35"/>
    <row r="1000" s="198" customFormat="1" ht="14.25" customHeight="1" x14ac:dyDescent="0.35"/>
  </sheetData>
  <mergeCells count="10">
    <mergeCell ref="G12:I12"/>
    <mergeCell ref="W4:W5"/>
    <mergeCell ref="W28:AH28"/>
    <mergeCell ref="AF4:AH4"/>
    <mergeCell ref="G19:J19"/>
    <mergeCell ref="X3:Y3"/>
    <mergeCell ref="AA3:AB3"/>
    <mergeCell ref="AD3:AE3"/>
    <mergeCell ref="B11:C11"/>
    <mergeCell ref="G4:I4"/>
  </mergeCells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W1007"/>
  <sheetViews>
    <sheetView showGridLines="0" zoomScale="83" workbookViewId="0">
      <selection activeCell="R4" sqref="R4"/>
    </sheetView>
  </sheetViews>
  <sheetFormatPr defaultColWidth="14.4609375" defaultRowHeight="15" customHeight="1" x14ac:dyDescent="0.4"/>
  <cols>
    <col min="1" max="1" width="2.53515625" customWidth="1"/>
    <col min="2" max="2" width="30.53515625" customWidth="1"/>
    <col min="3" max="3" width="20.69140625" customWidth="1"/>
    <col min="4" max="5" width="15.23046875" customWidth="1"/>
    <col min="6" max="8" width="8.69140625" customWidth="1"/>
    <col min="9" max="9" width="8.23046875" customWidth="1"/>
    <col min="10" max="10" width="22.69140625" customWidth="1"/>
    <col min="11" max="11" width="20.3046875" hidden="1" customWidth="1"/>
    <col min="12" max="15" width="10.765625" customWidth="1"/>
    <col min="16" max="19" width="8.69140625" customWidth="1"/>
    <col min="20" max="23" width="18.84375" customWidth="1"/>
    <col min="24" max="25" width="8.69140625" customWidth="1"/>
  </cols>
  <sheetData>
    <row r="1" spans="2:23" ht="22.2" customHeight="1" thickBot="1" x14ac:dyDescent="0.45">
      <c r="K1" s="21"/>
    </row>
    <row r="2" spans="2:23" ht="28.85" customHeight="1" thickBot="1" x14ac:dyDescent="0.45">
      <c r="B2" s="1" t="s">
        <v>50</v>
      </c>
      <c r="C2" s="174">
        <f>'Sensitivity Analysis'!H2</f>
        <v>15000</v>
      </c>
      <c r="J2" s="184" t="s">
        <v>85</v>
      </c>
      <c r="K2" s="185" t="s">
        <v>35</v>
      </c>
      <c r="L2" s="185" t="s">
        <v>1</v>
      </c>
      <c r="M2" s="185" t="s">
        <v>70</v>
      </c>
      <c r="N2" s="186" t="s">
        <v>2</v>
      </c>
      <c r="T2" s="150" t="s">
        <v>51</v>
      </c>
      <c r="U2" s="151" t="s">
        <v>96</v>
      </c>
      <c r="V2" s="151" t="s">
        <v>161</v>
      </c>
      <c r="W2" s="152" t="s">
        <v>162</v>
      </c>
    </row>
    <row r="3" spans="2:23" ht="28.85" customHeight="1" thickBot="1" x14ac:dyDescent="0.45">
      <c r="J3" s="24" t="str">
        <f>B14</f>
        <v>Material Cost</v>
      </c>
      <c r="K3" s="175" t="s">
        <v>79</v>
      </c>
      <c r="L3" s="40">
        <f>C16</f>
        <v>15.999999999999998</v>
      </c>
      <c r="M3" s="40">
        <f>D16</f>
        <v>15.999999999999998</v>
      </c>
      <c r="N3" s="176">
        <f>E16</f>
        <v>14.72</v>
      </c>
      <c r="T3" s="177" t="s">
        <v>80</v>
      </c>
      <c r="U3" s="178">
        <f>SUM(C15,C19,C23,C27,C31)</f>
        <v>595550</v>
      </c>
      <c r="V3" s="178">
        <f>SUM(D15,D19,D23,D27,D31)</f>
        <v>611675</v>
      </c>
      <c r="W3" s="179">
        <f>SUM(E15,E19,E23,E27,E31)</f>
        <v>668100</v>
      </c>
    </row>
    <row r="4" spans="2:23" ht="28.85" customHeight="1" thickBot="1" x14ac:dyDescent="0.45">
      <c r="B4" s="187" t="s">
        <v>51</v>
      </c>
      <c r="C4" s="188" t="s">
        <v>1</v>
      </c>
      <c r="D4" s="189" t="s">
        <v>70</v>
      </c>
      <c r="E4" s="190" t="s">
        <v>2</v>
      </c>
      <c r="J4" s="50" t="str">
        <f>B18</f>
        <v>Other Material Cost</v>
      </c>
      <c r="K4" s="55"/>
      <c r="L4" s="20">
        <f>C20</f>
        <v>0.02</v>
      </c>
      <c r="M4" s="20">
        <f>D20</f>
        <v>1.7075</v>
      </c>
      <c r="N4" s="25">
        <f>E20</f>
        <v>6.5533333333333337</v>
      </c>
      <c r="T4" s="157" t="s">
        <v>65</v>
      </c>
      <c r="U4" s="180">
        <f>SUM(C40,C44,C48)</f>
        <v>70238.888888888891</v>
      </c>
      <c r="V4" s="180">
        <f>SUM(D40,D44,D48)</f>
        <v>94677.777777777781</v>
      </c>
      <c r="W4" s="181">
        <f>SUM(E40,E44,E48)</f>
        <v>14144.444444444445</v>
      </c>
    </row>
    <row r="5" spans="2:23" ht="20.399999999999999" customHeight="1" x14ac:dyDescent="0.4">
      <c r="B5" s="36" t="s">
        <v>52</v>
      </c>
      <c r="C5" s="30">
        <f>'Sensitivity Analysis'!C15*$C$2</f>
        <v>2100</v>
      </c>
      <c r="D5" s="30">
        <f>'Sensitivity Analysis'!D15*$C$2</f>
        <v>2100</v>
      </c>
      <c r="E5" s="32">
        <f>'Sensitivity Analysis'!E15*$C$2</f>
        <v>1380</v>
      </c>
      <c r="F5" s="4"/>
      <c r="J5" s="50" t="str">
        <f>B22</f>
        <v>Paint Cost</v>
      </c>
      <c r="K5" s="55"/>
      <c r="L5" s="20">
        <f>C24</f>
        <v>2.6</v>
      </c>
      <c r="M5" s="20">
        <f>D24</f>
        <v>2.6</v>
      </c>
      <c r="N5" s="25">
        <f>E24</f>
        <v>2.6</v>
      </c>
      <c r="T5" s="153" t="s">
        <v>68</v>
      </c>
      <c r="U5" s="154">
        <f>SUM(U3:U4)</f>
        <v>665788.88888888888</v>
      </c>
      <c r="V5" s="154">
        <f t="shared" ref="V5:W5" si="0">SUM(V3:V4)</f>
        <v>706352.77777777775</v>
      </c>
      <c r="W5" s="182">
        <f t="shared" si="0"/>
        <v>682244.4444444445</v>
      </c>
    </row>
    <row r="6" spans="2:23" ht="20.399999999999999" customHeight="1" thickBot="1" x14ac:dyDescent="0.45">
      <c r="B6" s="37" t="s">
        <v>53</v>
      </c>
      <c r="C6" s="31">
        <f>'Sensitivity Analysis'!C16*$C$2</f>
        <v>700</v>
      </c>
      <c r="D6" s="31">
        <f>'Sensitivity Analysis'!D16*$C$2</f>
        <v>700</v>
      </c>
      <c r="E6" s="33">
        <f>'Sensitivity Analysis'!E16*$C$2</f>
        <v>0</v>
      </c>
      <c r="F6" s="4"/>
      <c r="J6" s="50" t="str">
        <f>B26</f>
        <v>Energy Cost</v>
      </c>
      <c r="K6" s="55"/>
      <c r="L6" s="20">
        <f>C28</f>
        <v>1.25</v>
      </c>
      <c r="M6" s="20">
        <f>D28</f>
        <v>0.63749999999999996</v>
      </c>
      <c r="N6" s="25">
        <f>E28</f>
        <v>0.83333333333333337</v>
      </c>
      <c r="T6" s="155" t="s">
        <v>160</v>
      </c>
      <c r="U6" s="156">
        <f>U5/$C$2</f>
        <v>44.385925925925925</v>
      </c>
      <c r="V6" s="156">
        <f t="shared" ref="V6:W6" si="1">V5/$C$2</f>
        <v>47.090185185185184</v>
      </c>
      <c r="W6" s="183">
        <f t="shared" si="1"/>
        <v>45.482962962962965</v>
      </c>
    </row>
    <row r="7" spans="2:23" ht="21" customHeight="1" x14ac:dyDescent="0.4">
      <c r="B7" s="37" t="s">
        <v>54</v>
      </c>
      <c r="C7" s="31">
        <f>('Sensitivity Analysis'!C13/60)*($C$2/'Sensitivity Analysis'!C14)</f>
        <v>3000</v>
      </c>
      <c r="D7" s="31">
        <f>('Sensitivity Analysis'!D13/60)*($C$2/'Sensitivity Analysis'!D14)</f>
        <v>2250</v>
      </c>
      <c r="E7" s="33">
        <f>('Sensitivity Analysis'!E13/60)*($C$2/'Sensitivity Analysis'!E14)</f>
        <v>5000</v>
      </c>
      <c r="F7" s="4"/>
      <c r="J7" s="50" t="str">
        <f>B30</f>
        <v>Labor Cost</v>
      </c>
      <c r="K7" s="55"/>
      <c r="L7" s="20">
        <f>C32</f>
        <v>19.833333333333332</v>
      </c>
      <c r="M7" s="20">
        <f>D32</f>
        <v>19.833333333333332</v>
      </c>
      <c r="N7" s="25">
        <f>E32</f>
        <v>19.833333333333332</v>
      </c>
    </row>
    <row r="8" spans="2:23" ht="22.2" customHeight="1" x14ac:dyDescent="0.4">
      <c r="B8" s="37" t="s">
        <v>55</v>
      </c>
      <c r="C8" s="31">
        <v>0</v>
      </c>
      <c r="D8" s="31">
        <f>'Sensitivity Analysis'!D12*'Total Cost'!D7</f>
        <v>101250</v>
      </c>
      <c r="E8" s="33">
        <f>'Sensitivity Analysis'!E12*'Total Cost'!E7</f>
        <v>245000</v>
      </c>
      <c r="F8" s="4"/>
      <c r="J8" s="50" t="str">
        <f>B39</f>
        <v>Depriciation</v>
      </c>
      <c r="K8" s="55" t="s">
        <v>65</v>
      </c>
      <c r="L8" s="20">
        <f>C41</f>
        <v>2.2592592592592595</v>
      </c>
      <c r="M8" s="20">
        <f>D41</f>
        <v>3.1851851851851856</v>
      </c>
      <c r="N8" s="25">
        <f>E41</f>
        <v>0.49629629629629629</v>
      </c>
    </row>
    <row r="9" spans="2:23" ht="22.2" customHeight="1" thickBot="1" x14ac:dyDescent="0.45">
      <c r="B9" s="38" t="s">
        <v>56</v>
      </c>
      <c r="C9" s="34">
        <f>('Sensitivity Analysis'!C13/60)*('Sensitivity Analysis'!C9)*$C$2</f>
        <v>75000</v>
      </c>
      <c r="D9" s="34">
        <f>('Sensitivity Analysis'!D13/60)*('Sensitivity Analysis'!D9)*$C$2</f>
        <v>38250</v>
      </c>
      <c r="E9" s="35">
        <f>(('Sensitivity Analysis'!E13/60)*('Sensitivity Analysis'!E9)*$C$2)/'Sensitivity Analysis'!E14</f>
        <v>50000</v>
      </c>
      <c r="F9" s="4" t="s">
        <v>57</v>
      </c>
      <c r="J9" s="50" t="str">
        <f>B43</f>
        <v>Imputed Interest</v>
      </c>
      <c r="K9" s="51"/>
      <c r="L9" s="22">
        <f>C45</f>
        <v>0.79</v>
      </c>
      <c r="M9" s="22">
        <f>D45</f>
        <v>0.98</v>
      </c>
      <c r="N9" s="23">
        <f>E45</f>
        <v>0.13400000000000001</v>
      </c>
    </row>
    <row r="10" spans="2:23" ht="22.2" customHeight="1" thickBot="1" x14ac:dyDescent="0.45">
      <c r="B10" s="53"/>
      <c r="C10" s="54"/>
      <c r="D10" s="54"/>
      <c r="E10" s="54"/>
      <c r="F10" s="4"/>
      <c r="J10" s="52" t="str">
        <f>B47</f>
        <v>Maintainace Cost</v>
      </c>
      <c r="K10" s="56"/>
      <c r="L10" s="28">
        <f>C49</f>
        <v>1.6333333333333335</v>
      </c>
      <c r="M10" s="28">
        <f>D49</f>
        <v>2.1466666666666669</v>
      </c>
      <c r="N10" s="29">
        <f>E49</f>
        <v>0.31266666666666665</v>
      </c>
    </row>
    <row r="11" spans="2:23" ht="22.2" customHeight="1" thickBot="1" x14ac:dyDescent="0.45">
      <c r="C11" s="3">
        <f>5*20000</f>
        <v>100000</v>
      </c>
      <c r="D11" s="3"/>
      <c r="E11" s="3"/>
      <c r="F11" s="4"/>
      <c r="J11" s="337" t="s">
        <v>68</v>
      </c>
      <c r="K11" s="338"/>
      <c r="L11" s="49">
        <f>SUM(L3:L10)</f>
        <v>44.385925925925925</v>
      </c>
      <c r="M11" s="26">
        <f>SUM(M3:M10)</f>
        <v>47.090185185185184</v>
      </c>
      <c r="N11" s="27">
        <f>SUM(N3:N10)</f>
        <v>45.482962962962958</v>
      </c>
    </row>
    <row r="12" spans="2:23" ht="14.25" customHeight="1" thickBot="1" x14ac:dyDescent="0.45">
      <c r="C12" s="3"/>
      <c r="D12" s="3"/>
      <c r="E12" s="3"/>
      <c r="F12" s="4"/>
    </row>
    <row r="13" spans="2:23" ht="14.25" customHeight="1" thickBot="1" x14ac:dyDescent="0.45">
      <c r="B13" s="342" t="s">
        <v>58</v>
      </c>
      <c r="C13" s="343"/>
      <c r="D13" s="343"/>
      <c r="E13" s="344"/>
      <c r="F13" s="4"/>
    </row>
    <row r="14" spans="2:23" ht="14.25" customHeight="1" thickBot="1" x14ac:dyDescent="0.45">
      <c r="B14" s="339" t="s">
        <v>4</v>
      </c>
      <c r="C14" s="340"/>
      <c r="D14" s="340"/>
      <c r="E14" s="341"/>
      <c r="F14" s="4"/>
    </row>
    <row r="15" spans="2:23" ht="14.25" customHeight="1" x14ac:dyDescent="0.4">
      <c r="B15" s="5" t="s">
        <v>23</v>
      </c>
      <c r="C15" s="6">
        <f>C5*('Sensitivity Analysis'!$D$21/'Sensitivity Analysis'!C15)</f>
        <v>239999.99999999997</v>
      </c>
      <c r="D15" s="6">
        <f>D5*('Sensitivity Analysis'!$D$21/'Sensitivity Analysis'!D15)</f>
        <v>239999.99999999997</v>
      </c>
      <c r="E15" s="6">
        <f>E5*'Sensitivity Analysis'!D22</f>
        <v>220800</v>
      </c>
      <c r="F15" s="4"/>
    </row>
    <row r="16" spans="2:23" ht="14.25" customHeight="1" x14ac:dyDescent="0.4">
      <c r="B16" s="5" t="s">
        <v>59</v>
      </c>
      <c r="C16" s="6">
        <f t="shared" ref="C16:D16" si="2">C15/$C$2</f>
        <v>15.999999999999998</v>
      </c>
      <c r="D16" s="6">
        <f t="shared" si="2"/>
        <v>15.999999999999998</v>
      </c>
      <c r="E16" s="6">
        <f>E15/C2</f>
        <v>14.72</v>
      </c>
      <c r="F16" s="4"/>
    </row>
    <row r="17" spans="2:6" ht="14.25" customHeight="1" thickBot="1" x14ac:dyDescent="0.45">
      <c r="B17" s="5" t="s">
        <v>60</v>
      </c>
      <c r="C17" s="7">
        <f t="shared" ref="C17:E17" si="3">C16/C56</f>
        <v>0.36047462492281501</v>
      </c>
      <c r="D17" s="7">
        <f t="shared" si="3"/>
        <v>0.33977356294265926</v>
      </c>
      <c r="E17" s="7">
        <f t="shared" si="3"/>
        <v>0.32363766652552034</v>
      </c>
      <c r="F17" s="4"/>
    </row>
    <row r="18" spans="2:6" ht="14.25" customHeight="1" thickBot="1" x14ac:dyDescent="0.45">
      <c r="B18" s="339" t="s">
        <v>61</v>
      </c>
      <c r="C18" s="340"/>
      <c r="D18" s="340"/>
      <c r="E18" s="341"/>
      <c r="F18" s="4"/>
    </row>
    <row r="19" spans="2:6" ht="14.25" customHeight="1" x14ac:dyDescent="0.4">
      <c r="B19" s="5" t="s">
        <v>23</v>
      </c>
      <c r="C19" s="6">
        <f>C8*$C$2+$C$2*'Sensitivity Analysis'!$H$14</f>
        <v>300</v>
      </c>
      <c r="D19" s="6">
        <f>D8*'Sensitivity Analysis'!D24+(C2*'Sensitivity Analysis'!H14)</f>
        <v>25612.5</v>
      </c>
      <c r="E19" s="6">
        <f>E8*'Sensitivity Analysis'!D23+('Sensitivity Analysis'!H14*C2)</f>
        <v>98300</v>
      </c>
      <c r="F19" s="4" t="s">
        <v>62</v>
      </c>
    </row>
    <row r="20" spans="2:6" ht="14.25" customHeight="1" x14ac:dyDescent="0.4">
      <c r="B20" s="5" t="s">
        <v>59</v>
      </c>
      <c r="C20" s="6">
        <f t="shared" ref="C20:D20" si="4">C19/$C$2</f>
        <v>0.02</v>
      </c>
      <c r="D20" s="6">
        <f t="shared" si="4"/>
        <v>1.7075</v>
      </c>
      <c r="E20" s="6">
        <f>E19/C2</f>
        <v>6.5533333333333337</v>
      </c>
      <c r="F20" s="4"/>
    </row>
    <row r="21" spans="2:6" ht="14.25" customHeight="1" thickBot="1" x14ac:dyDescent="0.45">
      <c r="B21" s="5" t="s">
        <v>60</v>
      </c>
      <c r="C21" s="7">
        <f t="shared" ref="C21:E21" si="5">C20/C56</f>
        <v>4.5059328115351882E-4</v>
      </c>
      <c r="D21" s="7">
        <f t="shared" si="5"/>
        <v>3.6260209920286918E-2</v>
      </c>
      <c r="E21" s="7">
        <f t="shared" si="5"/>
        <v>0.14408325461711344</v>
      </c>
      <c r="F21" s="4"/>
    </row>
    <row r="22" spans="2:6" ht="14.25" customHeight="1" thickBot="1" x14ac:dyDescent="0.45">
      <c r="B22" s="339" t="s">
        <v>49</v>
      </c>
      <c r="C22" s="340"/>
      <c r="D22" s="340"/>
      <c r="E22" s="341"/>
      <c r="F22" s="4"/>
    </row>
    <row r="23" spans="2:6" ht="14.25" customHeight="1" x14ac:dyDescent="0.4">
      <c r="B23" s="5" t="s">
        <v>23</v>
      </c>
      <c r="C23" s="6">
        <f>$C$2*'Sensitivity Analysis'!$H$9*'Sensitivity Analysis'!$D$25</f>
        <v>39000</v>
      </c>
      <c r="D23" s="6">
        <f>$C$2*'Sensitivity Analysis'!$H$9*'Sensitivity Analysis'!$D$25</f>
        <v>39000</v>
      </c>
      <c r="E23" s="6">
        <f>$C$2*'Sensitivity Analysis'!$H$9*'Sensitivity Analysis'!$D$25</f>
        <v>39000</v>
      </c>
      <c r="F23" s="4"/>
    </row>
    <row r="24" spans="2:6" ht="14.25" customHeight="1" x14ac:dyDescent="0.4">
      <c r="B24" s="5" t="s">
        <v>59</v>
      </c>
      <c r="C24" s="6">
        <f t="shared" ref="C24:E24" si="6">C23/$C$2</f>
        <v>2.6</v>
      </c>
      <c r="D24" s="6">
        <f t="shared" si="6"/>
        <v>2.6</v>
      </c>
      <c r="E24" s="6">
        <f t="shared" si="6"/>
        <v>2.6</v>
      </c>
      <c r="F24" s="4"/>
    </row>
    <row r="25" spans="2:6" ht="14.25" customHeight="1" thickBot="1" x14ac:dyDescent="0.45">
      <c r="B25" s="5" t="s">
        <v>60</v>
      </c>
      <c r="C25" s="7">
        <f t="shared" ref="C25:E25" si="7">C24/C56</f>
        <v>5.8577126549957448E-2</v>
      </c>
      <c r="D25" s="7">
        <f t="shared" si="7"/>
        <v>5.5213203978182135E-2</v>
      </c>
      <c r="E25" s="7">
        <f t="shared" si="7"/>
        <v>5.7164261750431579E-2</v>
      </c>
      <c r="F25" s="4"/>
    </row>
    <row r="26" spans="2:6" ht="14.25" customHeight="1" thickBot="1" x14ac:dyDescent="0.45">
      <c r="B26" s="339" t="s">
        <v>63</v>
      </c>
      <c r="C26" s="340"/>
      <c r="D26" s="340"/>
      <c r="E26" s="341"/>
      <c r="F26" s="4"/>
    </row>
    <row r="27" spans="2:6" ht="14.25" customHeight="1" x14ac:dyDescent="0.4">
      <c r="B27" s="5" t="s">
        <v>23</v>
      </c>
      <c r="C27" s="6">
        <f>C9*'Sensitivity Analysis'!$D$20</f>
        <v>18750</v>
      </c>
      <c r="D27" s="6">
        <f>D9*'Sensitivity Analysis'!$D$20</f>
        <v>9562.5</v>
      </c>
      <c r="E27" s="6">
        <f>E9*'Sensitivity Analysis'!$D$20</f>
        <v>12500</v>
      </c>
      <c r="F27" s="4"/>
    </row>
    <row r="28" spans="2:6" ht="14.25" customHeight="1" x14ac:dyDescent="0.4">
      <c r="B28" s="5" t="s">
        <v>59</v>
      </c>
      <c r="C28" s="6">
        <f t="shared" ref="C28:E28" si="8">C27/$C$2</f>
        <v>1.25</v>
      </c>
      <c r="D28" s="6">
        <f t="shared" si="8"/>
        <v>0.63749999999999996</v>
      </c>
      <c r="E28" s="6">
        <f t="shared" si="8"/>
        <v>0.83333333333333337</v>
      </c>
      <c r="F28" s="4"/>
    </row>
    <row r="29" spans="2:6" ht="14.25" customHeight="1" thickBot="1" x14ac:dyDescent="0.45">
      <c r="B29" s="5" t="s">
        <v>60</v>
      </c>
      <c r="C29" s="8">
        <f t="shared" ref="C29:E29" si="9">C28/C56</f>
        <v>2.8162080072094926E-2</v>
      </c>
      <c r="D29" s="8">
        <f t="shared" si="9"/>
        <v>1.353785289849658E-2</v>
      </c>
      <c r="E29" s="8">
        <f t="shared" si="9"/>
        <v>1.8321878766163969E-2</v>
      </c>
      <c r="F29" s="4"/>
    </row>
    <row r="30" spans="2:6" ht="14.25" customHeight="1" thickBot="1" x14ac:dyDescent="0.45">
      <c r="B30" s="339" t="s">
        <v>21</v>
      </c>
      <c r="C30" s="340"/>
      <c r="D30" s="340"/>
      <c r="E30" s="341"/>
      <c r="F30" s="4"/>
    </row>
    <row r="31" spans="2:6" ht="14.25" customHeight="1" x14ac:dyDescent="0.4">
      <c r="B31" s="5" t="s">
        <v>23</v>
      </c>
      <c r="C31" s="6">
        <f>'Sensitivity Analysis'!$J$10+'Sensitivity Analysis'!$J$15</f>
        <v>297500</v>
      </c>
      <c r="D31" s="6">
        <f>'Sensitivity Analysis'!$J$10+'Sensitivity Analysis'!$J$15</f>
        <v>297500</v>
      </c>
      <c r="E31" s="6">
        <f>'Sensitivity Analysis'!$J$10+'Sensitivity Analysis'!$J$15</f>
        <v>297500</v>
      </c>
      <c r="F31" s="4"/>
    </row>
    <row r="32" spans="2:6" ht="14.25" customHeight="1" x14ac:dyDescent="0.4">
      <c r="B32" s="5" t="s">
        <v>59</v>
      </c>
      <c r="C32" s="6">
        <f t="shared" ref="C32:E32" si="10">C31/$C$2</f>
        <v>19.833333333333332</v>
      </c>
      <c r="D32" s="6">
        <f t="shared" si="10"/>
        <v>19.833333333333332</v>
      </c>
      <c r="E32" s="6">
        <f t="shared" si="10"/>
        <v>19.833333333333332</v>
      </c>
      <c r="F32" s="4"/>
    </row>
    <row r="33" spans="2:6" ht="14.25" customHeight="1" thickBot="1" x14ac:dyDescent="0.45">
      <c r="B33" s="5" t="s">
        <v>60</v>
      </c>
      <c r="C33" s="8">
        <f t="shared" ref="C33:E33" si="11">C32/C56</f>
        <v>0.44683833714390614</v>
      </c>
      <c r="D33" s="8">
        <f t="shared" si="11"/>
        <v>0.42117764573100469</v>
      </c>
      <c r="E33" s="8">
        <f t="shared" si="11"/>
        <v>0.43606071463470242</v>
      </c>
      <c r="F33" s="4"/>
    </row>
    <row r="34" spans="2:6" ht="14.25" customHeight="1" x14ac:dyDescent="0.4">
      <c r="B34" s="42" t="s">
        <v>84</v>
      </c>
      <c r="C34" s="43">
        <f>SUM(C31+C27+C23+C19+C15)</f>
        <v>595550</v>
      </c>
      <c r="D34" s="43">
        <f t="shared" ref="D34:E34" si="12">SUM(D31+D27+D23+D19+D15)</f>
        <v>611675</v>
      </c>
      <c r="E34" s="43">
        <f t="shared" si="12"/>
        <v>668100</v>
      </c>
      <c r="F34" s="41"/>
    </row>
    <row r="35" spans="2:6" ht="14.25" customHeight="1" thickBot="1" x14ac:dyDescent="0.45">
      <c r="B35" s="44" t="s">
        <v>64</v>
      </c>
      <c r="C35" s="45">
        <f t="shared" ref="C35:E35" si="13">C32+C28+C16+C20+C24</f>
        <v>39.703333333333333</v>
      </c>
      <c r="D35" s="45">
        <f t="shared" si="13"/>
        <v>40.778333333333336</v>
      </c>
      <c r="E35" s="45">
        <f t="shared" si="13"/>
        <v>44.54</v>
      </c>
      <c r="F35" s="4"/>
    </row>
    <row r="36" spans="2:6" ht="14.25" customHeight="1" thickBot="1" x14ac:dyDescent="0.45">
      <c r="B36" s="13" t="s">
        <v>60</v>
      </c>
      <c r="C36" s="14">
        <f t="shared" ref="C36:E36" si="14">C35/C56</f>
        <v>0.89450276196992706</v>
      </c>
      <c r="D36" s="14">
        <f t="shared" si="14"/>
        <v>0.86596247547062977</v>
      </c>
      <c r="E36" s="14">
        <f t="shared" si="14"/>
        <v>0.97926777629393169</v>
      </c>
    </row>
    <row r="37" spans="2:6" ht="14.25" customHeight="1" thickBot="1" x14ac:dyDescent="0.45"/>
    <row r="38" spans="2:6" ht="14.25" customHeight="1" thickBot="1" x14ac:dyDescent="0.45">
      <c r="B38" s="345" t="s">
        <v>65</v>
      </c>
      <c r="C38" s="340"/>
      <c r="D38" s="340"/>
      <c r="E38" s="341"/>
    </row>
    <row r="39" spans="2:6" ht="14.25" customHeight="1" thickBot="1" x14ac:dyDescent="0.45">
      <c r="B39" s="339" t="s">
        <v>87</v>
      </c>
      <c r="C39" s="340"/>
      <c r="D39" s="340"/>
      <c r="E39" s="341"/>
    </row>
    <row r="40" spans="2:6" ht="14.25" customHeight="1" x14ac:dyDescent="0.4">
      <c r="B40" s="5" t="s">
        <v>23</v>
      </c>
      <c r="C40" s="11">
        <f>(('Sensitivity Analysis'!C3-'Sensitivity Analysis'!C4)/'Sensitivity Analysis'!C5)*'Sensitivity Analysis'!H23</f>
        <v>33888.888888888891</v>
      </c>
      <c r="D40" s="11">
        <f>(('Sensitivity Analysis'!D3-'Sensitivity Analysis'!D4)/'Sensitivity Analysis'!D5)*'Sensitivity Analysis'!I23</f>
        <v>47777.777777777781</v>
      </c>
      <c r="E40" s="11">
        <f>(('Sensitivity Analysis'!E3-'Sensitivity Analysis'!E4)/'Sensitivity Analysis'!E5)*'Sensitivity Analysis'!J23</f>
        <v>7444.4444444444443</v>
      </c>
    </row>
    <row r="41" spans="2:6" ht="14.25" customHeight="1" x14ac:dyDescent="0.4">
      <c r="B41" s="5" t="s">
        <v>59</v>
      </c>
      <c r="C41" s="11">
        <f t="shared" ref="C41:E41" si="15">C40/$C$2</f>
        <v>2.2592592592592595</v>
      </c>
      <c r="D41" s="11">
        <f t="shared" si="15"/>
        <v>3.1851851851851856</v>
      </c>
      <c r="E41" s="11">
        <f t="shared" si="15"/>
        <v>0.49629629629629629</v>
      </c>
    </row>
    <row r="42" spans="2:6" ht="14.25" customHeight="1" thickBot="1" x14ac:dyDescent="0.45">
      <c r="B42" s="5" t="s">
        <v>60</v>
      </c>
      <c r="C42" s="12">
        <f>C41/C56</f>
        <v>5.0900352130304909E-2</v>
      </c>
      <c r="D42" s="12">
        <f>D41/D56</f>
        <v>6.7640107437659039E-2</v>
      </c>
      <c r="E42" s="12">
        <f>E41/E56</f>
        <v>1.0911696687404318E-2</v>
      </c>
    </row>
    <row r="43" spans="2:6" ht="14.25" customHeight="1" thickBot="1" x14ac:dyDescent="0.45">
      <c r="B43" s="339" t="s">
        <v>88</v>
      </c>
      <c r="C43" s="340"/>
      <c r="D43" s="340"/>
      <c r="E43" s="341"/>
    </row>
    <row r="44" spans="2:6" ht="14.25" customHeight="1" x14ac:dyDescent="0.4">
      <c r="B44" s="5" t="s">
        <v>23</v>
      </c>
      <c r="C44" s="11">
        <f>((('Sensitivity Analysis'!C3+'Sensitivity Analysis'!C4)/2)*'Sensitivity Analysis'!C7)*'Sensitivity Analysis'!H23</f>
        <v>11850</v>
      </c>
      <c r="D44" s="11">
        <f>((('Sensitivity Analysis'!D3+'Sensitivity Analysis'!D4)/2)*'Sensitivity Analysis'!D7)*'Sensitivity Analysis'!I23</f>
        <v>14700</v>
      </c>
      <c r="E44" s="11">
        <f>((('Sensitivity Analysis'!E3+'Sensitivity Analysis'!E4)/2)*'Sensitivity Analysis'!E7)*'Sensitivity Analysis'!J23</f>
        <v>2010</v>
      </c>
    </row>
    <row r="45" spans="2:6" ht="14.25" customHeight="1" x14ac:dyDescent="0.4">
      <c r="B45" s="5" t="s">
        <v>59</v>
      </c>
      <c r="C45" s="11">
        <f t="shared" ref="C45:E45" si="16">C44/$C$2</f>
        <v>0.79</v>
      </c>
      <c r="D45" s="11">
        <f t="shared" si="16"/>
        <v>0.98</v>
      </c>
      <c r="E45" s="11">
        <f t="shared" si="16"/>
        <v>0.13400000000000001</v>
      </c>
    </row>
    <row r="46" spans="2:6" ht="14.25" customHeight="1" thickBot="1" x14ac:dyDescent="0.45">
      <c r="B46" s="5" t="s">
        <v>60</v>
      </c>
      <c r="C46" s="12">
        <f>C45/C56</f>
        <v>1.7798434605563993E-2</v>
      </c>
      <c r="D46" s="12">
        <f>D45/D56</f>
        <v>2.0811130730237881E-2</v>
      </c>
      <c r="E46" s="12">
        <f>E45/E56</f>
        <v>2.9461581055991661E-3</v>
      </c>
    </row>
    <row r="47" spans="2:6" ht="14.25" customHeight="1" thickBot="1" x14ac:dyDescent="0.45">
      <c r="B47" s="339" t="s">
        <v>66</v>
      </c>
      <c r="C47" s="340"/>
      <c r="D47" s="340"/>
      <c r="E47" s="341"/>
    </row>
    <row r="48" spans="2:6" ht="14.25" customHeight="1" x14ac:dyDescent="0.4">
      <c r="B48" s="5" t="s">
        <v>23</v>
      </c>
      <c r="C48" s="11">
        <f>'Sensitivity Analysis'!C6*'Sensitivity Analysis'!C3*'Sensitivity Analysis'!H23</f>
        <v>24500.000000000004</v>
      </c>
      <c r="D48" s="11">
        <f>'Sensitivity Analysis'!D6*'Sensitivity Analysis'!D3*'Sensitivity Analysis'!I23</f>
        <v>32200.000000000004</v>
      </c>
      <c r="E48" s="11">
        <f>'Sensitivity Analysis'!E6*'Sensitivity Analysis'!E3*'Sensitivity Analysis'!J23</f>
        <v>4690</v>
      </c>
    </row>
    <row r="49" spans="2:5" ht="14.25" customHeight="1" x14ac:dyDescent="0.4">
      <c r="B49" s="5" t="s">
        <v>59</v>
      </c>
      <c r="C49" s="11">
        <f t="shared" ref="C49:E49" si="17">C48/$C$2</f>
        <v>1.6333333333333335</v>
      </c>
      <c r="D49" s="11">
        <f t="shared" si="17"/>
        <v>2.1466666666666669</v>
      </c>
      <c r="E49" s="11">
        <f t="shared" si="17"/>
        <v>0.31266666666666665</v>
      </c>
    </row>
    <row r="50" spans="2:5" ht="14.25" customHeight="1" thickBot="1" x14ac:dyDescent="0.45">
      <c r="B50" s="13" t="s">
        <v>60</v>
      </c>
      <c r="C50" s="14">
        <f>C49/C56</f>
        <v>3.6798451294204039E-2</v>
      </c>
      <c r="D50" s="14">
        <f>D49/D56</f>
        <v>4.5586286361473459E-2</v>
      </c>
      <c r="E50" s="14">
        <f>E49/E56</f>
        <v>6.8743689130647207E-3</v>
      </c>
    </row>
    <row r="51" spans="2:5" ht="14.25" customHeight="1" x14ac:dyDescent="0.4">
      <c r="B51" s="46" t="s">
        <v>83</v>
      </c>
      <c r="C51" s="47">
        <f>C40+C48+C44</f>
        <v>70238.888888888891</v>
      </c>
      <c r="D51" s="47">
        <f t="shared" ref="D51:E51" si="18">D40+D48+D44</f>
        <v>94677.777777777781</v>
      </c>
      <c r="E51" s="47">
        <f t="shared" si="18"/>
        <v>14144.444444444445</v>
      </c>
    </row>
    <row r="52" spans="2:5" ht="14.25" customHeight="1" thickBot="1" x14ac:dyDescent="0.45">
      <c r="B52" s="48" t="s">
        <v>67</v>
      </c>
      <c r="C52" s="18">
        <f>C41+C49+C45</f>
        <v>4.6825925925925933</v>
      </c>
      <c r="D52" s="18">
        <f t="shared" ref="D52:E52" si="19">D41+D49+D45</f>
        <v>6.311851851851852</v>
      </c>
      <c r="E52" s="18">
        <f t="shared" si="19"/>
        <v>0.94296296296296289</v>
      </c>
    </row>
    <row r="53" spans="2:5" ht="14.25" customHeight="1" thickBot="1" x14ac:dyDescent="0.45">
      <c r="B53" s="9" t="s">
        <v>60</v>
      </c>
      <c r="C53" s="10">
        <f>C52/C56</f>
        <v>0.10549723803007295</v>
      </c>
      <c r="D53" s="10">
        <f>D52/D56</f>
        <v>0.13403752452937037</v>
      </c>
      <c r="E53" s="10">
        <f>E52/E56</f>
        <v>2.0732223706068205E-2</v>
      </c>
    </row>
    <row r="54" spans="2:5" ht="14.25" customHeight="1" thickBot="1" x14ac:dyDescent="0.45"/>
    <row r="55" spans="2:5" ht="14.25" customHeight="1" x14ac:dyDescent="0.4">
      <c r="B55" s="15" t="s">
        <v>68</v>
      </c>
      <c r="C55" s="16">
        <f>C51+C34</f>
        <v>665788.88888888888</v>
      </c>
      <c r="D55" s="16">
        <f>D51+D34</f>
        <v>706352.77777777775</v>
      </c>
      <c r="E55" s="16">
        <f>E51+E34</f>
        <v>682244.4444444445</v>
      </c>
    </row>
    <row r="56" spans="2:5" ht="14.25" customHeight="1" thickBot="1" x14ac:dyDescent="0.45">
      <c r="B56" s="17" t="s">
        <v>69</v>
      </c>
      <c r="C56" s="18">
        <f>C55/$C$2</f>
        <v>44.385925925925925</v>
      </c>
      <c r="D56" s="18">
        <f t="shared" ref="D56:E56" si="20">D55/$C$2</f>
        <v>47.090185185185184</v>
      </c>
      <c r="E56" s="18">
        <f t="shared" si="20"/>
        <v>45.482962962962965</v>
      </c>
    </row>
    <row r="57" spans="2:5" ht="14.25" customHeight="1" x14ac:dyDescent="0.4"/>
    <row r="58" spans="2:5" ht="14.25" customHeight="1" x14ac:dyDescent="0.4"/>
    <row r="59" spans="2:5" ht="14.25" customHeight="1" x14ac:dyDescent="0.4"/>
    <row r="60" spans="2:5" ht="14.25" customHeight="1" x14ac:dyDescent="0.4">
      <c r="C60" s="39"/>
    </row>
    <row r="61" spans="2:5" ht="14.25" customHeight="1" x14ac:dyDescent="0.4">
      <c r="B61" s="2"/>
      <c r="C61" s="19"/>
      <c r="D61" s="19"/>
      <c r="E61" s="19"/>
    </row>
    <row r="62" spans="2:5" ht="14.25" customHeight="1" x14ac:dyDescent="0.4"/>
    <row r="63" spans="2:5" ht="14.25" customHeight="1" x14ac:dyDescent="0.4"/>
    <row r="64" spans="2:5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  <row r="1001" ht="14.25" customHeight="1" x14ac:dyDescent="0.4"/>
    <row r="1002" ht="14.25" customHeight="1" x14ac:dyDescent="0.4"/>
    <row r="1003" ht="14.25" customHeight="1" x14ac:dyDescent="0.4"/>
    <row r="1004" ht="14.25" customHeight="1" x14ac:dyDescent="0.4"/>
    <row r="1005" ht="14.25" customHeight="1" x14ac:dyDescent="0.4"/>
    <row r="1006" ht="14.25" customHeight="1" x14ac:dyDescent="0.4"/>
    <row r="1007" ht="14.25" customHeight="1" x14ac:dyDescent="0.4"/>
  </sheetData>
  <mergeCells count="11">
    <mergeCell ref="J11:K11"/>
    <mergeCell ref="B43:E43"/>
    <mergeCell ref="B39:E39"/>
    <mergeCell ref="B47:E47"/>
    <mergeCell ref="B13:E13"/>
    <mergeCell ref="B14:E14"/>
    <mergeCell ref="B18:E18"/>
    <mergeCell ref="B22:E22"/>
    <mergeCell ref="B26:E26"/>
    <mergeCell ref="B30:E30"/>
    <mergeCell ref="B38:E38"/>
  </mergeCell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875-EB1F-4399-AB08-FE6FAD8DB311}">
  <dimension ref="B1:J26"/>
  <sheetViews>
    <sheetView zoomScale="87" workbookViewId="0">
      <selection activeCell="I29" sqref="I29"/>
    </sheetView>
  </sheetViews>
  <sheetFormatPr defaultColWidth="7.765625" defaultRowHeight="14.6" x14ac:dyDescent="0.4"/>
  <cols>
    <col min="1" max="1" width="4.23046875" style="158" customWidth="1"/>
    <col min="2" max="2" width="18.23046875" style="158" bestFit="1" customWidth="1"/>
    <col min="3" max="3" width="16.53515625" style="158" customWidth="1"/>
    <col min="4" max="4" width="13.3046875" style="158" bestFit="1" customWidth="1"/>
    <col min="5" max="5" width="15.53515625" style="158" bestFit="1" customWidth="1"/>
    <col min="6" max="6" width="7.765625" style="158" customWidth="1"/>
    <col min="7" max="7" width="18.23046875" style="158" bestFit="1" customWidth="1"/>
    <col min="8" max="8" width="17.23046875" style="158" customWidth="1"/>
    <col min="9" max="9" width="14.53515625" style="158" customWidth="1"/>
    <col min="10" max="10" width="15.53515625" style="158" bestFit="1" customWidth="1"/>
    <col min="11" max="11" width="7.765625" style="158" customWidth="1"/>
    <col min="12" max="16384" width="7.765625" style="158"/>
  </cols>
  <sheetData>
    <row r="1" spans="2:10" ht="15" thickBot="1" x14ac:dyDescent="0.45"/>
    <row r="2" spans="2:10" ht="15.9" thickBot="1" x14ac:dyDescent="0.45">
      <c r="B2" s="159" t="s">
        <v>51</v>
      </c>
      <c r="C2" s="159" t="s">
        <v>79</v>
      </c>
      <c r="D2" s="159" t="s">
        <v>169</v>
      </c>
      <c r="E2" s="159" t="s">
        <v>170</v>
      </c>
      <c r="F2" s="160"/>
      <c r="G2" s="159" t="s">
        <v>51</v>
      </c>
      <c r="H2" s="159" t="s">
        <v>79</v>
      </c>
      <c r="I2" s="159" t="s">
        <v>169</v>
      </c>
      <c r="J2" s="159" t="s">
        <v>170</v>
      </c>
    </row>
    <row r="3" spans="2:10" ht="15.9" thickBot="1" x14ac:dyDescent="0.45">
      <c r="B3" s="358">
        <v>5000</v>
      </c>
      <c r="C3" s="358"/>
      <c r="D3" s="358"/>
      <c r="E3" s="358"/>
      <c r="F3" s="160"/>
      <c r="G3" s="358">
        <v>30000</v>
      </c>
      <c r="H3" s="358"/>
      <c r="I3" s="358"/>
      <c r="J3" s="358"/>
    </row>
    <row r="4" spans="2:10" ht="15.45" x14ac:dyDescent="0.4">
      <c r="B4" s="161" t="s">
        <v>96</v>
      </c>
      <c r="C4" s="162">
        <v>39.703333333333298</v>
      </c>
      <c r="D4" s="162">
        <v>70238.888888888891</v>
      </c>
      <c r="E4" s="163">
        <f>C4*B3+D4</f>
        <v>268755.55555555539</v>
      </c>
      <c r="F4" s="160"/>
      <c r="G4" s="161" t="str">
        <f>$B$4</f>
        <v>CNC Milling</v>
      </c>
      <c r="H4" s="162">
        <v>39.703333333333333</v>
      </c>
      <c r="I4" s="162">
        <v>70238.888888888891</v>
      </c>
      <c r="J4" s="163">
        <f>H4*30000+I4</f>
        <v>1261338.888888889</v>
      </c>
    </row>
    <row r="5" spans="2:10" ht="15.45" x14ac:dyDescent="0.4">
      <c r="B5" s="164" t="s">
        <v>164</v>
      </c>
      <c r="C5" s="165">
        <v>40.778333333333343</v>
      </c>
      <c r="D5" s="165">
        <v>94677.777777777781</v>
      </c>
      <c r="E5" s="166">
        <f>C5*B3+D5</f>
        <v>298569.4444444445</v>
      </c>
      <c r="F5" s="160"/>
      <c r="G5" s="164" t="str">
        <f>$B$5</f>
        <v>Water Jet Cutting</v>
      </c>
      <c r="H5" s="165">
        <v>40.778333333333343</v>
      </c>
      <c r="I5" s="165">
        <v>94677.777777777781</v>
      </c>
      <c r="J5" s="166">
        <f>H5*30000+I5</f>
        <v>1318027.777777778</v>
      </c>
    </row>
    <row r="6" spans="2:10" s="170" customFormat="1" ht="15.9" thickBot="1" x14ac:dyDescent="0.45">
      <c r="B6" s="167" t="s">
        <v>2</v>
      </c>
      <c r="C6" s="168">
        <v>44.540000000000006</v>
      </c>
      <c r="D6" s="168">
        <v>14144.444444444445</v>
      </c>
      <c r="E6" s="169">
        <f>C6*B3+D6</f>
        <v>236844.44444444447</v>
      </c>
      <c r="F6" s="160"/>
      <c r="G6" s="167" t="str">
        <f>$B$6</f>
        <v>3D Printing</v>
      </c>
      <c r="H6" s="168">
        <v>44.54</v>
      </c>
      <c r="I6" s="168">
        <v>28288.888888888891</v>
      </c>
      <c r="J6" s="169">
        <f>H6*30000+I6</f>
        <v>1364488.888888889</v>
      </c>
    </row>
    <row r="7" spans="2:10" s="170" customFormat="1" ht="6.65" customHeight="1" thickBot="1" x14ac:dyDescent="0.45">
      <c r="B7" s="349"/>
      <c r="C7" s="350"/>
      <c r="D7" s="350"/>
      <c r="E7" s="351"/>
      <c r="F7" s="160"/>
      <c r="G7" s="349"/>
      <c r="H7" s="350"/>
      <c r="I7" s="350"/>
      <c r="J7" s="351"/>
    </row>
    <row r="8" spans="2:10" s="170" customFormat="1" ht="15.9" thickBot="1" x14ac:dyDescent="0.45">
      <c r="B8" s="357">
        <v>10000</v>
      </c>
      <c r="C8" s="357"/>
      <c r="D8" s="357"/>
      <c r="E8" s="357"/>
      <c r="F8" s="160"/>
      <c r="G8" s="357">
        <v>35000</v>
      </c>
      <c r="H8" s="357"/>
      <c r="I8" s="357"/>
      <c r="J8" s="357"/>
    </row>
    <row r="9" spans="2:10" s="170" customFormat="1" ht="15.45" x14ac:dyDescent="0.4">
      <c r="B9" s="161" t="str">
        <f>$B$4</f>
        <v>CNC Milling</v>
      </c>
      <c r="C9" s="162">
        <v>39.703333333333333</v>
      </c>
      <c r="D9" s="162">
        <v>70238.888888888891</v>
      </c>
      <c r="E9" s="163">
        <f>C9*10000+D9</f>
        <v>467272.22222222219</v>
      </c>
      <c r="F9" s="160"/>
      <c r="G9" s="161" t="str">
        <f>$B$4</f>
        <v>CNC Milling</v>
      </c>
      <c r="H9" s="162">
        <v>39.70333333333334</v>
      </c>
      <c r="I9" s="162">
        <v>140477.77777777778</v>
      </c>
      <c r="J9" s="163">
        <f>H9*35000+I9</f>
        <v>1530094.4444444447</v>
      </c>
    </row>
    <row r="10" spans="2:10" s="170" customFormat="1" ht="15.45" x14ac:dyDescent="0.4">
      <c r="B10" s="164" t="str">
        <f>$B$5</f>
        <v>Water Jet Cutting</v>
      </c>
      <c r="C10" s="165">
        <v>40.778333333333343</v>
      </c>
      <c r="D10" s="165">
        <v>94677.777777777781</v>
      </c>
      <c r="E10" s="166">
        <f>C10*10000+D10</f>
        <v>502461.11111111124</v>
      </c>
      <c r="F10" s="160"/>
      <c r="G10" s="164" t="str">
        <f>$B$5</f>
        <v>Water Jet Cutting</v>
      </c>
      <c r="H10" s="165">
        <v>40.778333333333343</v>
      </c>
      <c r="I10" s="165">
        <v>94677.777777777781</v>
      </c>
      <c r="J10" s="166">
        <f>H10*35000+I10</f>
        <v>1521919.4444444447</v>
      </c>
    </row>
    <row r="11" spans="2:10" s="170" customFormat="1" ht="15.9" thickBot="1" x14ac:dyDescent="0.45">
      <c r="B11" s="167" t="str">
        <f>$B$6</f>
        <v>3D Printing</v>
      </c>
      <c r="C11" s="168">
        <v>44.540000000000006</v>
      </c>
      <c r="D11" s="168">
        <v>14144.444444444445</v>
      </c>
      <c r="E11" s="169">
        <f>C11*10000+D11</f>
        <v>459544.4444444445</v>
      </c>
      <c r="F11" s="160"/>
      <c r="G11" s="167" t="str">
        <f>$B$6</f>
        <v>3D Printing</v>
      </c>
      <c r="H11" s="168">
        <v>44.54</v>
      </c>
      <c r="I11" s="168">
        <v>28288.888888888891</v>
      </c>
      <c r="J11" s="169">
        <f>H11*35000+I11</f>
        <v>1587188.888888889</v>
      </c>
    </row>
    <row r="12" spans="2:10" s="170" customFormat="1" ht="6.65" customHeight="1" thickBot="1" x14ac:dyDescent="0.45">
      <c r="B12" s="171"/>
      <c r="C12" s="172"/>
      <c r="D12" s="172"/>
      <c r="E12" s="173"/>
      <c r="F12" s="160"/>
      <c r="G12" s="349"/>
      <c r="H12" s="350"/>
      <c r="I12" s="350"/>
      <c r="J12" s="351"/>
    </row>
    <row r="13" spans="2:10" s="170" customFormat="1" ht="15.9" thickBot="1" x14ac:dyDescent="0.45">
      <c r="B13" s="356">
        <v>15000</v>
      </c>
      <c r="C13" s="356"/>
      <c r="D13" s="356"/>
      <c r="E13" s="356"/>
      <c r="F13" s="160"/>
      <c r="G13" s="357">
        <v>40000</v>
      </c>
      <c r="H13" s="357"/>
      <c r="I13" s="357"/>
      <c r="J13" s="357"/>
    </row>
    <row r="14" spans="2:10" s="170" customFormat="1" ht="15.45" x14ac:dyDescent="0.4">
      <c r="B14" s="161" t="str">
        <f>$B$4</f>
        <v>CNC Milling</v>
      </c>
      <c r="C14" s="162">
        <v>39.703333333333333</v>
      </c>
      <c r="D14" s="162">
        <v>70238.888888888891</v>
      </c>
      <c r="E14" s="163">
        <f>C14*15000+D14</f>
        <v>665788.88888888888</v>
      </c>
      <c r="F14" s="160"/>
      <c r="G14" s="161" t="str">
        <f>$B$4</f>
        <v>CNC Milling</v>
      </c>
      <c r="H14" s="162">
        <v>39.70333333333334</v>
      </c>
      <c r="I14" s="162">
        <v>140477.77777777778</v>
      </c>
      <c r="J14" s="163">
        <f>H14*40000+I14</f>
        <v>1728611.1111111115</v>
      </c>
    </row>
    <row r="15" spans="2:10" s="170" customFormat="1" ht="15.45" x14ac:dyDescent="0.4">
      <c r="B15" s="164" t="str">
        <f>$B$5</f>
        <v>Water Jet Cutting</v>
      </c>
      <c r="C15" s="165">
        <v>40.778333333333343</v>
      </c>
      <c r="D15" s="165">
        <v>94677.777777777781</v>
      </c>
      <c r="E15" s="166">
        <f>C15*15000+D15</f>
        <v>706352.77777777787</v>
      </c>
      <c r="F15" s="160"/>
      <c r="G15" s="164" t="str">
        <f>$B$5</f>
        <v>Water Jet Cutting</v>
      </c>
      <c r="H15" s="165">
        <v>40.778333333333343</v>
      </c>
      <c r="I15" s="165">
        <v>94677.777777777781</v>
      </c>
      <c r="J15" s="166">
        <f>H15*40000+I15</f>
        <v>1725811.1111111115</v>
      </c>
    </row>
    <row r="16" spans="2:10" s="170" customFormat="1" ht="15.9" thickBot="1" x14ac:dyDescent="0.45">
      <c r="B16" s="167" t="str">
        <f>$B$6</f>
        <v>3D Printing</v>
      </c>
      <c r="C16" s="168">
        <v>44.540000000000006</v>
      </c>
      <c r="D16" s="168">
        <v>14144.444444444445</v>
      </c>
      <c r="E16" s="169">
        <f>C16*15000+D16</f>
        <v>682244.44444444461</v>
      </c>
      <c r="F16" s="160"/>
      <c r="G16" s="167" t="str">
        <f>$B$6</f>
        <v>3D Printing</v>
      </c>
      <c r="H16" s="168">
        <v>44.54</v>
      </c>
      <c r="I16" s="168">
        <v>28288.888888888891</v>
      </c>
      <c r="J16" s="169">
        <f>H16*40000+I16</f>
        <v>1809888.888888889</v>
      </c>
    </row>
    <row r="17" spans="2:10" s="170" customFormat="1" ht="6.65" customHeight="1" thickBot="1" x14ac:dyDescent="0.45">
      <c r="B17" s="171"/>
      <c r="C17" s="172"/>
      <c r="D17" s="172"/>
      <c r="E17" s="173"/>
      <c r="F17" s="160"/>
      <c r="G17" s="349"/>
      <c r="H17" s="350"/>
      <c r="I17" s="350"/>
      <c r="J17" s="351"/>
    </row>
    <row r="18" spans="2:10" s="170" customFormat="1" ht="15.9" thickBot="1" x14ac:dyDescent="0.45">
      <c r="B18" s="358">
        <v>20000</v>
      </c>
      <c r="C18" s="358"/>
      <c r="D18" s="358"/>
      <c r="E18" s="358"/>
      <c r="F18" s="160"/>
      <c r="G18" s="357">
        <v>45000</v>
      </c>
      <c r="H18" s="357"/>
      <c r="I18" s="357"/>
      <c r="J18" s="357"/>
    </row>
    <row r="19" spans="2:10" s="170" customFormat="1" ht="15.45" x14ac:dyDescent="0.4">
      <c r="B19" s="161" t="str">
        <f>$B$4</f>
        <v>CNC Milling</v>
      </c>
      <c r="C19" s="162">
        <v>39.703333333333333</v>
      </c>
      <c r="D19" s="162">
        <v>70238.888888888891</v>
      </c>
      <c r="E19" s="163">
        <f>C19*20000+D19</f>
        <v>864305.5555555555</v>
      </c>
      <c r="F19" s="160"/>
      <c r="G19" s="161" t="str">
        <f>$B$4</f>
        <v>CNC Milling</v>
      </c>
      <c r="H19" s="162">
        <v>39.70333333333334</v>
      </c>
      <c r="I19" s="162">
        <v>140477.77777777778</v>
      </c>
      <c r="J19" s="163">
        <f>H19*45000+I19</f>
        <v>1927127.777777778</v>
      </c>
    </row>
    <row r="20" spans="2:10" s="170" customFormat="1" ht="15.45" x14ac:dyDescent="0.4">
      <c r="B20" s="164" t="str">
        <f>$B$5</f>
        <v>Water Jet Cutting</v>
      </c>
      <c r="C20" s="165">
        <v>40.778333333333343</v>
      </c>
      <c r="D20" s="165">
        <v>94677.777777777781</v>
      </c>
      <c r="E20" s="166">
        <f>C20*20000+D20</f>
        <v>910244.44444444461</v>
      </c>
      <c r="F20" s="160"/>
      <c r="G20" s="164" t="str">
        <f>$B$5</f>
        <v>Water Jet Cutting</v>
      </c>
      <c r="H20" s="165">
        <v>40.778333333333336</v>
      </c>
      <c r="I20" s="165">
        <v>189355.55555555556</v>
      </c>
      <c r="J20" s="166">
        <f>H20*45000+I20</f>
        <v>2024380.5555555557</v>
      </c>
    </row>
    <row r="21" spans="2:10" s="170" customFormat="1" ht="15.9" thickBot="1" x14ac:dyDescent="0.45">
      <c r="B21" s="167" t="str">
        <f>$B$6</f>
        <v>3D Printing</v>
      </c>
      <c r="C21" s="168">
        <v>44.540000000000006</v>
      </c>
      <c r="D21" s="168">
        <v>14144.444444444445</v>
      </c>
      <c r="E21" s="169">
        <f>C21*20000+D21</f>
        <v>904944.44444444461</v>
      </c>
      <c r="F21" s="160"/>
      <c r="G21" s="167" t="str">
        <f>$B$6</f>
        <v>3D Printing</v>
      </c>
      <c r="H21" s="168">
        <v>44.54</v>
      </c>
      <c r="I21" s="168">
        <v>28288.888888888891</v>
      </c>
      <c r="J21" s="169">
        <f>H21*45000+I21</f>
        <v>2032588.888888889</v>
      </c>
    </row>
    <row r="22" spans="2:10" s="170" customFormat="1" ht="6.65" customHeight="1" thickBot="1" x14ac:dyDescent="0.45">
      <c r="B22" s="346"/>
      <c r="C22" s="347"/>
      <c r="D22" s="347"/>
      <c r="E22" s="348"/>
      <c r="F22" s="160"/>
      <c r="G22" s="349"/>
      <c r="H22" s="350"/>
      <c r="I22" s="350"/>
      <c r="J22" s="351"/>
    </row>
    <row r="23" spans="2:10" s="170" customFormat="1" ht="15.9" thickBot="1" x14ac:dyDescent="0.45">
      <c r="B23" s="352">
        <v>25000</v>
      </c>
      <c r="C23" s="353"/>
      <c r="D23" s="353"/>
      <c r="E23" s="354"/>
      <c r="F23" s="160"/>
      <c r="G23" s="355">
        <v>50000</v>
      </c>
      <c r="H23" s="355"/>
      <c r="I23" s="355"/>
      <c r="J23" s="355"/>
    </row>
    <row r="24" spans="2:10" s="170" customFormat="1" ht="15.45" x14ac:dyDescent="0.4">
      <c r="B24" s="161" t="str">
        <f>$B$4</f>
        <v>CNC Milling</v>
      </c>
      <c r="C24" s="162">
        <v>39.703333333333333</v>
      </c>
      <c r="D24" s="162">
        <v>70238.888888888891</v>
      </c>
      <c r="E24" s="163">
        <f>C24*25000+D24</f>
        <v>1062822.2222222222</v>
      </c>
      <c r="F24" s="160"/>
      <c r="G24" s="161" t="str">
        <f>$B$4</f>
        <v>CNC Milling</v>
      </c>
      <c r="H24" s="162">
        <v>39.70333333333334</v>
      </c>
      <c r="I24" s="162">
        <v>140477.77777777778</v>
      </c>
      <c r="J24" s="163">
        <f>H24*50000+I24</f>
        <v>2125644.444444445</v>
      </c>
    </row>
    <row r="25" spans="2:10" s="170" customFormat="1" ht="15.45" x14ac:dyDescent="0.4">
      <c r="B25" s="164" t="str">
        <f>$B$5</f>
        <v>Water Jet Cutting</v>
      </c>
      <c r="C25" s="165">
        <v>40.778333333333343</v>
      </c>
      <c r="D25" s="165">
        <v>94677.777777777781</v>
      </c>
      <c r="E25" s="166">
        <f>C25*25000+D25</f>
        <v>1114136.1111111115</v>
      </c>
      <c r="F25" s="160"/>
      <c r="G25" s="164" t="str">
        <f>$B$5</f>
        <v>Water Jet Cutting</v>
      </c>
      <c r="H25" s="165">
        <v>40.778333333333336</v>
      </c>
      <c r="I25" s="165">
        <v>189355.55555555556</v>
      </c>
      <c r="J25" s="166">
        <f>H25*50000+I25</f>
        <v>2228272.2222222225</v>
      </c>
    </row>
    <row r="26" spans="2:10" s="170" customFormat="1" ht="15.9" thickBot="1" x14ac:dyDescent="0.45">
      <c r="B26" s="167" t="str">
        <f>$B$6</f>
        <v>3D Printing</v>
      </c>
      <c r="C26" s="168">
        <v>44.54</v>
      </c>
      <c r="D26" s="168">
        <v>28288.888888888891</v>
      </c>
      <c r="E26" s="169">
        <f>C26*25000+D26</f>
        <v>1141788.888888889</v>
      </c>
      <c r="F26" s="160"/>
      <c r="G26" s="167" t="str">
        <f>$B$6</f>
        <v>3D Printing</v>
      </c>
      <c r="H26" s="168">
        <v>44.54</v>
      </c>
      <c r="I26" s="168">
        <v>28288.888888888891</v>
      </c>
      <c r="J26" s="169">
        <f>H26*50000+I26</f>
        <v>2255288.888888889</v>
      </c>
    </row>
  </sheetData>
  <mergeCells count="16">
    <mergeCell ref="B3:E3"/>
    <mergeCell ref="G3:J3"/>
    <mergeCell ref="B7:E7"/>
    <mergeCell ref="G7:J7"/>
    <mergeCell ref="B8:E8"/>
    <mergeCell ref="G8:J8"/>
    <mergeCell ref="B22:E22"/>
    <mergeCell ref="G22:J22"/>
    <mergeCell ref="B23:E23"/>
    <mergeCell ref="G23:J23"/>
    <mergeCell ref="G12:J12"/>
    <mergeCell ref="B13:E13"/>
    <mergeCell ref="G13:J13"/>
    <mergeCell ref="G17:J17"/>
    <mergeCell ref="B18:E18"/>
    <mergeCell ref="G18:J18"/>
  </mergeCells>
  <pageMargins left="0.70000000000000007" right="0.70000000000000007" top="0.75" bottom="0.75" header="0.30000000000000004" footer="0.3000000000000000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A4B2-43AD-49FD-AC85-4D2470FC06A6}">
  <sheetPr>
    <outlinePr summaryBelow="0" summaryRight="0"/>
  </sheetPr>
  <dimension ref="A1:V998"/>
  <sheetViews>
    <sheetView topLeftCell="D11" workbookViewId="0">
      <selection activeCell="I4" sqref="I4:J6"/>
    </sheetView>
  </sheetViews>
  <sheetFormatPr defaultColWidth="14.4609375" defaultRowHeight="15" customHeight="1" x14ac:dyDescent="0.4"/>
  <cols>
    <col min="1" max="1" width="3.4609375" customWidth="1"/>
    <col min="2" max="2" width="19.53515625" customWidth="1"/>
    <col min="3" max="3" width="24.53515625" customWidth="1"/>
    <col min="4" max="4" width="19" customWidth="1"/>
    <col min="5" max="5" width="14.84375" customWidth="1"/>
    <col min="6" max="6" width="14.53515625" customWidth="1"/>
    <col min="7" max="7" width="13.4609375" customWidth="1"/>
    <col min="8" max="8" width="2.3046875" customWidth="1"/>
    <col min="9" max="9" width="17.69140625" customWidth="1"/>
    <col min="10" max="10" width="24.53515625" customWidth="1"/>
    <col min="11" max="11" width="16.69140625" customWidth="1"/>
    <col min="12" max="12" width="11.07421875" customWidth="1"/>
    <col min="13" max="13" width="11.4609375" customWidth="1"/>
    <col min="14" max="14" width="11.3046875" customWidth="1"/>
    <col min="15" max="15" width="2.69140625" customWidth="1"/>
    <col min="16" max="16" width="17.69140625" customWidth="1"/>
    <col min="17" max="17" width="24.53515625" customWidth="1"/>
    <col min="18" max="18" width="22.53515625" customWidth="1"/>
    <col min="19" max="19" width="14.4609375" customWidth="1"/>
    <col min="20" max="20" width="14.69140625" customWidth="1"/>
    <col min="21" max="21" width="14.07421875" customWidth="1"/>
  </cols>
  <sheetData>
    <row r="1" spans="1:22" ht="11.4" customHeight="1" x14ac:dyDescent="0.4">
      <c r="A1" s="57"/>
      <c r="B1" s="57"/>
      <c r="C1" s="57"/>
      <c r="D1" s="57"/>
      <c r="E1" s="57"/>
      <c r="F1" s="57"/>
      <c r="G1" s="57"/>
      <c r="H1" s="58"/>
      <c r="I1" s="58"/>
      <c r="J1" s="58"/>
      <c r="K1" s="58"/>
      <c r="L1" s="58"/>
      <c r="M1" s="58"/>
      <c r="N1" s="58"/>
      <c r="O1" s="58"/>
      <c r="P1" s="57"/>
      <c r="Q1" s="57"/>
      <c r="R1" s="57"/>
      <c r="S1" s="57"/>
      <c r="T1" s="57"/>
      <c r="U1" s="57"/>
      <c r="V1" s="58"/>
    </row>
    <row r="2" spans="1:22" ht="11.4" customHeight="1" x14ac:dyDescent="0.4">
      <c r="A2" s="57"/>
      <c r="B2" s="359" t="s">
        <v>95</v>
      </c>
      <c r="C2" s="360"/>
      <c r="D2" s="360"/>
      <c r="E2" s="360"/>
      <c r="F2" s="360"/>
      <c r="G2" s="361"/>
      <c r="H2" s="57"/>
      <c r="I2" s="359" t="s">
        <v>96</v>
      </c>
      <c r="J2" s="362"/>
      <c r="K2" s="362"/>
      <c r="L2" s="362"/>
      <c r="M2" s="362"/>
      <c r="N2" s="363"/>
      <c r="O2" s="58"/>
      <c r="P2" s="364" t="s">
        <v>97</v>
      </c>
      <c r="Q2" s="362"/>
      <c r="R2" s="362"/>
      <c r="S2" s="362"/>
      <c r="T2" s="362"/>
      <c r="U2" s="363"/>
      <c r="V2" s="58"/>
    </row>
    <row r="3" spans="1:22" ht="7.2" customHeight="1" x14ac:dyDescent="0.4">
      <c r="A3" s="57"/>
      <c r="B3" s="365"/>
      <c r="C3" s="366"/>
      <c r="D3" s="366"/>
      <c r="E3" s="366"/>
      <c r="F3" s="366"/>
      <c r="G3" s="367"/>
      <c r="H3" s="57"/>
      <c r="I3" s="365"/>
      <c r="J3" s="366"/>
      <c r="K3" s="366"/>
      <c r="L3" s="366"/>
      <c r="M3" s="366"/>
      <c r="N3" s="367"/>
      <c r="O3" s="58"/>
      <c r="P3" s="365"/>
      <c r="Q3" s="366"/>
      <c r="R3" s="366"/>
      <c r="S3" s="366"/>
      <c r="T3" s="366"/>
      <c r="U3" s="367"/>
      <c r="V3" s="58"/>
    </row>
    <row r="4" spans="1:22" ht="14.6" x14ac:dyDescent="0.4">
      <c r="A4" s="57"/>
      <c r="B4" s="373" t="s">
        <v>171</v>
      </c>
      <c r="C4" s="374"/>
      <c r="D4" s="368" t="s">
        <v>98</v>
      </c>
      <c r="E4" s="362"/>
      <c r="F4" s="362"/>
      <c r="G4" s="363"/>
      <c r="H4" s="57"/>
      <c r="I4" s="373" t="s">
        <v>171</v>
      </c>
      <c r="J4" s="374"/>
      <c r="K4" s="368" t="s">
        <v>99</v>
      </c>
      <c r="L4" s="362"/>
      <c r="M4" s="362"/>
      <c r="N4" s="363"/>
      <c r="O4" s="58"/>
      <c r="P4" s="373" t="s">
        <v>171</v>
      </c>
      <c r="Q4" s="374"/>
      <c r="R4" s="368" t="s">
        <v>100</v>
      </c>
      <c r="S4" s="362"/>
      <c r="T4" s="362"/>
      <c r="U4" s="363"/>
      <c r="V4" s="58"/>
    </row>
    <row r="5" spans="1:22" ht="14.6" x14ac:dyDescent="0.4">
      <c r="A5" s="57"/>
      <c r="B5" s="375"/>
      <c r="C5" s="376"/>
      <c r="D5" s="369" t="s">
        <v>4</v>
      </c>
      <c r="E5" s="369" t="s">
        <v>63</v>
      </c>
      <c r="F5" s="369" t="s">
        <v>101</v>
      </c>
      <c r="G5" s="369" t="s">
        <v>102</v>
      </c>
      <c r="H5" s="57"/>
      <c r="I5" s="375"/>
      <c r="J5" s="376"/>
      <c r="K5" s="369" t="s">
        <v>4</v>
      </c>
      <c r="L5" s="369" t="s">
        <v>63</v>
      </c>
      <c r="M5" s="369" t="s">
        <v>101</v>
      </c>
      <c r="N5" s="369" t="s">
        <v>102</v>
      </c>
      <c r="O5" s="58"/>
      <c r="P5" s="375"/>
      <c r="Q5" s="376"/>
      <c r="R5" s="369" t="s">
        <v>4</v>
      </c>
      <c r="S5" s="369" t="s">
        <v>63</v>
      </c>
      <c r="T5" s="369" t="s">
        <v>101</v>
      </c>
      <c r="U5" s="369" t="s">
        <v>102</v>
      </c>
      <c r="V5" s="58"/>
    </row>
    <row r="6" spans="1:22" ht="14.6" x14ac:dyDescent="0.4">
      <c r="A6" s="57"/>
      <c r="B6" s="377"/>
      <c r="C6" s="378"/>
      <c r="D6" s="370"/>
      <c r="E6" s="370"/>
      <c r="F6" s="370"/>
      <c r="G6" s="370"/>
      <c r="H6" s="57"/>
      <c r="I6" s="377"/>
      <c r="J6" s="378"/>
      <c r="K6" s="370"/>
      <c r="L6" s="370"/>
      <c r="M6" s="370"/>
      <c r="N6" s="370"/>
      <c r="O6" s="58"/>
      <c r="P6" s="377"/>
      <c r="Q6" s="378"/>
      <c r="R6" s="370"/>
      <c r="S6" s="370"/>
      <c r="T6" s="370"/>
      <c r="U6" s="370"/>
      <c r="V6" s="58"/>
    </row>
    <row r="7" spans="1:22" ht="14.6" x14ac:dyDescent="0.4">
      <c r="A7" s="57"/>
      <c r="B7" s="371" t="s">
        <v>103</v>
      </c>
      <c r="C7" s="59" t="s">
        <v>104</v>
      </c>
      <c r="D7" s="60">
        <v>353750</v>
      </c>
      <c r="E7" s="60">
        <v>12750</v>
      </c>
      <c r="F7" s="60">
        <v>94677.78</v>
      </c>
      <c r="G7" s="60">
        <v>461177.78</v>
      </c>
      <c r="H7" s="57"/>
      <c r="I7" s="371" t="s">
        <v>103</v>
      </c>
      <c r="J7" s="59" t="s">
        <v>104</v>
      </c>
      <c r="K7" s="60">
        <v>320000</v>
      </c>
      <c r="L7" s="60">
        <v>25000</v>
      </c>
      <c r="M7" s="60">
        <v>70238.89</v>
      </c>
      <c r="N7" s="60">
        <v>415238.89</v>
      </c>
      <c r="O7" s="58"/>
      <c r="P7" s="371" t="s">
        <v>103</v>
      </c>
      <c r="Q7" s="59" t="s">
        <v>104</v>
      </c>
      <c r="R7" s="196">
        <f>20000*((0.092*160)+(49*0.4*(20/60)))</f>
        <v>425066.66666666663</v>
      </c>
      <c r="S7" s="196">
        <f>10*(20/60)*0.25*20000</f>
        <v>16666.666666666664</v>
      </c>
      <c r="T7" s="196">
        <v>14144.44</v>
      </c>
      <c r="U7" s="196">
        <f>SUM(R7:T7)</f>
        <v>455877.77333333332</v>
      </c>
      <c r="V7" s="58"/>
    </row>
    <row r="8" spans="1:22" ht="14.6" x14ac:dyDescent="0.4">
      <c r="A8" s="57"/>
      <c r="B8" s="372"/>
      <c r="C8" s="59" t="s">
        <v>105</v>
      </c>
      <c r="D8" s="60">
        <v>353750</v>
      </c>
      <c r="E8" s="60">
        <v>12750</v>
      </c>
      <c r="F8" s="60">
        <v>94677.78</v>
      </c>
      <c r="G8" s="60">
        <v>461177.78</v>
      </c>
      <c r="H8" s="57"/>
      <c r="I8" s="372"/>
      <c r="J8" s="59" t="s">
        <v>105</v>
      </c>
      <c r="K8" s="60">
        <v>320000</v>
      </c>
      <c r="L8" s="60">
        <v>25000</v>
      </c>
      <c r="M8" s="60">
        <v>70238.89</v>
      </c>
      <c r="N8" s="60">
        <v>415238.89</v>
      </c>
      <c r="O8" s="58"/>
      <c r="P8" s="372"/>
      <c r="Q8" s="59" t="s">
        <v>105</v>
      </c>
      <c r="R8" s="196">
        <f t="shared" ref="R8:U8" si="0">R7</f>
        <v>425066.66666666663</v>
      </c>
      <c r="S8" s="196">
        <f t="shared" si="0"/>
        <v>16666.666666666664</v>
      </c>
      <c r="T8" s="196">
        <f t="shared" si="0"/>
        <v>14144.44</v>
      </c>
      <c r="U8" s="196">
        <f t="shared" si="0"/>
        <v>455877.77333333332</v>
      </c>
      <c r="V8" s="58"/>
    </row>
    <row r="9" spans="1:22" ht="14.6" x14ac:dyDescent="0.4">
      <c r="A9" s="57"/>
      <c r="B9" s="371" t="s">
        <v>106</v>
      </c>
      <c r="C9" s="59" t="s">
        <v>107</v>
      </c>
      <c r="D9" s="60">
        <v>247083</v>
      </c>
      <c r="E9" s="60">
        <v>10200</v>
      </c>
      <c r="F9" s="60">
        <v>94677.78</v>
      </c>
      <c r="G9" s="60">
        <v>351961.11</v>
      </c>
      <c r="H9" s="57"/>
      <c r="I9" s="371" t="s">
        <v>106</v>
      </c>
      <c r="J9" s="59" t="s">
        <v>107</v>
      </c>
      <c r="K9" s="60">
        <v>213333.33</v>
      </c>
      <c r="L9" s="60">
        <v>18750</v>
      </c>
      <c r="M9" s="60">
        <v>70238.89</v>
      </c>
      <c r="N9" s="60">
        <v>302322.21999999997</v>
      </c>
      <c r="O9" s="58"/>
      <c r="P9" s="371" t="s">
        <v>106</v>
      </c>
      <c r="Q9" s="59" t="s">
        <v>107</v>
      </c>
      <c r="R9" s="196">
        <f>20000*((0.092*160)+(49*0.4*(20/60)))</f>
        <v>425066.66666666663</v>
      </c>
      <c r="S9" s="196">
        <f>10*(20/60)*0.25*20000*95%</f>
        <v>15833.33333333333</v>
      </c>
      <c r="T9" s="196">
        <v>14144.44</v>
      </c>
      <c r="U9" s="196">
        <f t="shared" ref="U9:U10" si="1">SUM(R9:T9)</f>
        <v>455044.43999999994</v>
      </c>
      <c r="V9" s="58"/>
    </row>
    <row r="10" spans="1:22" ht="14.6" x14ac:dyDescent="0.4">
      <c r="A10" s="57"/>
      <c r="B10" s="372"/>
      <c r="C10" s="59" t="s">
        <v>108</v>
      </c>
      <c r="D10" s="60">
        <v>106667</v>
      </c>
      <c r="E10" s="60">
        <v>3188</v>
      </c>
      <c r="F10" s="60">
        <v>0</v>
      </c>
      <c r="G10" s="60">
        <v>109854.17</v>
      </c>
      <c r="H10" s="57"/>
      <c r="I10" s="372"/>
      <c r="J10" s="59" t="s">
        <v>108</v>
      </c>
      <c r="K10" s="60">
        <v>106666.67</v>
      </c>
      <c r="L10" s="60">
        <v>6250</v>
      </c>
      <c r="M10" s="60">
        <v>0</v>
      </c>
      <c r="N10" s="60">
        <v>112916.67</v>
      </c>
      <c r="O10" s="58"/>
      <c r="P10" s="372"/>
      <c r="Q10" s="59" t="s">
        <v>108</v>
      </c>
      <c r="R10" s="196">
        <v>0</v>
      </c>
      <c r="S10" s="196">
        <f>10*(20/60)*0.25*20000*5%</f>
        <v>833.33333333333326</v>
      </c>
      <c r="T10" s="196">
        <v>0</v>
      </c>
      <c r="U10" s="196">
        <f t="shared" si="1"/>
        <v>833.33333333333326</v>
      </c>
      <c r="V10" s="58"/>
    </row>
    <row r="11" spans="1:22" ht="14.6" x14ac:dyDescent="0.4">
      <c r="A11" s="57"/>
      <c r="B11" s="371" t="s">
        <v>109</v>
      </c>
      <c r="C11" s="61" t="s">
        <v>110</v>
      </c>
      <c r="D11" s="60">
        <v>247083</v>
      </c>
      <c r="E11" s="60">
        <v>8160</v>
      </c>
      <c r="F11" s="60">
        <v>94677.78</v>
      </c>
      <c r="G11" s="60">
        <v>349921.11</v>
      </c>
      <c r="H11" s="57"/>
      <c r="I11" s="371" t="s">
        <v>109</v>
      </c>
      <c r="J11" s="61" t="s">
        <v>110</v>
      </c>
      <c r="K11" s="60">
        <v>213333.33</v>
      </c>
      <c r="L11" s="60">
        <v>18750</v>
      </c>
      <c r="M11" s="60">
        <v>70238.89</v>
      </c>
      <c r="N11" s="60">
        <v>302322.21999999997</v>
      </c>
      <c r="O11" s="58"/>
      <c r="P11" s="371" t="s">
        <v>109</v>
      </c>
      <c r="Q11" s="61" t="s">
        <v>110</v>
      </c>
      <c r="R11" s="196">
        <f t="shared" ref="R11:U12" si="2">R9</f>
        <v>425066.66666666663</v>
      </c>
      <c r="S11" s="196">
        <f t="shared" si="2"/>
        <v>15833.33333333333</v>
      </c>
      <c r="T11" s="196">
        <f t="shared" si="2"/>
        <v>14144.44</v>
      </c>
      <c r="U11" s="196">
        <f t="shared" si="2"/>
        <v>455044.43999999994</v>
      </c>
      <c r="V11" s="58"/>
    </row>
    <row r="12" spans="1:22" ht="14.6" x14ac:dyDescent="0.4">
      <c r="A12" s="57"/>
      <c r="B12" s="372"/>
      <c r="C12" s="62" t="s">
        <v>111</v>
      </c>
      <c r="D12" s="60">
        <v>106667</v>
      </c>
      <c r="E12" s="60">
        <v>2550</v>
      </c>
      <c r="F12" s="60">
        <v>0</v>
      </c>
      <c r="G12" s="60">
        <v>109216.67</v>
      </c>
      <c r="H12" s="57"/>
      <c r="I12" s="372"/>
      <c r="J12" s="62" t="s">
        <v>111</v>
      </c>
      <c r="K12" s="60">
        <v>106666.67</v>
      </c>
      <c r="L12" s="60">
        <v>6250</v>
      </c>
      <c r="M12" s="60">
        <v>0</v>
      </c>
      <c r="N12" s="60">
        <v>112916.67</v>
      </c>
      <c r="O12" s="58"/>
      <c r="P12" s="372"/>
      <c r="Q12" s="62" t="s">
        <v>111</v>
      </c>
      <c r="R12" s="196">
        <f t="shared" si="2"/>
        <v>0</v>
      </c>
      <c r="S12" s="196">
        <f t="shared" si="2"/>
        <v>833.33333333333326</v>
      </c>
      <c r="T12" s="196">
        <f t="shared" si="2"/>
        <v>0</v>
      </c>
      <c r="U12" s="196">
        <f t="shared" si="2"/>
        <v>833.33333333333326</v>
      </c>
      <c r="V12" s="58"/>
    </row>
    <row r="13" spans="1:22" ht="14.6" x14ac:dyDescent="0.4">
      <c r="A13" s="57"/>
      <c r="B13" s="379" t="s">
        <v>81</v>
      </c>
      <c r="C13" s="380"/>
      <c r="D13" s="191">
        <v>353750</v>
      </c>
      <c r="E13" s="191">
        <v>10710</v>
      </c>
      <c r="F13" s="191">
        <v>94677.78</v>
      </c>
      <c r="G13" s="191">
        <v>459137.78</v>
      </c>
      <c r="H13" s="57"/>
      <c r="I13" s="381" t="s">
        <v>81</v>
      </c>
      <c r="J13" s="382"/>
      <c r="K13" s="191">
        <v>320000</v>
      </c>
      <c r="L13" s="191">
        <v>25000</v>
      </c>
      <c r="M13" s="191">
        <v>70238.89</v>
      </c>
      <c r="N13" s="191">
        <v>415238.89</v>
      </c>
      <c r="O13" s="194"/>
      <c r="P13" s="381" t="s">
        <v>81</v>
      </c>
      <c r="Q13" s="382"/>
      <c r="R13" s="191">
        <f t="shared" ref="R13:U13" si="3">SUM(R11+R12)</f>
        <v>425066.66666666663</v>
      </c>
      <c r="S13" s="191">
        <f t="shared" si="3"/>
        <v>16666.666666666664</v>
      </c>
      <c r="T13" s="191">
        <f t="shared" si="3"/>
        <v>14144.44</v>
      </c>
      <c r="U13" s="191">
        <f t="shared" si="3"/>
        <v>455877.77333333326</v>
      </c>
      <c r="V13" s="58"/>
    </row>
    <row r="14" spans="1:22" ht="14.6" x14ac:dyDescent="0.4">
      <c r="A14" s="57"/>
      <c r="B14" s="373" t="s">
        <v>172</v>
      </c>
      <c r="C14" s="374"/>
      <c r="D14" s="368" t="s">
        <v>112</v>
      </c>
      <c r="E14" s="362"/>
      <c r="F14" s="362"/>
      <c r="G14" s="363"/>
      <c r="H14" s="57"/>
      <c r="I14" s="373" t="s">
        <v>172</v>
      </c>
      <c r="J14" s="374"/>
      <c r="K14" s="368" t="s">
        <v>112</v>
      </c>
      <c r="L14" s="362"/>
      <c r="M14" s="362"/>
      <c r="N14" s="363"/>
      <c r="O14" s="58"/>
      <c r="P14" s="373" t="s">
        <v>172</v>
      </c>
      <c r="Q14" s="374"/>
      <c r="R14" s="368" t="s">
        <v>112</v>
      </c>
      <c r="S14" s="362"/>
      <c r="T14" s="362"/>
      <c r="U14" s="363"/>
      <c r="V14" s="58"/>
    </row>
    <row r="15" spans="1:22" ht="27.75" customHeight="1" x14ac:dyDescent="0.4">
      <c r="A15" s="57"/>
      <c r="B15" s="377"/>
      <c r="C15" s="378"/>
      <c r="D15" s="195" t="s">
        <v>4</v>
      </c>
      <c r="E15" s="195" t="s">
        <v>63</v>
      </c>
      <c r="F15" s="195" t="s">
        <v>101</v>
      </c>
      <c r="G15" s="195" t="s">
        <v>102</v>
      </c>
      <c r="H15" s="57"/>
      <c r="I15" s="377"/>
      <c r="J15" s="378"/>
      <c r="K15" s="195" t="s">
        <v>4</v>
      </c>
      <c r="L15" s="195" t="s">
        <v>63</v>
      </c>
      <c r="M15" s="195" t="s">
        <v>101</v>
      </c>
      <c r="N15" s="195" t="s">
        <v>102</v>
      </c>
      <c r="O15" s="58"/>
      <c r="P15" s="377"/>
      <c r="Q15" s="378"/>
      <c r="R15" s="195" t="s">
        <v>4</v>
      </c>
      <c r="S15" s="195" t="s">
        <v>63</v>
      </c>
      <c r="T15" s="195" t="s">
        <v>101</v>
      </c>
      <c r="U15" s="195" t="s">
        <v>102</v>
      </c>
      <c r="V15" s="58"/>
    </row>
    <row r="16" spans="1:22" ht="14.6" x14ac:dyDescent="0.4">
      <c r="A16" s="57"/>
      <c r="B16" s="371" t="s">
        <v>103</v>
      </c>
      <c r="C16" s="59" t="s">
        <v>113</v>
      </c>
      <c r="D16" s="60">
        <v>247083</v>
      </c>
      <c r="E16" s="60">
        <v>10200</v>
      </c>
      <c r="F16" s="59">
        <v>94677.78</v>
      </c>
      <c r="G16" s="59">
        <v>351961.11</v>
      </c>
      <c r="H16" s="57"/>
      <c r="I16" s="371" t="s">
        <v>103</v>
      </c>
      <c r="J16" s="59" t="s">
        <v>113</v>
      </c>
      <c r="K16" s="197">
        <f t="shared" ref="K16:N16" si="4">K11</f>
        <v>213333.33</v>
      </c>
      <c r="L16" s="197">
        <f t="shared" si="4"/>
        <v>18750</v>
      </c>
      <c r="M16" s="196">
        <f t="shared" si="4"/>
        <v>70238.89</v>
      </c>
      <c r="N16" s="196">
        <f t="shared" si="4"/>
        <v>302322.21999999997</v>
      </c>
      <c r="O16" s="58"/>
      <c r="P16" s="371" t="s">
        <v>103</v>
      </c>
      <c r="Q16" s="59" t="s">
        <v>113</v>
      </c>
      <c r="R16" s="196">
        <f t="shared" ref="R16:U16" si="5">R11</f>
        <v>425066.66666666663</v>
      </c>
      <c r="S16" s="196">
        <f t="shared" si="5"/>
        <v>15833.33333333333</v>
      </c>
      <c r="T16" s="196">
        <f t="shared" si="5"/>
        <v>14144.44</v>
      </c>
      <c r="U16" s="196">
        <f t="shared" si="5"/>
        <v>455044.43999999994</v>
      </c>
      <c r="V16" s="58"/>
    </row>
    <row r="17" spans="1:22" ht="14.6" x14ac:dyDescent="0.4">
      <c r="A17" s="57"/>
      <c r="B17" s="383"/>
      <c r="C17" s="59" t="s">
        <v>104</v>
      </c>
      <c r="D17" s="59">
        <v>52000</v>
      </c>
      <c r="E17" s="59">
        <v>0</v>
      </c>
      <c r="F17" s="59">
        <v>380000</v>
      </c>
      <c r="G17" s="59">
        <v>432000</v>
      </c>
      <c r="H17" s="57"/>
      <c r="I17" s="383"/>
      <c r="J17" s="59" t="s">
        <v>104</v>
      </c>
      <c r="K17" s="196">
        <v>52000</v>
      </c>
      <c r="L17" s="196">
        <v>0</v>
      </c>
      <c r="M17" s="196">
        <v>380000</v>
      </c>
      <c r="N17" s="196">
        <v>432000</v>
      </c>
      <c r="O17" s="58"/>
      <c r="P17" s="383"/>
      <c r="Q17" s="59" t="s">
        <v>104</v>
      </c>
      <c r="R17" s="196">
        <f t="shared" ref="R17:U17" si="6">K17</f>
        <v>52000</v>
      </c>
      <c r="S17" s="196">
        <f t="shared" si="6"/>
        <v>0</v>
      </c>
      <c r="T17" s="196">
        <f t="shared" si="6"/>
        <v>380000</v>
      </c>
      <c r="U17" s="196">
        <f t="shared" si="6"/>
        <v>432000</v>
      </c>
      <c r="V17" s="58"/>
    </row>
    <row r="18" spans="1:22" ht="14.6" x14ac:dyDescent="0.4">
      <c r="A18" s="57"/>
      <c r="B18" s="372"/>
      <c r="C18" s="59" t="s">
        <v>114</v>
      </c>
      <c r="D18" s="59">
        <v>299083</v>
      </c>
      <c r="E18" s="59">
        <v>10200</v>
      </c>
      <c r="F18" s="59">
        <v>474677.78</v>
      </c>
      <c r="G18" s="59">
        <v>783961</v>
      </c>
      <c r="H18" s="57"/>
      <c r="I18" s="372"/>
      <c r="J18" s="59" t="s">
        <v>114</v>
      </c>
      <c r="K18" s="196">
        <f t="shared" ref="K18:N18" si="7">K16+K17</f>
        <v>265333.32999999996</v>
      </c>
      <c r="L18" s="196">
        <f t="shared" si="7"/>
        <v>18750</v>
      </c>
      <c r="M18" s="196">
        <f t="shared" si="7"/>
        <v>450238.89</v>
      </c>
      <c r="N18" s="196">
        <f t="shared" si="7"/>
        <v>734322.22</v>
      </c>
      <c r="O18" s="58"/>
      <c r="P18" s="372"/>
      <c r="Q18" s="59" t="s">
        <v>114</v>
      </c>
      <c r="R18" s="196">
        <f t="shared" ref="R18:U18" si="8">SUM(R16:R17)</f>
        <v>477066.66666666663</v>
      </c>
      <c r="S18" s="196">
        <f t="shared" si="8"/>
        <v>15833.33333333333</v>
      </c>
      <c r="T18" s="196">
        <f t="shared" si="8"/>
        <v>394144.44</v>
      </c>
      <c r="U18" s="196">
        <f t="shared" si="8"/>
        <v>887044.44</v>
      </c>
      <c r="V18" s="58"/>
    </row>
    <row r="19" spans="1:22" ht="14.6" x14ac:dyDescent="0.4">
      <c r="A19" s="57"/>
      <c r="B19" s="371" t="s">
        <v>106</v>
      </c>
      <c r="C19" s="59" t="s">
        <v>107</v>
      </c>
      <c r="D19" s="59">
        <v>297083</v>
      </c>
      <c r="E19" s="59">
        <v>10200</v>
      </c>
      <c r="F19" s="59">
        <v>474677.78</v>
      </c>
      <c r="G19" s="59">
        <v>781961</v>
      </c>
      <c r="H19" s="57"/>
      <c r="I19" s="371" t="s">
        <v>106</v>
      </c>
      <c r="J19" s="59" t="s">
        <v>107</v>
      </c>
      <c r="K19" s="196">
        <v>263333.33299999998</v>
      </c>
      <c r="L19" s="196">
        <v>18750</v>
      </c>
      <c r="M19" s="196">
        <v>450238.89</v>
      </c>
      <c r="N19" s="196">
        <v>732322.223</v>
      </c>
      <c r="O19" s="58"/>
      <c r="P19" s="371" t="s">
        <v>106</v>
      </c>
      <c r="Q19" s="59" t="s">
        <v>107</v>
      </c>
      <c r="R19" s="196">
        <f>R16+(0.05*50*20000)</f>
        <v>475066.66666666663</v>
      </c>
      <c r="S19" s="196">
        <v>15833.333329999999</v>
      </c>
      <c r="T19" s="196">
        <f>T18</f>
        <v>394144.44</v>
      </c>
      <c r="U19" s="196">
        <f>SUM(R19:T19)</f>
        <v>885044.43999666662</v>
      </c>
      <c r="V19" s="58"/>
    </row>
    <row r="20" spans="1:22" ht="14.6" x14ac:dyDescent="0.4">
      <c r="A20" s="57"/>
      <c r="B20" s="372"/>
      <c r="C20" s="59" t="s">
        <v>108</v>
      </c>
      <c r="D20" s="59">
        <v>2000</v>
      </c>
      <c r="E20" s="59">
        <v>0</v>
      </c>
      <c r="F20" s="59">
        <v>0</v>
      </c>
      <c r="G20" s="59">
        <v>2000</v>
      </c>
      <c r="H20" s="57"/>
      <c r="I20" s="372"/>
      <c r="J20" s="59" t="s">
        <v>108</v>
      </c>
      <c r="K20" s="196">
        <v>2000</v>
      </c>
      <c r="L20" s="196">
        <v>0</v>
      </c>
      <c r="M20" s="196">
        <v>0</v>
      </c>
      <c r="N20" s="196">
        <v>2000</v>
      </c>
      <c r="O20" s="58"/>
      <c r="P20" s="372"/>
      <c r="Q20" s="59" t="s">
        <v>108</v>
      </c>
      <c r="R20" s="196">
        <f>R18-R19</f>
        <v>2000</v>
      </c>
      <c r="S20" s="196">
        <v>0</v>
      </c>
      <c r="T20" s="196">
        <v>0</v>
      </c>
      <c r="U20" s="196">
        <v>2000</v>
      </c>
      <c r="V20" s="58"/>
    </row>
    <row r="21" spans="1:22" ht="14.6" x14ac:dyDescent="0.4">
      <c r="A21" s="57"/>
      <c r="B21" s="371" t="s">
        <v>109</v>
      </c>
      <c r="C21" s="59" t="s">
        <v>115</v>
      </c>
      <c r="D21" s="59">
        <v>297083</v>
      </c>
      <c r="E21" s="59">
        <v>10200</v>
      </c>
      <c r="F21" s="59">
        <v>474677.78</v>
      </c>
      <c r="G21" s="59">
        <v>781961</v>
      </c>
      <c r="H21" s="57"/>
      <c r="I21" s="371" t="s">
        <v>109</v>
      </c>
      <c r="J21" s="59" t="s">
        <v>115</v>
      </c>
      <c r="K21" s="196">
        <f t="shared" ref="K21:N21" si="9">K19</f>
        <v>263333.33299999998</v>
      </c>
      <c r="L21" s="196">
        <f t="shared" si="9"/>
        <v>18750</v>
      </c>
      <c r="M21" s="196">
        <f t="shared" si="9"/>
        <v>450238.89</v>
      </c>
      <c r="N21" s="196">
        <f t="shared" si="9"/>
        <v>732322.223</v>
      </c>
      <c r="O21" s="58"/>
      <c r="P21" s="371" t="s">
        <v>109</v>
      </c>
      <c r="Q21" s="59" t="s">
        <v>115</v>
      </c>
      <c r="R21" s="196">
        <f>R19</f>
        <v>475066.66666666663</v>
      </c>
      <c r="S21" s="196">
        <v>15833.333329999999</v>
      </c>
      <c r="T21" s="196">
        <v>394144.44</v>
      </c>
      <c r="U21" s="196">
        <f>SUM(R21:T21)</f>
        <v>885044.43999666662</v>
      </c>
      <c r="V21" s="58"/>
    </row>
    <row r="22" spans="1:22" ht="14.6" x14ac:dyDescent="0.4">
      <c r="A22" s="57"/>
      <c r="B22" s="372"/>
      <c r="C22" s="59" t="s">
        <v>111</v>
      </c>
      <c r="D22" s="59">
        <v>108667</v>
      </c>
      <c r="E22" s="59">
        <v>2550</v>
      </c>
      <c r="F22" s="59">
        <v>0</v>
      </c>
      <c r="G22" s="59">
        <v>111217</v>
      </c>
      <c r="H22" s="57"/>
      <c r="I22" s="372"/>
      <c r="J22" s="59" t="s">
        <v>111</v>
      </c>
      <c r="K22" s="196">
        <v>108666.67</v>
      </c>
      <c r="L22" s="196">
        <v>6250</v>
      </c>
      <c r="M22" s="196">
        <v>0</v>
      </c>
      <c r="N22" s="196">
        <v>114916.67</v>
      </c>
      <c r="O22" s="58"/>
      <c r="P22" s="372"/>
      <c r="Q22" s="59" t="s">
        <v>111</v>
      </c>
      <c r="R22" s="196">
        <v>2000</v>
      </c>
      <c r="S22" s="196">
        <v>833.33333330000005</v>
      </c>
      <c r="T22" s="196">
        <v>0</v>
      </c>
      <c r="U22" s="196">
        <f>SUM(R22:T22)</f>
        <v>2833.3333333</v>
      </c>
      <c r="V22" s="58"/>
    </row>
    <row r="23" spans="1:22" ht="14.6" x14ac:dyDescent="0.4">
      <c r="A23" s="57"/>
      <c r="B23" s="379" t="s">
        <v>81</v>
      </c>
      <c r="C23" s="384"/>
      <c r="D23" s="192">
        <v>405750</v>
      </c>
      <c r="E23" s="192">
        <v>12750</v>
      </c>
      <c r="F23" s="192">
        <v>474678</v>
      </c>
      <c r="G23" s="192">
        <v>893178</v>
      </c>
      <c r="H23" s="57"/>
      <c r="I23" s="381" t="s">
        <v>81</v>
      </c>
      <c r="J23" s="382"/>
      <c r="K23" s="191">
        <f t="shared" ref="K23:M23" si="10">SUM(K21+K22)</f>
        <v>372000.00299999997</v>
      </c>
      <c r="L23" s="191">
        <f t="shared" si="10"/>
        <v>25000</v>
      </c>
      <c r="M23" s="191">
        <f t="shared" si="10"/>
        <v>450238.89</v>
      </c>
      <c r="N23" s="191">
        <f>SUM(K23:M23)</f>
        <v>847238.89299999992</v>
      </c>
      <c r="O23" s="194"/>
      <c r="P23" s="381" t="s">
        <v>81</v>
      </c>
      <c r="Q23" s="382"/>
      <c r="R23" s="191">
        <f t="shared" ref="R23:U23" si="11">SUM(R21+R22)</f>
        <v>477066.66666666663</v>
      </c>
      <c r="S23" s="191">
        <f t="shared" si="11"/>
        <v>16666.666663299999</v>
      </c>
      <c r="T23" s="191">
        <f t="shared" si="11"/>
        <v>394144.44</v>
      </c>
      <c r="U23" s="191">
        <f t="shared" si="11"/>
        <v>887877.77332996659</v>
      </c>
      <c r="V23" s="58"/>
    </row>
    <row r="24" spans="1:22" ht="14.6" x14ac:dyDescent="0.4">
      <c r="A24" s="57"/>
      <c r="B24" s="373" t="s">
        <v>173</v>
      </c>
      <c r="C24" s="374"/>
      <c r="D24" s="368" t="s">
        <v>116</v>
      </c>
      <c r="E24" s="362"/>
      <c r="F24" s="362"/>
      <c r="G24" s="363"/>
      <c r="H24" s="57"/>
      <c r="I24" s="373" t="s">
        <v>173</v>
      </c>
      <c r="J24" s="374"/>
      <c r="K24" s="368" t="s">
        <v>116</v>
      </c>
      <c r="L24" s="362"/>
      <c r="M24" s="362"/>
      <c r="N24" s="363"/>
      <c r="O24" s="58"/>
      <c r="P24" s="373" t="s">
        <v>173</v>
      </c>
      <c r="Q24" s="374"/>
      <c r="R24" s="368" t="s">
        <v>116</v>
      </c>
      <c r="S24" s="362"/>
      <c r="T24" s="362"/>
      <c r="U24" s="363"/>
      <c r="V24" s="58"/>
    </row>
    <row r="25" spans="1:22" ht="27" customHeight="1" x14ac:dyDescent="0.4">
      <c r="A25" s="57"/>
      <c r="B25" s="377"/>
      <c r="C25" s="378"/>
      <c r="D25" s="195" t="s">
        <v>4</v>
      </c>
      <c r="E25" s="195" t="s">
        <v>63</v>
      </c>
      <c r="F25" s="195" t="s">
        <v>101</v>
      </c>
      <c r="G25" s="195" t="s">
        <v>102</v>
      </c>
      <c r="H25" s="57"/>
      <c r="I25" s="377"/>
      <c r="J25" s="378"/>
      <c r="K25" s="195" t="s">
        <v>4</v>
      </c>
      <c r="L25" s="195" t="s">
        <v>63</v>
      </c>
      <c r="M25" s="195" t="s">
        <v>101</v>
      </c>
      <c r="N25" s="195" t="s">
        <v>102</v>
      </c>
      <c r="O25" s="58"/>
      <c r="P25" s="377"/>
      <c r="Q25" s="378"/>
      <c r="R25" s="195" t="s">
        <v>4</v>
      </c>
      <c r="S25" s="195" t="s">
        <v>63</v>
      </c>
      <c r="T25" s="195" t="s">
        <v>101</v>
      </c>
      <c r="U25" s="195" t="s">
        <v>102</v>
      </c>
      <c r="V25" s="58"/>
    </row>
    <row r="26" spans="1:22" ht="14.6" x14ac:dyDescent="0.4">
      <c r="A26" s="57"/>
      <c r="B26" s="371" t="s">
        <v>103</v>
      </c>
      <c r="C26" s="59" t="s">
        <v>113</v>
      </c>
      <c r="D26" s="59">
        <v>297083</v>
      </c>
      <c r="E26" s="59">
        <v>10200</v>
      </c>
      <c r="F26" s="59">
        <v>474677.78</v>
      </c>
      <c r="G26" s="59">
        <v>781961</v>
      </c>
      <c r="H26" s="57"/>
      <c r="I26" s="371" t="s">
        <v>103</v>
      </c>
      <c r="J26" s="59" t="s">
        <v>113</v>
      </c>
      <c r="K26" s="196">
        <f t="shared" ref="K26:N26" si="12">K19</f>
        <v>263333.33299999998</v>
      </c>
      <c r="L26" s="196">
        <f t="shared" si="12"/>
        <v>18750</v>
      </c>
      <c r="M26" s="196">
        <f t="shared" si="12"/>
        <v>450238.89</v>
      </c>
      <c r="N26" s="196">
        <f t="shared" si="12"/>
        <v>732322.223</v>
      </c>
      <c r="O26" s="58"/>
      <c r="P26" s="371" t="s">
        <v>103</v>
      </c>
      <c r="Q26" s="59" t="s">
        <v>113</v>
      </c>
      <c r="R26" s="196">
        <f t="shared" ref="R26:U26" si="13">R21</f>
        <v>475066.66666666663</v>
      </c>
      <c r="S26" s="196">
        <f t="shared" si="13"/>
        <v>15833.333329999999</v>
      </c>
      <c r="T26" s="196">
        <f t="shared" si="13"/>
        <v>394144.44</v>
      </c>
      <c r="U26" s="196">
        <f t="shared" si="13"/>
        <v>885044.43999666662</v>
      </c>
      <c r="V26" s="58"/>
    </row>
    <row r="27" spans="1:22" ht="14.6" x14ac:dyDescent="0.4">
      <c r="A27" s="57"/>
      <c r="B27" s="383"/>
      <c r="C27" s="59" t="s">
        <v>104</v>
      </c>
      <c r="D27" s="59">
        <v>400</v>
      </c>
      <c r="E27" s="59">
        <v>0</v>
      </c>
      <c r="F27" s="59">
        <v>16666.669999999998</v>
      </c>
      <c r="G27" s="59">
        <v>17067</v>
      </c>
      <c r="H27" s="57"/>
      <c r="I27" s="383"/>
      <c r="J27" s="59" t="s">
        <v>104</v>
      </c>
      <c r="K27" s="196">
        <v>400</v>
      </c>
      <c r="L27" s="196">
        <v>0</v>
      </c>
      <c r="M27" s="196">
        <v>16666.669999999998</v>
      </c>
      <c r="N27" s="196">
        <f>K27+M27</f>
        <v>17066.669999999998</v>
      </c>
      <c r="O27" s="58"/>
      <c r="P27" s="383"/>
      <c r="Q27" s="59" t="s">
        <v>104</v>
      </c>
      <c r="R27" s="196">
        <v>400</v>
      </c>
      <c r="S27" s="196">
        <v>0</v>
      </c>
      <c r="T27" s="196">
        <v>16666.669999999998</v>
      </c>
      <c r="U27" s="196">
        <f>SUM(R27:T27)</f>
        <v>17066.669999999998</v>
      </c>
      <c r="V27" s="58"/>
    </row>
    <row r="28" spans="1:22" ht="14.6" x14ac:dyDescent="0.4">
      <c r="A28" s="57"/>
      <c r="B28" s="372"/>
      <c r="C28" s="59" t="s">
        <v>114</v>
      </c>
      <c r="D28" s="59">
        <v>297483</v>
      </c>
      <c r="E28" s="59">
        <v>10200</v>
      </c>
      <c r="F28" s="59">
        <v>491344</v>
      </c>
      <c r="G28" s="59">
        <v>799028</v>
      </c>
      <c r="H28" s="57"/>
      <c r="I28" s="372"/>
      <c r="J28" s="59" t="s">
        <v>114</v>
      </c>
      <c r="K28" s="196">
        <f t="shared" ref="K28:N28" si="14">SUM(K26+K27)</f>
        <v>263733.33299999998</v>
      </c>
      <c r="L28" s="196">
        <f t="shared" si="14"/>
        <v>18750</v>
      </c>
      <c r="M28" s="196">
        <f t="shared" si="14"/>
        <v>466905.56</v>
      </c>
      <c r="N28" s="196">
        <f t="shared" si="14"/>
        <v>749388.89300000004</v>
      </c>
      <c r="O28" s="58"/>
      <c r="P28" s="372"/>
      <c r="Q28" s="59" t="s">
        <v>114</v>
      </c>
      <c r="R28" s="196">
        <f t="shared" ref="R28:U28" si="15">SUM(R26:R27)</f>
        <v>475466.66666666663</v>
      </c>
      <c r="S28" s="196">
        <f t="shared" si="15"/>
        <v>15833.333329999999</v>
      </c>
      <c r="T28" s="196">
        <f t="shared" si="15"/>
        <v>410811.11</v>
      </c>
      <c r="U28" s="196">
        <f t="shared" si="15"/>
        <v>902111.10999666667</v>
      </c>
      <c r="V28" s="58"/>
    </row>
    <row r="29" spans="1:22" ht="14.6" x14ac:dyDescent="0.4">
      <c r="A29" s="57"/>
      <c r="B29" s="371" t="s">
        <v>106</v>
      </c>
      <c r="C29" s="59" t="s">
        <v>107</v>
      </c>
      <c r="D29" s="59">
        <v>297483</v>
      </c>
      <c r="E29" s="59">
        <v>10200</v>
      </c>
      <c r="F29" s="59">
        <v>491344</v>
      </c>
      <c r="G29" s="59">
        <v>799028</v>
      </c>
      <c r="H29" s="57"/>
      <c r="I29" s="371" t="s">
        <v>106</v>
      </c>
      <c r="J29" s="59" t="s">
        <v>107</v>
      </c>
      <c r="K29" s="196">
        <f t="shared" ref="K29:N29" si="16">K28</f>
        <v>263733.33299999998</v>
      </c>
      <c r="L29" s="196">
        <f t="shared" si="16"/>
        <v>18750</v>
      </c>
      <c r="M29" s="196">
        <f t="shared" si="16"/>
        <v>466905.56</v>
      </c>
      <c r="N29" s="196">
        <f t="shared" si="16"/>
        <v>749388.89300000004</v>
      </c>
      <c r="O29" s="58"/>
      <c r="P29" s="371" t="s">
        <v>106</v>
      </c>
      <c r="Q29" s="59" t="s">
        <v>107</v>
      </c>
      <c r="R29" s="196">
        <f t="shared" ref="R29:U29" si="17">R28</f>
        <v>475466.66666666663</v>
      </c>
      <c r="S29" s="196">
        <f t="shared" si="17"/>
        <v>15833.333329999999</v>
      </c>
      <c r="T29" s="196">
        <f t="shared" si="17"/>
        <v>410811.11</v>
      </c>
      <c r="U29" s="196">
        <f t="shared" si="17"/>
        <v>902111.10999666667</v>
      </c>
      <c r="V29" s="58"/>
    </row>
    <row r="30" spans="1:22" ht="14.6" x14ac:dyDescent="0.4">
      <c r="A30" s="57"/>
      <c r="B30" s="372"/>
      <c r="C30" s="59" t="s">
        <v>108</v>
      </c>
      <c r="D30" s="59">
        <v>0</v>
      </c>
      <c r="E30" s="59">
        <v>0</v>
      </c>
      <c r="F30" s="59">
        <v>0</v>
      </c>
      <c r="G30" s="59">
        <v>0</v>
      </c>
      <c r="H30" s="57"/>
      <c r="I30" s="372"/>
      <c r="J30" s="59" t="s">
        <v>108</v>
      </c>
      <c r="K30" s="196">
        <v>0</v>
      </c>
      <c r="L30" s="196">
        <v>0</v>
      </c>
      <c r="M30" s="196">
        <v>0</v>
      </c>
      <c r="N30" s="196">
        <v>0</v>
      </c>
      <c r="O30" s="58"/>
      <c r="P30" s="372"/>
      <c r="Q30" s="59" t="s">
        <v>108</v>
      </c>
      <c r="R30" s="196">
        <v>0</v>
      </c>
      <c r="S30" s="196">
        <v>0</v>
      </c>
      <c r="T30" s="196">
        <v>0</v>
      </c>
      <c r="U30" s="196">
        <v>0</v>
      </c>
      <c r="V30" s="58"/>
    </row>
    <row r="31" spans="1:22" ht="14.6" x14ac:dyDescent="0.4">
      <c r="A31" s="57"/>
      <c r="B31" s="371" t="s">
        <v>109</v>
      </c>
      <c r="C31" s="59" t="s">
        <v>115</v>
      </c>
      <c r="D31" s="59">
        <v>297483</v>
      </c>
      <c r="E31" s="59">
        <v>10200</v>
      </c>
      <c r="F31" s="59">
        <v>491344</v>
      </c>
      <c r="G31" s="59">
        <v>799028</v>
      </c>
      <c r="H31" s="57"/>
      <c r="I31" s="371" t="s">
        <v>109</v>
      </c>
      <c r="J31" s="59" t="s">
        <v>115</v>
      </c>
      <c r="K31" s="196">
        <f t="shared" ref="K31:N31" si="18">SUM(K29+K30)</f>
        <v>263733.33299999998</v>
      </c>
      <c r="L31" s="196">
        <f t="shared" si="18"/>
        <v>18750</v>
      </c>
      <c r="M31" s="196">
        <f t="shared" si="18"/>
        <v>466905.56</v>
      </c>
      <c r="N31" s="196">
        <f t="shared" si="18"/>
        <v>749388.89300000004</v>
      </c>
      <c r="O31" s="58"/>
      <c r="P31" s="371" t="s">
        <v>109</v>
      </c>
      <c r="Q31" s="59" t="s">
        <v>115</v>
      </c>
      <c r="R31" s="196">
        <f t="shared" ref="R31:U31" si="19">R29</f>
        <v>475466.66666666663</v>
      </c>
      <c r="S31" s="196">
        <f t="shared" si="19"/>
        <v>15833.333329999999</v>
      </c>
      <c r="T31" s="196">
        <f t="shared" si="19"/>
        <v>410811.11</v>
      </c>
      <c r="U31" s="196">
        <f t="shared" si="19"/>
        <v>902111.10999666667</v>
      </c>
      <c r="V31" s="58"/>
    </row>
    <row r="32" spans="1:22" ht="14.6" x14ac:dyDescent="0.4">
      <c r="A32" s="57"/>
      <c r="B32" s="372"/>
      <c r="C32" s="59" t="s">
        <v>111</v>
      </c>
      <c r="D32" s="59">
        <v>108667</v>
      </c>
      <c r="E32" s="59">
        <v>2550</v>
      </c>
      <c r="F32" s="59">
        <v>0</v>
      </c>
      <c r="G32" s="59">
        <v>111217</v>
      </c>
      <c r="H32" s="57"/>
      <c r="I32" s="372"/>
      <c r="J32" s="59" t="s">
        <v>111</v>
      </c>
      <c r="K32" s="196">
        <f t="shared" ref="K32:N32" si="20">K22</f>
        <v>108666.67</v>
      </c>
      <c r="L32" s="196">
        <f t="shared" si="20"/>
        <v>6250</v>
      </c>
      <c r="M32" s="196">
        <f t="shared" si="20"/>
        <v>0</v>
      </c>
      <c r="N32" s="196">
        <f t="shared" si="20"/>
        <v>114916.67</v>
      </c>
      <c r="O32" s="58"/>
      <c r="P32" s="372"/>
      <c r="Q32" s="59" t="s">
        <v>111</v>
      </c>
      <c r="R32" s="196">
        <f t="shared" ref="R32:U32" si="21">R22</f>
        <v>2000</v>
      </c>
      <c r="S32" s="196">
        <f t="shared" si="21"/>
        <v>833.33333330000005</v>
      </c>
      <c r="T32" s="196">
        <f t="shared" si="21"/>
        <v>0</v>
      </c>
      <c r="U32" s="196">
        <f t="shared" si="21"/>
        <v>2833.3333333</v>
      </c>
      <c r="V32" s="58"/>
    </row>
    <row r="33" spans="1:22" ht="14.6" x14ac:dyDescent="0.4">
      <c r="A33" s="58"/>
      <c r="B33" s="379" t="s">
        <v>81</v>
      </c>
      <c r="C33" s="384"/>
      <c r="D33" s="192">
        <v>406150</v>
      </c>
      <c r="E33" s="192">
        <v>12750</v>
      </c>
      <c r="F33" s="192">
        <v>491344</v>
      </c>
      <c r="G33" s="192">
        <v>910244</v>
      </c>
      <c r="H33" s="57"/>
      <c r="I33" s="381" t="s">
        <v>81</v>
      </c>
      <c r="J33" s="382"/>
      <c r="K33" s="192">
        <f t="shared" ref="K33:M33" si="22">SUM(K31+K32)</f>
        <v>372400.00299999997</v>
      </c>
      <c r="L33" s="192">
        <f t="shared" si="22"/>
        <v>25000</v>
      </c>
      <c r="M33" s="192">
        <f t="shared" si="22"/>
        <v>466905.56</v>
      </c>
      <c r="N33" s="192">
        <f>SUM(K33:M33)</f>
        <v>864305.56299999997</v>
      </c>
      <c r="O33" s="193"/>
      <c r="P33" s="381" t="s">
        <v>81</v>
      </c>
      <c r="Q33" s="382"/>
      <c r="R33" s="192">
        <f t="shared" ref="R33:U33" si="23">SUM(R31:R32)</f>
        <v>477466.66666666663</v>
      </c>
      <c r="S33" s="192">
        <f t="shared" si="23"/>
        <v>16666.666663299999</v>
      </c>
      <c r="T33" s="192">
        <f t="shared" si="23"/>
        <v>410811.11</v>
      </c>
      <c r="U33" s="192">
        <f t="shared" si="23"/>
        <v>904944.44332996663</v>
      </c>
      <c r="V33" s="58"/>
    </row>
    <row r="34" spans="1:22" ht="14.6" x14ac:dyDescent="0.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7"/>
      <c r="Q34" s="57"/>
      <c r="R34" s="57"/>
      <c r="S34" s="57"/>
      <c r="T34" s="57"/>
      <c r="U34" s="57"/>
      <c r="V34" s="58"/>
    </row>
    <row r="35" spans="1:22" ht="14.6" x14ac:dyDescent="0.4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7"/>
      <c r="Q35" s="57"/>
      <c r="R35" s="57"/>
      <c r="S35" s="57"/>
      <c r="T35" s="57"/>
      <c r="U35" s="57"/>
      <c r="V35" s="58"/>
    </row>
    <row r="36" spans="1:22" ht="14.6" x14ac:dyDescent="0.4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</row>
    <row r="37" spans="1:22" ht="14.6" x14ac:dyDescent="0.4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</row>
    <row r="38" spans="1:22" ht="14.6" x14ac:dyDescent="0.4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</row>
    <row r="39" spans="1:22" ht="14.6" x14ac:dyDescent="0.4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</row>
    <row r="40" spans="1:22" ht="14.6" x14ac:dyDescent="0.4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</row>
    <row r="41" spans="1:22" ht="14.6" x14ac:dyDescent="0.4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</row>
    <row r="42" spans="1:22" ht="14.6" x14ac:dyDescent="0.4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</row>
    <row r="43" spans="1:22" ht="14.6" x14ac:dyDescent="0.4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</row>
    <row r="44" spans="1:22" ht="14.6" x14ac:dyDescent="0.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</row>
    <row r="45" spans="1:22" ht="14.6" x14ac:dyDescent="0.4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</row>
    <row r="46" spans="1:22" ht="14.6" x14ac:dyDescent="0.4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</row>
    <row r="47" spans="1:22" ht="14.6" x14ac:dyDescent="0.4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</row>
    <row r="48" spans="1:22" ht="14.6" x14ac:dyDescent="0.4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</row>
    <row r="49" spans="1:22" ht="14.6" x14ac:dyDescent="0.4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</row>
    <row r="50" spans="1:22" ht="14.6" x14ac:dyDescent="0.4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</row>
    <row r="51" spans="1:22" ht="14.6" x14ac:dyDescent="0.4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</row>
    <row r="52" spans="1:22" ht="14.6" x14ac:dyDescent="0.4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</row>
    <row r="53" spans="1:22" ht="14.6" x14ac:dyDescent="0.4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</row>
    <row r="54" spans="1:22" ht="14.6" x14ac:dyDescent="0.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</row>
    <row r="55" spans="1:22" ht="14.6" x14ac:dyDescent="0.4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</row>
    <row r="56" spans="1:22" ht="14.6" x14ac:dyDescent="0.4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</row>
    <row r="57" spans="1:22" ht="14.6" x14ac:dyDescent="0.4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</row>
    <row r="58" spans="1:22" ht="14.6" x14ac:dyDescent="0.4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</row>
    <row r="59" spans="1:22" ht="14.6" x14ac:dyDescent="0.4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</row>
    <row r="60" spans="1:22" ht="14.6" x14ac:dyDescent="0.4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</row>
    <row r="61" spans="1:22" ht="14.6" x14ac:dyDescent="0.4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</row>
    <row r="62" spans="1:22" ht="14.6" x14ac:dyDescent="0.4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</row>
    <row r="63" spans="1:22" ht="14.6" x14ac:dyDescent="0.4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</row>
    <row r="64" spans="1:22" ht="14.6" x14ac:dyDescent="0.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</row>
    <row r="65" spans="1:22" ht="14.6" x14ac:dyDescent="0.4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</row>
    <row r="66" spans="1:22" ht="14.6" x14ac:dyDescent="0.4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</row>
    <row r="67" spans="1:22" ht="14.6" x14ac:dyDescent="0.4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</row>
    <row r="68" spans="1:22" ht="14.6" x14ac:dyDescent="0.4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</row>
    <row r="69" spans="1:22" ht="14.6" x14ac:dyDescent="0.4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</row>
    <row r="70" spans="1:22" ht="14.6" x14ac:dyDescent="0.4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</row>
    <row r="71" spans="1:22" ht="14.6" x14ac:dyDescent="0.4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</row>
    <row r="72" spans="1:22" ht="14.6" x14ac:dyDescent="0.4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</row>
    <row r="73" spans="1:22" ht="14.6" x14ac:dyDescent="0.4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</row>
    <row r="74" spans="1:22" ht="14.6" x14ac:dyDescent="0.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</row>
    <row r="75" spans="1:22" ht="14.6" x14ac:dyDescent="0.4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</row>
    <row r="76" spans="1:22" ht="14.6" x14ac:dyDescent="0.4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</row>
    <row r="77" spans="1:22" ht="14.6" x14ac:dyDescent="0.4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</row>
    <row r="78" spans="1:22" ht="14.6" x14ac:dyDescent="0.4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</row>
    <row r="79" spans="1:22" ht="14.6" x14ac:dyDescent="0.4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</row>
    <row r="80" spans="1:22" ht="14.6" x14ac:dyDescent="0.4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</row>
    <row r="81" spans="1:22" ht="14.6" x14ac:dyDescent="0.4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</row>
    <row r="82" spans="1:22" ht="14.6" x14ac:dyDescent="0.4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</row>
    <row r="83" spans="1:22" ht="14.6" x14ac:dyDescent="0.4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</row>
    <row r="84" spans="1:22" ht="14.6" x14ac:dyDescent="0.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</row>
    <row r="85" spans="1:22" ht="14.6" x14ac:dyDescent="0.4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</row>
    <row r="86" spans="1:22" ht="14.6" x14ac:dyDescent="0.4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</row>
    <row r="87" spans="1:22" ht="14.6" x14ac:dyDescent="0.4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</row>
    <row r="88" spans="1:22" ht="14.6" x14ac:dyDescent="0.4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</row>
    <row r="89" spans="1:22" ht="14.6" x14ac:dyDescent="0.4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</row>
    <row r="90" spans="1:22" ht="14.6" x14ac:dyDescent="0.4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</row>
    <row r="91" spans="1:22" ht="14.6" x14ac:dyDescent="0.4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</row>
    <row r="92" spans="1:22" ht="14.6" x14ac:dyDescent="0.4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</row>
    <row r="93" spans="1:22" ht="14.6" x14ac:dyDescent="0.4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</row>
    <row r="94" spans="1:22" ht="14.6" x14ac:dyDescent="0.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</row>
    <row r="95" spans="1:22" ht="14.6" x14ac:dyDescent="0.4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</row>
    <row r="96" spans="1:22" ht="14.6" x14ac:dyDescent="0.4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</row>
    <row r="97" spans="1:22" ht="14.6" x14ac:dyDescent="0.4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</row>
    <row r="98" spans="1:22" ht="14.6" x14ac:dyDescent="0.4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</row>
    <row r="99" spans="1:22" ht="14.6" x14ac:dyDescent="0.4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</row>
    <row r="100" spans="1:22" ht="14.6" x14ac:dyDescent="0.4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</row>
    <row r="101" spans="1:22" ht="14.6" x14ac:dyDescent="0.4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</row>
    <row r="102" spans="1:22" ht="14.6" x14ac:dyDescent="0.4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</row>
    <row r="103" spans="1:22" ht="14.6" x14ac:dyDescent="0.4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</row>
    <row r="104" spans="1:22" ht="14.6" x14ac:dyDescent="0.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</row>
    <row r="105" spans="1:22" ht="14.6" x14ac:dyDescent="0.4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</row>
    <row r="106" spans="1:22" ht="14.6" x14ac:dyDescent="0.4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</row>
    <row r="107" spans="1:22" ht="14.6" x14ac:dyDescent="0.4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</row>
    <row r="108" spans="1:22" ht="14.6" x14ac:dyDescent="0.4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</row>
    <row r="109" spans="1:22" ht="14.6" x14ac:dyDescent="0.4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</row>
    <row r="110" spans="1:22" ht="14.6" x14ac:dyDescent="0.4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</row>
    <row r="111" spans="1:22" ht="14.6" x14ac:dyDescent="0.4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</row>
    <row r="112" spans="1:22" ht="14.6" x14ac:dyDescent="0.4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</row>
    <row r="113" spans="1:22" ht="14.6" x14ac:dyDescent="0.4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</row>
    <row r="114" spans="1:22" ht="14.6" x14ac:dyDescent="0.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</row>
    <row r="115" spans="1:22" ht="14.6" x14ac:dyDescent="0.4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</row>
    <row r="116" spans="1:22" ht="14.6" x14ac:dyDescent="0.4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</row>
    <row r="117" spans="1:22" ht="14.6" x14ac:dyDescent="0.4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</row>
    <row r="118" spans="1:22" ht="14.6" x14ac:dyDescent="0.4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</row>
    <row r="119" spans="1:22" ht="14.6" x14ac:dyDescent="0.4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</row>
    <row r="120" spans="1:22" ht="14.6" x14ac:dyDescent="0.4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</row>
    <row r="121" spans="1:22" ht="14.6" x14ac:dyDescent="0.4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</row>
    <row r="122" spans="1:22" ht="14.6" x14ac:dyDescent="0.4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</row>
    <row r="123" spans="1:22" ht="14.6" x14ac:dyDescent="0.4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</row>
    <row r="124" spans="1:22" ht="14.6" x14ac:dyDescent="0.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</row>
    <row r="125" spans="1:22" ht="14.6" x14ac:dyDescent="0.4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</row>
    <row r="126" spans="1:22" ht="14.6" x14ac:dyDescent="0.4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</row>
    <row r="127" spans="1:22" ht="14.6" x14ac:dyDescent="0.4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</row>
    <row r="128" spans="1:22" ht="14.6" x14ac:dyDescent="0.4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</row>
    <row r="129" spans="1:22" ht="14.6" x14ac:dyDescent="0.4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</row>
    <row r="130" spans="1:22" ht="14.6" x14ac:dyDescent="0.4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</row>
    <row r="131" spans="1:22" ht="14.6" x14ac:dyDescent="0.4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</row>
    <row r="132" spans="1:22" ht="14.6" x14ac:dyDescent="0.4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</row>
    <row r="133" spans="1:22" ht="14.6" x14ac:dyDescent="0.4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</row>
    <row r="134" spans="1:22" ht="14.6" x14ac:dyDescent="0.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</row>
    <row r="135" spans="1:22" ht="14.6" x14ac:dyDescent="0.4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</row>
    <row r="136" spans="1:22" ht="14.6" x14ac:dyDescent="0.4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</row>
    <row r="137" spans="1:22" ht="14.6" x14ac:dyDescent="0.4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</row>
    <row r="138" spans="1:22" ht="14.6" x14ac:dyDescent="0.4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</row>
    <row r="139" spans="1:22" ht="14.6" x14ac:dyDescent="0.4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</row>
    <row r="140" spans="1:22" ht="14.6" x14ac:dyDescent="0.4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</row>
    <row r="141" spans="1:22" ht="14.6" x14ac:dyDescent="0.4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</row>
    <row r="142" spans="1:22" ht="14.6" x14ac:dyDescent="0.4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</row>
    <row r="143" spans="1:22" ht="14.6" x14ac:dyDescent="0.4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</row>
    <row r="144" spans="1:22" ht="14.6" x14ac:dyDescent="0.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</row>
    <row r="145" spans="1:22" ht="14.6" x14ac:dyDescent="0.4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</row>
    <row r="146" spans="1:22" ht="14.6" x14ac:dyDescent="0.4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</row>
    <row r="147" spans="1:22" ht="14.6" x14ac:dyDescent="0.4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</row>
    <row r="148" spans="1:22" ht="14.6" x14ac:dyDescent="0.4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</row>
    <row r="149" spans="1:22" ht="14.6" x14ac:dyDescent="0.4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</row>
    <row r="150" spans="1:22" ht="14.6" x14ac:dyDescent="0.4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</row>
    <row r="151" spans="1:22" ht="14.6" x14ac:dyDescent="0.4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</row>
    <row r="152" spans="1:22" ht="14.6" x14ac:dyDescent="0.4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</row>
    <row r="153" spans="1:22" ht="14.6" x14ac:dyDescent="0.4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</row>
    <row r="154" spans="1:22" ht="14.6" x14ac:dyDescent="0.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</row>
    <row r="155" spans="1:22" ht="14.6" x14ac:dyDescent="0.4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</row>
    <row r="156" spans="1:22" ht="14.6" x14ac:dyDescent="0.4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</row>
    <row r="157" spans="1:22" ht="14.6" x14ac:dyDescent="0.4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</row>
    <row r="158" spans="1:22" ht="14.6" x14ac:dyDescent="0.4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</row>
    <row r="159" spans="1:22" ht="14.6" x14ac:dyDescent="0.4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</row>
    <row r="160" spans="1:22" ht="14.6" x14ac:dyDescent="0.4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</row>
    <row r="161" spans="1:22" ht="14.6" x14ac:dyDescent="0.4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</row>
    <row r="162" spans="1:22" ht="14.6" x14ac:dyDescent="0.4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</row>
    <row r="163" spans="1:22" ht="14.6" x14ac:dyDescent="0.4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</row>
    <row r="164" spans="1:22" ht="14.6" x14ac:dyDescent="0.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</row>
    <row r="165" spans="1:22" ht="14.6" x14ac:dyDescent="0.4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</row>
    <row r="166" spans="1:22" ht="14.6" x14ac:dyDescent="0.4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</row>
    <row r="167" spans="1:22" ht="14.6" x14ac:dyDescent="0.4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</row>
    <row r="168" spans="1:22" ht="14.6" x14ac:dyDescent="0.4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</row>
    <row r="169" spans="1:22" ht="14.6" x14ac:dyDescent="0.4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</row>
    <row r="170" spans="1:22" ht="14.6" x14ac:dyDescent="0.4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</row>
    <row r="171" spans="1:22" ht="14.6" x14ac:dyDescent="0.4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</row>
    <row r="172" spans="1:22" ht="14.6" x14ac:dyDescent="0.4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</row>
    <row r="173" spans="1:22" ht="14.6" x14ac:dyDescent="0.4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</row>
    <row r="174" spans="1:22" ht="14.6" x14ac:dyDescent="0.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</row>
    <row r="175" spans="1:22" ht="14.6" x14ac:dyDescent="0.4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</row>
    <row r="176" spans="1:22" ht="14.6" x14ac:dyDescent="0.4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</row>
    <row r="177" spans="1:22" ht="14.6" x14ac:dyDescent="0.4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</row>
    <row r="178" spans="1:22" ht="14.6" x14ac:dyDescent="0.4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</row>
    <row r="179" spans="1:22" ht="14.6" x14ac:dyDescent="0.4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</row>
    <row r="180" spans="1:22" ht="14.6" x14ac:dyDescent="0.4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</row>
    <row r="181" spans="1:22" ht="14.6" x14ac:dyDescent="0.4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</row>
    <row r="182" spans="1:22" ht="14.6" x14ac:dyDescent="0.4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</row>
    <row r="183" spans="1:22" ht="14.6" x14ac:dyDescent="0.4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</row>
    <row r="184" spans="1:22" ht="14.6" x14ac:dyDescent="0.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</row>
    <row r="185" spans="1:22" ht="14.6" x14ac:dyDescent="0.4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</row>
    <row r="186" spans="1:22" ht="14.6" x14ac:dyDescent="0.4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</row>
    <row r="187" spans="1:22" ht="14.6" x14ac:dyDescent="0.4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</row>
    <row r="188" spans="1:22" ht="14.6" x14ac:dyDescent="0.4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</row>
    <row r="189" spans="1:22" ht="14.6" x14ac:dyDescent="0.4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</row>
    <row r="190" spans="1:22" ht="14.6" x14ac:dyDescent="0.4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</row>
    <row r="191" spans="1:22" ht="14.6" x14ac:dyDescent="0.4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</row>
    <row r="192" spans="1:22" ht="14.6" x14ac:dyDescent="0.4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</row>
    <row r="193" spans="1:22" ht="14.6" x14ac:dyDescent="0.4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</row>
    <row r="194" spans="1:22" ht="14.6" x14ac:dyDescent="0.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</row>
    <row r="195" spans="1:22" ht="14.6" x14ac:dyDescent="0.4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</row>
    <row r="196" spans="1:22" ht="14.6" x14ac:dyDescent="0.4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</row>
    <row r="197" spans="1:22" ht="14.6" x14ac:dyDescent="0.4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</row>
    <row r="198" spans="1:22" ht="14.6" x14ac:dyDescent="0.4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</row>
    <row r="199" spans="1:22" ht="14.6" x14ac:dyDescent="0.4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</row>
    <row r="200" spans="1:22" ht="14.6" x14ac:dyDescent="0.4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</row>
    <row r="201" spans="1:22" ht="14.6" x14ac:dyDescent="0.4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</row>
    <row r="202" spans="1:22" ht="14.6" x14ac:dyDescent="0.4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</row>
    <row r="203" spans="1:22" ht="14.6" x14ac:dyDescent="0.4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</row>
    <row r="204" spans="1:22" ht="14.6" x14ac:dyDescent="0.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</row>
    <row r="205" spans="1:22" ht="14.6" x14ac:dyDescent="0.4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</row>
    <row r="206" spans="1:22" ht="14.6" x14ac:dyDescent="0.4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</row>
    <row r="207" spans="1:22" ht="14.6" x14ac:dyDescent="0.4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</row>
    <row r="208" spans="1:22" ht="14.6" x14ac:dyDescent="0.4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</row>
    <row r="209" spans="1:22" ht="14.6" x14ac:dyDescent="0.4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</row>
    <row r="210" spans="1:22" ht="14.6" x14ac:dyDescent="0.4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</row>
    <row r="211" spans="1:22" ht="14.6" x14ac:dyDescent="0.4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</row>
    <row r="212" spans="1:22" ht="14.6" x14ac:dyDescent="0.4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</row>
    <row r="213" spans="1:22" ht="14.6" x14ac:dyDescent="0.4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</row>
    <row r="214" spans="1:22" ht="14.6" x14ac:dyDescent="0.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</row>
    <row r="215" spans="1:22" ht="14.6" x14ac:dyDescent="0.4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</row>
    <row r="216" spans="1:22" ht="14.6" x14ac:dyDescent="0.4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</row>
    <row r="217" spans="1:22" ht="14.6" x14ac:dyDescent="0.4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</row>
    <row r="218" spans="1:22" ht="14.6" x14ac:dyDescent="0.4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</row>
    <row r="219" spans="1:22" ht="14.6" x14ac:dyDescent="0.4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</row>
    <row r="220" spans="1:22" ht="14.6" x14ac:dyDescent="0.4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</row>
    <row r="221" spans="1:22" ht="14.6" x14ac:dyDescent="0.4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</row>
    <row r="222" spans="1:22" ht="14.6" x14ac:dyDescent="0.4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</row>
    <row r="223" spans="1:22" ht="14.6" x14ac:dyDescent="0.4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</row>
    <row r="224" spans="1:22" ht="14.6" x14ac:dyDescent="0.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</row>
    <row r="225" spans="1:22" ht="14.6" x14ac:dyDescent="0.4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</row>
    <row r="226" spans="1:22" ht="14.6" x14ac:dyDescent="0.4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</row>
    <row r="227" spans="1:22" ht="14.6" x14ac:dyDescent="0.4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</row>
    <row r="228" spans="1:22" ht="14.6" x14ac:dyDescent="0.4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</row>
    <row r="229" spans="1:22" ht="14.6" x14ac:dyDescent="0.4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</row>
    <row r="230" spans="1:22" ht="14.6" x14ac:dyDescent="0.4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</row>
    <row r="231" spans="1:22" ht="14.6" x14ac:dyDescent="0.4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</row>
    <row r="232" spans="1:22" ht="14.6" x14ac:dyDescent="0.4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</row>
    <row r="233" spans="1:22" ht="14.6" x14ac:dyDescent="0.4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</row>
    <row r="234" spans="1:22" ht="14.6" x14ac:dyDescent="0.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</row>
    <row r="235" spans="1:22" ht="14.6" x14ac:dyDescent="0.4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</row>
    <row r="236" spans="1:22" ht="14.6" x14ac:dyDescent="0.4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</row>
    <row r="237" spans="1:22" ht="14.6" x14ac:dyDescent="0.4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</row>
    <row r="238" spans="1:22" ht="14.6" x14ac:dyDescent="0.4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</row>
    <row r="239" spans="1:22" ht="14.6" x14ac:dyDescent="0.4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</row>
    <row r="240" spans="1:22" ht="14.6" x14ac:dyDescent="0.4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</row>
    <row r="241" spans="1:22" ht="14.6" x14ac:dyDescent="0.4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</row>
    <row r="242" spans="1:22" ht="14.6" x14ac:dyDescent="0.4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</row>
    <row r="243" spans="1:22" ht="14.6" x14ac:dyDescent="0.4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</row>
    <row r="244" spans="1:22" ht="14.6" x14ac:dyDescent="0.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</row>
    <row r="245" spans="1:22" ht="14.6" x14ac:dyDescent="0.4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</row>
    <row r="246" spans="1:22" ht="14.6" x14ac:dyDescent="0.4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</row>
    <row r="247" spans="1:22" ht="14.6" x14ac:dyDescent="0.4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</row>
    <row r="248" spans="1:22" ht="14.6" x14ac:dyDescent="0.4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</row>
    <row r="249" spans="1:22" ht="14.6" x14ac:dyDescent="0.4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</row>
    <row r="250" spans="1:22" ht="14.6" x14ac:dyDescent="0.4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</row>
    <row r="251" spans="1:22" ht="14.6" x14ac:dyDescent="0.4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</row>
    <row r="252" spans="1:22" ht="14.6" x14ac:dyDescent="0.4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</row>
    <row r="253" spans="1:22" ht="14.6" x14ac:dyDescent="0.4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</row>
    <row r="254" spans="1:22" ht="14.6" x14ac:dyDescent="0.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</row>
    <row r="255" spans="1:22" ht="14.6" x14ac:dyDescent="0.4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</row>
    <row r="256" spans="1:22" ht="14.6" x14ac:dyDescent="0.4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</row>
    <row r="257" spans="1:22" ht="14.6" x14ac:dyDescent="0.4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</row>
    <row r="258" spans="1:22" ht="14.6" x14ac:dyDescent="0.4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</row>
    <row r="259" spans="1:22" ht="14.6" x14ac:dyDescent="0.4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</row>
    <row r="260" spans="1:22" ht="14.6" x14ac:dyDescent="0.4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</row>
    <row r="261" spans="1:22" ht="14.6" x14ac:dyDescent="0.4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</row>
    <row r="262" spans="1:22" ht="14.6" x14ac:dyDescent="0.4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</row>
    <row r="263" spans="1:22" ht="14.6" x14ac:dyDescent="0.4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</row>
    <row r="264" spans="1:22" ht="14.6" x14ac:dyDescent="0.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</row>
    <row r="265" spans="1:22" ht="14.6" x14ac:dyDescent="0.4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</row>
    <row r="266" spans="1:22" ht="14.6" x14ac:dyDescent="0.4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</row>
    <row r="267" spans="1:22" ht="14.6" x14ac:dyDescent="0.4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</row>
    <row r="268" spans="1:22" ht="14.6" x14ac:dyDescent="0.4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</row>
    <row r="269" spans="1:22" ht="14.6" x14ac:dyDescent="0.4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</row>
    <row r="270" spans="1:22" ht="14.6" x14ac:dyDescent="0.4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</row>
    <row r="271" spans="1:22" ht="14.6" x14ac:dyDescent="0.4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</row>
    <row r="272" spans="1:22" ht="14.6" x14ac:dyDescent="0.4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</row>
    <row r="273" spans="1:22" ht="14.6" x14ac:dyDescent="0.4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</row>
    <row r="274" spans="1:22" ht="14.6" x14ac:dyDescent="0.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</row>
    <row r="275" spans="1:22" ht="14.6" x14ac:dyDescent="0.4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</row>
    <row r="276" spans="1:22" ht="14.6" x14ac:dyDescent="0.4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</row>
    <row r="277" spans="1:22" ht="14.6" x14ac:dyDescent="0.4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</row>
    <row r="278" spans="1:22" ht="14.6" x14ac:dyDescent="0.4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</row>
    <row r="279" spans="1:22" ht="14.6" x14ac:dyDescent="0.4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</row>
    <row r="280" spans="1:22" ht="14.6" x14ac:dyDescent="0.4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</row>
    <row r="281" spans="1:22" ht="14.6" x14ac:dyDescent="0.4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</row>
    <row r="282" spans="1:22" ht="14.6" x14ac:dyDescent="0.4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</row>
    <row r="283" spans="1:22" ht="14.6" x14ac:dyDescent="0.4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</row>
    <row r="284" spans="1:22" ht="14.6" x14ac:dyDescent="0.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</row>
    <row r="285" spans="1:22" ht="14.6" x14ac:dyDescent="0.4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</row>
    <row r="286" spans="1:22" ht="14.6" x14ac:dyDescent="0.4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</row>
    <row r="287" spans="1:22" ht="14.6" x14ac:dyDescent="0.4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</row>
    <row r="288" spans="1:22" ht="14.6" x14ac:dyDescent="0.4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</row>
    <row r="289" spans="1:22" ht="14.6" x14ac:dyDescent="0.4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</row>
    <row r="290" spans="1:22" ht="14.6" x14ac:dyDescent="0.4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</row>
    <row r="291" spans="1:22" ht="14.6" x14ac:dyDescent="0.4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</row>
    <row r="292" spans="1:22" ht="14.6" x14ac:dyDescent="0.4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</row>
    <row r="293" spans="1:22" ht="14.6" x14ac:dyDescent="0.4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</row>
    <row r="294" spans="1:22" ht="14.6" x14ac:dyDescent="0.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</row>
    <row r="295" spans="1:22" ht="14.6" x14ac:dyDescent="0.4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</row>
    <row r="296" spans="1:22" ht="14.6" x14ac:dyDescent="0.4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</row>
    <row r="297" spans="1:22" ht="14.6" x14ac:dyDescent="0.4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</row>
    <row r="298" spans="1:22" ht="14.6" x14ac:dyDescent="0.4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</row>
    <row r="299" spans="1:22" ht="14.6" x14ac:dyDescent="0.4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</row>
    <row r="300" spans="1:22" ht="14.6" x14ac:dyDescent="0.4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</row>
    <row r="301" spans="1:22" ht="14.6" x14ac:dyDescent="0.4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</row>
    <row r="302" spans="1:22" ht="14.6" x14ac:dyDescent="0.4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</row>
    <row r="303" spans="1:22" ht="14.6" x14ac:dyDescent="0.4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</row>
    <row r="304" spans="1:22" ht="14.6" x14ac:dyDescent="0.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</row>
    <row r="305" spans="1:22" ht="14.6" x14ac:dyDescent="0.4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</row>
    <row r="306" spans="1:22" ht="14.6" x14ac:dyDescent="0.4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</row>
    <row r="307" spans="1:22" ht="14.6" x14ac:dyDescent="0.4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</row>
    <row r="308" spans="1:22" ht="14.6" x14ac:dyDescent="0.4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</row>
    <row r="309" spans="1:22" ht="14.6" x14ac:dyDescent="0.4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</row>
    <row r="310" spans="1:22" ht="14.6" x14ac:dyDescent="0.4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</row>
    <row r="311" spans="1:22" ht="14.6" x14ac:dyDescent="0.4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</row>
    <row r="312" spans="1:22" ht="14.6" x14ac:dyDescent="0.4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</row>
    <row r="313" spans="1:22" ht="14.6" x14ac:dyDescent="0.4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</row>
    <row r="314" spans="1:22" ht="14.6" x14ac:dyDescent="0.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</row>
    <row r="315" spans="1:22" ht="14.6" x14ac:dyDescent="0.4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</row>
    <row r="316" spans="1:22" ht="14.6" x14ac:dyDescent="0.4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</row>
    <row r="317" spans="1:22" ht="14.6" x14ac:dyDescent="0.4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</row>
    <row r="318" spans="1:22" ht="14.6" x14ac:dyDescent="0.4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</row>
    <row r="319" spans="1:22" ht="14.6" x14ac:dyDescent="0.4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</row>
    <row r="320" spans="1:22" ht="14.6" x14ac:dyDescent="0.4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</row>
    <row r="321" spans="1:22" ht="14.6" x14ac:dyDescent="0.4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</row>
    <row r="322" spans="1:22" ht="14.6" x14ac:dyDescent="0.4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</row>
    <row r="323" spans="1:22" ht="14.6" x14ac:dyDescent="0.4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</row>
    <row r="324" spans="1:22" ht="14.6" x14ac:dyDescent="0.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</row>
    <row r="325" spans="1:22" ht="14.6" x14ac:dyDescent="0.4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</row>
    <row r="326" spans="1:22" ht="14.6" x14ac:dyDescent="0.4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</row>
    <row r="327" spans="1:22" ht="14.6" x14ac:dyDescent="0.4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</row>
    <row r="328" spans="1:22" ht="14.6" x14ac:dyDescent="0.4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</row>
    <row r="329" spans="1:22" ht="14.6" x14ac:dyDescent="0.4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</row>
    <row r="330" spans="1:22" ht="14.6" x14ac:dyDescent="0.4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</row>
    <row r="331" spans="1:22" ht="14.6" x14ac:dyDescent="0.4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</row>
    <row r="332" spans="1:22" ht="14.6" x14ac:dyDescent="0.4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</row>
    <row r="333" spans="1:22" ht="14.6" x14ac:dyDescent="0.4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</row>
    <row r="334" spans="1:22" ht="14.6" x14ac:dyDescent="0.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</row>
    <row r="335" spans="1:22" ht="14.6" x14ac:dyDescent="0.4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</row>
    <row r="336" spans="1:22" ht="14.6" x14ac:dyDescent="0.4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</row>
    <row r="337" spans="1:22" ht="14.6" x14ac:dyDescent="0.4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</row>
    <row r="338" spans="1:22" ht="14.6" x14ac:dyDescent="0.4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</row>
    <row r="339" spans="1:22" ht="14.6" x14ac:dyDescent="0.4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</row>
    <row r="340" spans="1:22" ht="14.6" x14ac:dyDescent="0.4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</row>
    <row r="341" spans="1:22" ht="14.6" x14ac:dyDescent="0.4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</row>
    <row r="342" spans="1:22" ht="14.6" x14ac:dyDescent="0.4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</row>
    <row r="343" spans="1:22" ht="14.6" x14ac:dyDescent="0.4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</row>
    <row r="344" spans="1:22" ht="14.6" x14ac:dyDescent="0.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</row>
    <row r="345" spans="1:22" ht="14.6" x14ac:dyDescent="0.4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</row>
    <row r="346" spans="1:22" ht="14.6" x14ac:dyDescent="0.4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</row>
    <row r="347" spans="1:22" ht="14.6" x14ac:dyDescent="0.4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</row>
    <row r="348" spans="1:22" ht="14.6" x14ac:dyDescent="0.4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</row>
    <row r="349" spans="1:22" ht="14.6" x14ac:dyDescent="0.4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</row>
    <row r="350" spans="1:22" ht="14.6" x14ac:dyDescent="0.4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</row>
    <row r="351" spans="1:22" ht="14.6" x14ac:dyDescent="0.4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</row>
    <row r="352" spans="1:22" ht="14.6" x14ac:dyDescent="0.4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</row>
    <row r="353" spans="1:22" ht="14.6" x14ac:dyDescent="0.4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</row>
    <row r="354" spans="1:22" ht="14.6" x14ac:dyDescent="0.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</row>
    <row r="355" spans="1:22" ht="14.6" x14ac:dyDescent="0.4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</row>
    <row r="356" spans="1:22" ht="14.6" x14ac:dyDescent="0.4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</row>
    <row r="357" spans="1:22" ht="14.6" x14ac:dyDescent="0.4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</row>
    <row r="358" spans="1:22" ht="14.6" x14ac:dyDescent="0.4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</row>
    <row r="359" spans="1:22" ht="14.6" x14ac:dyDescent="0.4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</row>
    <row r="360" spans="1:22" ht="14.6" x14ac:dyDescent="0.4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</row>
    <row r="361" spans="1:22" ht="14.6" x14ac:dyDescent="0.4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</row>
    <row r="362" spans="1:22" ht="14.6" x14ac:dyDescent="0.4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</row>
    <row r="363" spans="1:22" ht="14.6" x14ac:dyDescent="0.4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</row>
    <row r="364" spans="1:22" ht="14.6" x14ac:dyDescent="0.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</row>
    <row r="365" spans="1:22" ht="14.6" x14ac:dyDescent="0.4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</row>
    <row r="366" spans="1:22" ht="14.6" x14ac:dyDescent="0.4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</row>
    <row r="367" spans="1:22" ht="14.6" x14ac:dyDescent="0.4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</row>
    <row r="368" spans="1:22" ht="14.6" x14ac:dyDescent="0.4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</row>
    <row r="369" spans="1:22" ht="14.6" x14ac:dyDescent="0.4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</row>
    <row r="370" spans="1:22" ht="14.6" x14ac:dyDescent="0.4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</row>
    <row r="371" spans="1:22" ht="14.6" x14ac:dyDescent="0.4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</row>
    <row r="372" spans="1:22" ht="14.6" x14ac:dyDescent="0.4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</row>
    <row r="373" spans="1:22" ht="14.6" x14ac:dyDescent="0.4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</row>
    <row r="374" spans="1:22" ht="14.6" x14ac:dyDescent="0.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</row>
    <row r="375" spans="1:22" ht="14.6" x14ac:dyDescent="0.4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</row>
    <row r="376" spans="1:22" ht="14.6" x14ac:dyDescent="0.4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</row>
    <row r="377" spans="1:22" ht="14.6" x14ac:dyDescent="0.4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</row>
    <row r="378" spans="1:22" ht="14.6" x14ac:dyDescent="0.4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</row>
    <row r="379" spans="1:22" ht="14.6" x14ac:dyDescent="0.4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</row>
    <row r="380" spans="1:22" ht="14.6" x14ac:dyDescent="0.4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</row>
    <row r="381" spans="1:22" ht="14.6" x14ac:dyDescent="0.4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</row>
    <row r="382" spans="1:22" ht="14.6" x14ac:dyDescent="0.4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</row>
    <row r="383" spans="1:22" ht="14.6" x14ac:dyDescent="0.4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</row>
    <row r="384" spans="1:22" ht="14.6" x14ac:dyDescent="0.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</row>
    <row r="385" spans="1:22" ht="14.6" x14ac:dyDescent="0.4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</row>
    <row r="386" spans="1:22" ht="14.6" x14ac:dyDescent="0.4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</row>
    <row r="387" spans="1:22" ht="14.6" x14ac:dyDescent="0.4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</row>
    <row r="388" spans="1:22" ht="14.6" x14ac:dyDescent="0.4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</row>
    <row r="389" spans="1:22" ht="14.6" x14ac:dyDescent="0.4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</row>
    <row r="390" spans="1:22" ht="14.6" x14ac:dyDescent="0.4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</row>
    <row r="391" spans="1:22" ht="14.6" x14ac:dyDescent="0.4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</row>
    <row r="392" spans="1:22" ht="14.6" x14ac:dyDescent="0.4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</row>
    <row r="393" spans="1:22" ht="14.6" x14ac:dyDescent="0.4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</row>
    <row r="394" spans="1:22" ht="14.6" x14ac:dyDescent="0.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</row>
    <row r="395" spans="1:22" ht="14.6" x14ac:dyDescent="0.4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</row>
    <row r="396" spans="1:22" ht="14.6" x14ac:dyDescent="0.4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</row>
    <row r="397" spans="1:22" ht="14.6" x14ac:dyDescent="0.4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</row>
    <row r="398" spans="1:22" ht="14.6" x14ac:dyDescent="0.4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</row>
    <row r="399" spans="1:22" ht="14.6" x14ac:dyDescent="0.4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</row>
    <row r="400" spans="1:22" ht="14.6" x14ac:dyDescent="0.4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</row>
    <row r="401" spans="1:22" ht="14.6" x14ac:dyDescent="0.4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</row>
    <row r="402" spans="1:22" ht="14.6" x14ac:dyDescent="0.4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</row>
    <row r="403" spans="1:22" ht="14.6" x14ac:dyDescent="0.4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</row>
    <row r="404" spans="1:22" ht="14.6" x14ac:dyDescent="0.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</row>
    <row r="405" spans="1:22" ht="14.6" x14ac:dyDescent="0.4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</row>
    <row r="406" spans="1:22" ht="14.6" x14ac:dyDescent="0.4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</row>
    <row r="407" spans="1:22" ht="14.6" x14ac:dyDescent="0.4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</row>
    <row r="408" spans="1:22" ht="14.6" x14ac:dyDescent="0.4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</row>
    <row r="409" spans="1:22" ht="14.6" x14ac:dyDescent="0.4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</row>
    <row r="410" spans="1:22" ht="14.6" x14ac:dyDescent="0.4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</row>
    <row r="411" spans="1:22" ht="14.6" x14ac:dyDescent="0.4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</row>
    <row r="412" spans="1:22" ht="14.6" x14ac:dyDescent="0.4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</row>
    <row r="413" spans="1:22" ht="14.6" x14ac:dyDescent="0.4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</row>
    <row r="414" spans="1:22" ht="14.6" x14ac:dyDescent="0.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</row>
    <row r="415" spans="1:22" ht="14.6" x14ac:dyDescent="0.4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</row>
    <row r="416" spans="1:22" ht="14.6" x14ac:dyDescent="0.4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</row>
    <row r="417" spans="1:22" ht="14.6" x14ac:dyDescent="0.4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</row>
    <row r="418" spans="1:22" ht="14.6" x14ac:dyDescent="0.4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</row>
    <row r="419" spans="1:22" ht="14.6" x14ac:dyDescent="0.4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</row>
    <row r="420" spans="1:22" ht="14.6" x14ac:dyDescent="0.4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</row>
    <row r="421" spans="1:22" ht="14.6" x14ac:dyDescent="0.4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</row>
    <row r="422" spans="1:22" ht="14.6" x14ac:dyDescent="0.4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</row>
    <row r="423" spans="1:22" ht="14.6" x14ac:dyDescent="0.4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</row>
    <row r="424" spans="1:22" ht="14.6" x14ac:dyDescent="0.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</row>
    <row r="425" spans="1:22" ht="14.6" x14ac:dyDescent="0.4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</row>
    <row r="426" spans="1:22" ht="14.6" x14ac:dyDescent="0.4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</row>
    <row r="427" spans="1:22" ht="14.6" x14ac:dyDescent="0.4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</row>
    <row r="428" spans="1:22" ht="14.6" x14ac:dyDescent="0.4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</row>
    <row r="429" spans="1:22" ht="14.6" x14ac:dyDescent="0.4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</row>
    <row r="430" spans="1:22" ht="14.6" x14ac:dyDescent="0.4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</row>
    <row r="431" spans="1:22" ht="14.6" x14ac:dyDescent="0.4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</row>
    <row r="432" spans="1:22" ht="14.6" x14ac:dyDescent="0.4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</row>
    <row r="433" spans="1:22" ht="14.6" x14ac:dyDescent="0.4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</row>
    <row r="434" spans="1:22" ht="14.6" x14ac:dyDescent="0.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</row>
    <row r="435" spans="1:22" ht="14.6" x14ac:dyDescent="0.4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</row>
    <row r="436" spans="1:22" ht="14.6" x14ac:dyDescent="0.4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</row>
    <row r="437" spans="1:22" ht="14.6" x14ac:dyDescent="0.4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</row>
    <row r="438" spans="1:22" ht="14.6" x14ac:dyDescent="0.4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</row>
    <row r="439" spans="1:22" ht="14.6" x14ac:dyDescent="0.4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</row>
    <row r="440" spans="1:22" ht="14.6" x14ac:dyDescent="0.4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</row>
    <row r="441" spans="1:22" ht="14.6" x14ac:dyDescent="0.4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</row>
    <row r="442" spans="1:22" ht="14.6" x14ac:dyDescent="0.4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</row>
    <row r="443" spans="1:22" ht="14.6" x14ac:dyDescent="0.4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</row>
    <row r="444" spans="1:22" ht="14.6" x14ac:dyDescent="0.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</row>
    <row r="445" spans="1:22" ht="14.6" x14ac:dyDescent="0.4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</row>
    <row r="446" spans="1:22" ht="14.6" x14ac:dyDescent="0.4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</row>
    <row r="447" spans="1:22" ht="14.6" x14ac:dyDescent="0.4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</row>
    <row r="448" spans="1:22" ht="14.6" x14ac:dyDescent="0.4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</row>
    <row r="449" spans="1:22" ht="14.6" x14ac:dyDescent="0.4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</row>
    <row r="450" spans="1:22" ht="14.6" x14ac:dyDescent="0.4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</row>
    <row r="451" spans="1:22" ht="14.6" x14ac:dyDescent="0.4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</row>
    <row r="452" spans="1:22" ht="14.6" x14ac:dyDescent="0.4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</row>
    <row r="453" spans="1:22" ht="14.6" x14ac:dyDescent="0.4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</row>
    <row r="454" spans="1:22" ht="14.6" x14ac:dyDescent="0.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</row>
    <row r="455" spans="1:22" ht="14.6" x14ac:dyDescent="0.4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</row>
    <row r="456" spans="1:22" ht="14.6" x14ac:dyDescent="0.4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</row>
    <row r="457" spans="1:22" ht="14.6" x14ac:dyDescent="0.4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</row>
    <row r="458" spans="1:22" ht="14.6" x14ac:dyDescent="0.4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</row>
    <row r="459" spans="1:22" ht="14.6" x14ac:dyDescent="0.4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</row>
    <row r="460" spans="1:22" ht="14.6" x14ac:dyDescent="0.4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</row>
    <row r="461" spans="1:22" ht="14.6" x14ac:dyDescent="0.4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</row>
    <row r="462" spans="1:22" ht="14.6" x14ac:dyDescent="0.4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</row>
    <row r="463" spans="1:22" ht="14.6" x14ac:dyDescent="0.4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</row>
    <row r="464" spans="1:22" ht="14.6" x14ac:dyDescent="0.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</row>
    <row r="465" spans="1:22" ht="14.6" x14ac:dyDescent="0.4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</row>
    <row r="466" spans="1:22" ht="14.6" x14ac:dyDescent="0.4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</row>
    <row r="467" spans="1:22" ht="14.6" x14ac:dyDescent="0.4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</row>
    <row r="468" spans="1:22" ht="14.6" x14ac:dyDescent="0.4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</row>
    <row r="469" spans="1:22" ht="14.6" x14ac:dyDescent="0.4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</row>
    <row r="470" spans="1:22" ht="14.6" x14ac:dyDescent="0.4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</row>
    <row r="471" spans="1:22" ht="14.6" x14ac:dyDescent="0.4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</row>
    <row r="472" spans="1:22" ht="14.6" x14ac:dyDescent="0.4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</row>
    <row r="473" spans="1:22" ht="14.6" x14ac:dyDescent="0.4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</row>
    <row r="474" spans="1:22" ht="14.6" x14ac:dyDescent="0.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</row>
    <row r="475" spans="1:22" ht="14.6" x14ac:dyDescent="0.4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</row>
    <row r="476" spans="1:22" ht="14.6" x14ac:dyDescent="0.4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</row>
    <row r="477" spans="1:22" ht="14.6" x14ac:dyDescent="0.4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</row>
    <row r="478" spans="1:22" ht="14.6" x14ac:dyDescent="0.4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</row>
    <row r="479" spans="1:22" ht="14.6" x14ac:dyDescent="0.4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</row>
    <row r="480" spans="1:22" ht="14.6" x14ac:dyDescent="0.4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</row>
    <row r="481" spans="1:22" ht="14.6" x14ac:dyDescent="0.4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</row>
    <row r="482" spans="1:22" ht="14.6" x14ac:dyDescent="0.4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</row>
    <row r="483" spans="1:22" ht="14.6" x14ac:dyDescent="0.4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</row>
    <row r="484" spans="1:22" ht="14.6" x14ac:dyDescent="0.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</row>
    <row r="485" spans="1:22" ht="14.6" x14ac:dyDescent="0.4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</row>
    <row r="486" spans="1:22" ht="14.6" x14ac:dyDescent="0.4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</row>
    <row r="487" spans="1:22" ht="14.6" x14ac:dyDescent="0.4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</row>
    <row r="488" spans="1:22" ht="14.6" x14ac:dyDescent="0.4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</row>
    <row r="489" spans="1:22" ht="14.6" x14ac:dyDescent="0.4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</row>
    <row r="490" spans="1:22" ht="14.6" x14ac:dyDescent="0.4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</row>
    <row r="491" spans="1:22" ht="14.6" x14ac:dyDescent="0.4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</row>
    <row r="492" spans="1:22" ht="14.6" x14ac:dyDescent="0.4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</row>
    <row r="493" spans="1:22" ht="14.6" x14ac:dyDescent="0.4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</row>
    <row r="494" spans="1:22" ht="14.6" x14ac:dyDescent="0.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</row>
    <row r="495" spans="1:22" ht="14.6" x14ac:dyDescent="0.4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</row>
    <row r="496" spans="1:22" ht="14.6" x14ac:dyDescent="0.4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</row>
    <row r="497" spans="1:22" ht="14.6" x14ac:dyDescent="0.4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</row>
    <row r="498" spans="1:22" ht="14.6" x14ac:dyDescent="0.4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</row>
    <row r="499" spans="1:22" ht="14.6" x14ac:dyDescent="0.4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</row>
    <row r="500" spans="1:22" ht="14.6" x14ac:dyDescent="0.4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</row>
    <row r="501" spans="1:22" ht="14.6" x14ac:dyDescent="0.4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</row>
    <row r="502" spans="1:22" ht="14.6" x14ac:dyDescent="0.4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</row>
    <row r="503" spans="1:22" ht="14.6" x14ac:dyDescent="0.4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</row>
    <row r="504" spans="1:22" ht="14.6" x14ac:dyDescent="0.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</row>
    <row r="505" spans="1:22" ht="14.6" x14ac:dyDescent="0.4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</row>
    <row r="506" spans="1:22" ht="14.6" x14ac:dyDescent="0.4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</row>
    <row r="507" spans="1:22" ht="14.6" x14ac:dyDescent="0.4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</row>
    <row r="508" spans="1:22" ht="14.6" x14ac:dyDescent="0.4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</row>
    <row r="509" spans="1:22" ht="14.6" x14ac:dyDescent="0.4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</row>
    <row r="510" spans="1:22" ht="14.6" x14ac:dyDescent="0.4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</row>
    <row r="511" spans="1:22" ht="14.6" x14ac:dyDescent="0.4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</row>
    <row r="512" spans="1:22" ht="14.6" x14ac:dyDescent="0.4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</row>
    <row r="513" spans="1:22" ht="14.6" x14ac:dyDescent="0.4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</row>
    <row r="514" spans="1:22" ht="14.6" x14ac:dyDescent="0.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</row>
    <row r="515" spans="1:22" ht="14.6" x14ac:dyDescent="0.4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</row>
    <row r="516" spans="1:22" ht="14.6" x14ac:dyDescent="0.4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</row>
    <row r="517" spans="1:22" ht="14.6" x14ac:dyDescent="0.4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</row>
    <row r="518" spans="1:22" ht="14.6" x14ac:dyDescent="0.4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</row>
    <row r="519" spans="1:22" ht="14.6" x14ac:dyDescent="0.4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</row>
    <row r="520" spans="1:22" ht="14.6" x14ac:dyDescent="0.4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</row>
    <row r="521" spans="1:22" ht="14.6" x14ac:dyDescent="0.4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</row>
    <row r="522" spans="1:22" ht="14.6" x14ac:dyDescent="0.4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</row>
    <row r="523" spans="1:22" ht="14.6" x14ac:dyDescent="0.4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</row>
    <row r="524" spans="1:22" ht="14.6" x14ac:dyDescent="0.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</row>
    <row r="525" spans="1:22" ht="14.6" x14ac:dyDescent="0.4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</row>
    <row r="526" spans="1:22" ht="14.6" x14ac:dyDescent="0.4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</row>
    <row r="527" spans="1:22" ht="14.6" x14ac:dyDescent="0.4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</row>
    <row r="528" spans="1:22" ht="14.6" x14ac:dyDescent="0.4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</row>
    <row r="529" spans="1:22" ht="14.6" x14ac:dyDescent="0.4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</row>
    <row r="530" spans="1:22" ht="14.6" x14ac:dyDescent="0.4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</row>
    <row r="531" spans="1:22" ht="14.6" x14ac:dyDescent="0.4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</row>
    <row r="532" spans="1:22" ht="14.6" x14ac:dyDescent="0.4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</row>
    <row r="533" spans="1:22" ht="14.6" x14ac:dyDescent="0.4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</row>
    <row r="534" spans="1:22" ht="14.6" x14ac:dyDescent="0.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</row>
    <row r="535" spans="1:22" ht="14.6" x14ac:dyDescent="0.4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</row>
    <row r="536" spans="1:22" ht="14.6" x14ac:dyDescent="0.4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</row>
    <row r="537" spans="1:22" ht="14.6" x14ac:dyDescent="0.4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</row>
    <row r="538" spans="1:22" ht="14.6" x14ac:dyDescent="0.4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</row>
    <row r="539" spans="1:22" ht="14.6" x14ac:dyDescent="0.4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</row>
    <row r="540" spans="1:22" ht="14.6" x14ac:dyDescent="0.4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</row>
    <row r="541" spans="1:22" ht="14.6" x14ac:dyDescent="0.4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</row>
    <row r="542" spans="1:22" ht="14.6" x14ac:dyDescent="0.4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</row>
    <row r="543" spans="1:22" ht="14.6" x14ac:dyDescent="0.4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</row>
    <row r="544" spans="1:22" ht="14.6" x14ac:dyDescent="0.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</row>
    <row r="545" spans="1:22" ht="14.6" x14ac:dyDescent="0.4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</row>
    <row r="546" spans="1:22" ht="14.6" x14ac:dyDescent="0.4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</row>
    <row r="547" spans="1:22" ht="14.6" x14ac:dyDescent="0.4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</row>
    <row r="548" spans="1:22" ht="14.6" x14ac:dyDescent="0.4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</row>
    <row r="549" spans="1:22" ht="14.6" x14ac:dyDescent="0.4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</row>
    <row r="550" spans="1:22" ht="14.6" x14ac:dyDescent="0.4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</row>
    <row r="551" spans="1:22" ht="14.6" x14ac:dyDescent="0.4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</row>
    <row r="552" spans="1:22" ht="14.6" x14ac:dyDescent="0.4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</row>
    <row r="553" spans="1:22" ht="14.6" x14ac:dyDescent="0.4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</row>
    <row r="554" spans="1:22" ht="14.6" x14ac:dyDescent="0.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</row>
    <row r="555" spans="1:22" ht="14.6" x14ac:dyDescent="0.4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</row>
    <row r="556" spans="1:22" ht="14.6" x14ac:dyDescent="0.4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</row>
    <row r="557" spans="1:22" ht="14.6" x14ac:dyDescent="0.4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</row>
    <row r="558" spans="1:22" ht="14.6" x14ac:dyDescent="0.4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</row>
    <row r="559" spans="1:22" ht="14.6" x14ac:dyDescent="0.4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</row>
    <row r="560" spans="1:22" ht="14.6" x14ac:dyDescent="0.4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</row>
    <row r="561" spans="1:22" ht="14.6" x14ac:dyDescent="0.4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</row>
    <row r="562" spans="1:22" ht="14.6" x14ac:dyDescent="0.4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</row>
    <row r="563" spans="1:22" ht="14.6" x14ac:dyDescent="0.4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</row>
    <row r="564" spans="1:22" ht="14.6" x14ac:dyDescent="0.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</row>
    <row r="565" spans="1:22" ht="14.6" x14ac:dyDescent="0.4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</row>
    <row r="566" spans="1:22" ht="14.6" x14ac:dyDescent="0.4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</row>
    <row r="567" spans="1:22" ht="14.6" x14ac:dyDescent="0.4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</row>
    <row r="568" spans="1:22" ht="14.6" x14ac:dyDescent="0.4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</row>
    <row r="569" spans="1:22" ht="14.6" x14ac:dyDescent="0.4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</row>
    <row r="570" spans="1:22" ht="14.6" x14ac:dyDescent="0.4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</row>
    <row r="571" spans="1:22" ht="14.6" x14ac:dyDescent="0.4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</row>
    <row r="572" spans="1:22" ht="14.6" x14ac:dyDescent="0.4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</row>
    <row r="573" spans="1:22" ht="14.6" x14ac:dyDescent="0.4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</row>
    <row r="574" spans="1:22" ht="14.6" x14ac:dyDescent="0.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</row>
    <row r="575" spans="1:22" ht="14.6" x14ac:dyDescent="0.4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</row>
    <row r="576" spans="1:22" ht="14.6" x14ac:dyDescent="0.4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</row>
    <row r="577" spans="1:22" ht="14.6" x14ac:dyDescent="0.4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</row>
    <row r="578" spans="1:22" ht="14.6" x14ac:dyDescent="0.4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</row>
    <row r="579" spans="1:22" ht="14.6" x14ac:dyDescent="0.4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</row>
    <row r="580" spans="1:22" ht="14.6" x14ac:dyDescent="0.4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</row>
    <row r="581" spans="1:22" ht="14.6" x14ac:dyDescent="0.4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</row>
    <row r="582" spans="1:22" ht="14.6" x14ac:dyDescent="0.4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</row>
    <row r="583" spans="1:22" ht="14.6" x14ac:dyDescent="0.4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</row>
    <row r="584" spans="1:22" ht="14.6" x14ac:dyDescent="0.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</row>
    <row r="585" spans="1:22" ht="14.6" x14ac:dyDescent="0.4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</row>
    <row r="586" spans="1:22" ht="14.6" x14ac:dyDescent="0.4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</row>
    <row r="587" spans="1:22" ht="14.6" x14ac:dyDescent="0.4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</row>
    <row r="588" spans="1:22" ht="14.6" x14ac:dyDescent="0.4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</row>
    <row r="589" spans="1:22" ht="14.6" x14ac:dyDescent="0.4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</row>
    <row r="590" spans="1:22" ht="14.6" x14ac:dyDescent="0.4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</row>
    <row r="591" spans="1:22" ht="14.6" x14ac:dyDescent="0.4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</row>
    <row r="592" spans="1:22" ht="14.6" x14ac:dyDescent="0.4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</row>
    <row r="593" spans="1:22" ht="14.6" x14ac:dyDescent="0.4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</row>
    <row r="594" spans="1:22" ht="14.6" x14ac:dyDescent="0.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</row>
    <row r="595" spans="1:22" ht="14.6" x14ac:dyDescent="0.4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</row>
    <row r="596" spans="1:22" ht="14.6" x14ac:dyDescent="0.4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</row>
    <row r="597" spans="1:22" ht="14.6" x14ac:dyDescent="0.4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</row>
    <row r="598" spans="1:22" ht="14.6" x14ac:dyDescent="0.4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</row>
    <row r="599" spans="1:22" ht="14.6" x14ac:dyDescent="0.4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</row>
    <row r="600" spans="1:22" ht="14.6" x14ac:dyDescent="0.4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</row>
    <row r="601" spans="1:22" ht="14.6" x14ac:dyDescent="0.4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</row>
    <row r="602" spans="1:22" ht="14.6" x14ac:dyDescent="0.4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</row>
    <row r="603" spans="1:22" ht="14.6" x14ac:dyDescent="0.4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</row>
    <row r="604" spans="1:22" ht="14.6" x14ac:dyDescent="0.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</row>
    <row r="605" spans="1:22" ht="14.6" x14ac:dyDescent="0.4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</row>
    <row r="606" spans="1:22" ht="14.6" x14ac:dyDescent="0.4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</row>
    <row r="607" spans="1:22" ht="14.6" x14ac:dyDescent="0.4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</row>
    <row r="608" spans="1:22" ht="14.6" x14ac:dyDescent="0.4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</row>
    <row r="609" spans="1:22" ht="14.6" x14ac:dyDescent="0.4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</row>
    <row r="610" spans="1:22" ht="14.6" x14ac:dyDescent="0.4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</row>
    <row r="611" spans="1:22" ht="14.6" x14ac:dyDescent="0.4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</row>
    <row r="612" spans="1:22" ht="14.6" x14ac:dyDescent="0.4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</row>
    <row r="613" spans="1:22" ht="14.6" x14ac:dyDescent="0.4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</row>
    <row r="614" spans="1:22" ht="14.6" x14ac:dyDescent="0.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</row>
    <row r="615" spans="1:22" ht="14.6" x14ac:dyDescent="0.4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</row>
    <row r="616" spans="1:22" ht="14.6" x14ac:dyDescent="0.4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</row>
    <row r="617" spans="1:22" ht="14.6" x14ac:dyDescent="0.4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</row>
    <row r="618" spans="1:22" ht="14.6" x14ac:dyDescent="0.4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</row>
    <row r="619" spans="1:22" ht="14.6" x14ac:dyDescent="0.4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</row>
    <row r="620" spans="1:22" ht="14.6" x14ac:dyDescent="0.4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</row>
    <row r="621" spans="1:22" ht="14.6" x14ac:dyDescent="0.4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</row>
    <row r="622" spans="1:22" ht="14.6" x14ac:dyDescent="0.4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</row>
    <row r="623" spans="1:22" ht="14.6" x14ac:dyDescent="0.4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</row>
    <row r="624" spans="1:22" ht="14.6" x14ac:dyDescent="0.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</row>
    <row r="625" spans="1:22" ht="14.6" x14ac:dyDescent="0.4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</row>
    <row r="626" spans="1:22" ht="14.6" x14ac:dyDescent="0.4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</row>
    <row r="627" spans="1:22" ht="14.6" x14ac:dyDescent="0.4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</row>
    <row r="628" spans="1:22" ht="14.6" x14ac:dyDescent="0.4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</row>
    <row r="629" spans="1:22" ht="14.6" x14ac:dyDescent="0.4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</row>
    <row r="630" spans="1:22" ht="14.6" x14ac:dyDescent="0.4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</row>
    <row r="631" spans="1:22" ht="14.6" x14ac:dyDescent="0.4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</row>
    <row r="632" spans="1:22" ht="14.6" x14ac:dyDescent="0.4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</row>
    <row r="633" spans="1:22" ht="14.6" x14ac:dyDescent="0.4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</row>
    <row r="634" spans="1:22" ht="14.6" x14ac:dyDescent="0.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</row>
    <row r="635" spans="1:22" ht="14.6" x14ac:dyDescent="0.4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</row>
    <row r="636" spans="1:22" ht="14.6" x14ac:dyDescent="0.4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</row>
    <row r="637" spans="1:22" ht="14.6" x14ac:dyDescent="0.4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</row>
    <row r="638" spans="1:22" ht="14.6" x14ac:dyDescent="0.4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</row>
    <row r="639" spans="1:22" ht="14.6" x14ac:dyDescent="0.4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</row>
    <row r="640" spans="1:22" ht="14.6" x14ac:dyDescent="0.4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</row>
    <row r="641" spans="1:22" ht="14.6" x14ac:dyDescent="0.4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</row>
    <row r="642" spans="1:22" ht="14.6" x14ac:dyDescent="0.4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</row>
    <row r="643" spans="1:22" ht="14.6" x14ac:dyDescent="0.4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</row>
    <row r="644" spans="1:22" ht="14.6" x14ac:dyDescent="0.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</row>
    <row r="645" spans="1:22" ht="14.6" x14ac:dyDescent="0.4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</row>
    <row r="646" spans="1:22" ht="14.6" x14ac:dyDescent="0.4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</row>
    <row r="647" spans="1:22" ht="14.6" x14ac:dyDescent="0.4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</row>
    <row r="648" spans="1:22" ht="14.6" x14ac:dyDescent="0.4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</row>
    <row r="649" spans="1:22" ht="14.6" x14ac:dyDescent="0.4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</row>
    <row r="650" spans="1:22" ht="14.6" x14ac:dyDescent="0.4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</row>
    <row r="651" spans="1:22" ht="14.6" x14ac:dyDescent="0.4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</row>
    <row r="652" spans="1:22" ht="14.6" x14ac:dyDescent="0.4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</row>
    <row r="653" spans="1:22" ht="14.6" x14ac:dyDescent="0.4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</row>
    <row r="654" spans="1:22" ht="14.6" x14ac:dyDescent="0.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</row>
    <row r="655" spans="1:22" ht="14.6" x14ac:dyDescent="0.4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</row>
    <row r="656" spans="1:22" ht="14.6" x14ac:dyDescent="0.4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</row>
    <row r="657" spans="1:22" ht="14.6" x14ac:dyDescent="0.4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</row>
    <row r="658" spans="1:22" ht="14.6" x14ac:dyDescent="0.4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</row>
    <row r="659" spans="1:22" ht="14.6" x14ac:dyDescent="0.4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</row>
    <row r="660" spans="1:22" ht="14.6" x14ac:dyDescent="0.4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</row>
    <row r="661" spans="1:22" ht="14.6" x14ac:dyDescent="0.4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</row>
    <row r="662" spans="1:22" ht="14.6" x14ac:dyDescent="0.4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</row>
    <row r="663" spans="1:22" ht="14.6" x14ac:dyDescent="0.4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</row>
    <row r="664" spans="1:22" ht="14.6" x14ac:dyDescent="0.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</row>
    <row r="665" spans="1:22" ht="14.6" x14ac:dyDescent="0.4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</row>
    <row r="666" spans="1:22" ht="14.6" x14ac:dyDescent="0.4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</row>
    <row r="667" spans="1:22" ht="14.6" x14ac:dyDescent="0.4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</row>
    <row r="668" spans="1:22" ht="14.6" x14ac:dyDescent="0.4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</row>
    <row r="669" spans="1:22" ht="14.6" x14ac:dyDescent="0.4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</row>
    <row r="670" spans="1:22" ht="14.6" x14ac:dyDescent="0.4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</row>
    <row r="671" spans="1:22" ht="14.6" x14ac:dyDescent="0.4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</row>
    <row r="672" spans="1:22" ht="14.6" x14ac:dyDescent="0.4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</row>
    <row r="673" spans="1:22" ht="14.6" x14ac:dyDescent="0.4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</row>
    <row r="674" spans="1:22" ht="14.6" x14ac:dyDescent="0.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</row>
    <row r="675" spans="1:22" ht="14.6" x14ac:dyDescent="0.4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</row>
    <row r="676" spans="1:22" ht="14.6" x14ac:dyDescent="0.4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</row>
    <row r="677" spans="1:22" ht="14.6" x14ac:dyDescent="0.4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</row>
    <row r="678" spans="1:22" ht="14.6" x14ac:dyDescent="0.4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</row>
    <row r="679" spans="1:22" ht="14.6" x14ac:dyDescent="0.4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</row>
    <row r="680" spans="1:22" ht="14.6" x14ac:dyDescent="0.4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</row>
    <row r="681" spans="1:22" ht="14.6" x14ac:dyDescent="0.4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</row>
    <row r="682" spans="1:22" ht="14.6" x14ac:dyDescent="0.4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</row>
    <row r="683" spans="1:22" ht="14.6" x14ac:dyDescent="0.4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</row>
    <row r="684" spans="1:22" ht="14.6" x14ac:dyDescent="0.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</row>
    <row r="685" spans="1:22" ht="14.6" x14ac:dyDescent="0.4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</row>
    <row r="686" spans="1:22" ht="14.6" x14ac:dyDescent="0.4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</row>
    <row r="687" spans="1:22" ht="14.6" x14ac:dyDescent="0.4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</row>
    <row r="688" spans="1:22" ht="14.6" x14ac:dyDescent="0.4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</row>
    <row r="689" spans="1:22" ht="14.6" x14ac:dyDescent="0.4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</row>
    <row r="690" spans="1:22" ht="14.6" x14ac:dyDescent="0.4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</row>
    <row r="691" spans="1:22" ht="14.6" x14ac:dyDescent="0.4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</row>
    <row r="692" spans="1:22" ht="14.6" x14ac:dyDescent="0.4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</row>
    <row r="693" spans="1:22" ht="14.6" x14ac:dyDescent="0.4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</row>
    <row r="694" spans="1:22" ht="14.6" x14ac:dyDescent="0.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</row>
    <row r="695" spans="1:22" ht="14.6" x14ac:dyDescent="0.4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</row>
    <row r="696" spans="1:22" ht="14.6" x14ac:dyDescent="0.4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</row>
    <row r="697" spans="1:22" ht="14.6" x14ac:dyDescent="0.4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</row>
    <row r="698" spans="1:22" ht="14.6" x14ac:dyDescent="0.4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</row>
    <row r="699" spans="1:22" ht="14.6" x14ac:dyDescent="0.4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</row>
    <row r="700" spans="1:22" ht="14.6" x14ac:dyDescent="0.4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</row>
    <row r="701" spans="1:22" ht="14.6" x14ac:dyDescent="0.4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</row>
    <row r="702" spans="1:22" ht="14.6" x14ac:dyDescent="0.4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</row>
    <row r="703" spans="1:22" ht="14.6" x14ac:dyDescent="0.4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</row>
    <row r="704" spans="1:22" ht="14.6" x14ac:dyDescent="0.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</row>
    <row r="705" spans="1:22" ht="14.6" x14ac:dyDescent="0.4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</row>
    <row r="706" spans="1:22" ht="14.6" x14ac:dyDescent="0.4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</row>
    <row r="707" spans="1:22" ht="14.6" x14ac:dyDescent="0.4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</row>
    <row r="708" spans="1:22" ht="14.6" x14ac:dyDescent="0.4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</row>
    <row r="709" spans="1:22" ht="14.6" x14ac:dyDescent="0.4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</row>
    <row r="710" spans="1:22" ht="14.6" x14ac:dyDescent="0.4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</row>
    <row r="711" spans="1:22" ht="14.6" x14ac:dyDescent="0.4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</row>
    <row r="712" spans="1:22" ht="14.6" x14ac:dyDescent="0.4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</row>
    <row r="713" spans="1:22" ht="14.6" x14ac:dyDescent="0.4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</row>
    <row r="714" spans="1:22" ht="14.6" x14ac:dyDescent="0.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</row>
    <row r="715" spans="1:22" ht="14.6" x14ac:dyDescent="0.4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</row>
    <row r="716" spans="1:22" ht="14.6" x14ac:dyDescent="0.4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</row>
    <row r="717" spans="1:22" ht="14.6" x14ac:dyDescent="0.4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</row>
    <row r="718" spans="1:22" ht="14.6" x14ac:dyDescent="0.4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</row>
    <row r="719" spans="1:22" ht="14.6" x14ac:dyDescent="0.4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</row>
    <row r="720" spans="1:22" ht="14.6" x14ac:dyDescent="0.4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</row>
    <row r="721" spans="1:22" ht="14.6" x14ac:dyDescent="0.4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</row>
    <row r="722" spans="1:22" ht="14.6" x14ac:dyDescent="0.4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</row>
    <row r="723" spans="1:22" ht="14.6" x14ac:dyDescent="0.4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</row>
    <row r="724" spans="1:22" ht="14.6" x14ac:dyDescent="0.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</row>
    <row r="725" spans="1:22" ht="14.6" x14ac:dyDescent="0.4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</row>
    <row r="726" spans="1:22" ht="14.6" x14ac:dyDescent="0.4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</row>
    <row r="727" spans="1:22" ht="14.6" x14ac:dyDescent="0.4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</row>
    <row r="728" spans="1:22" ht="14.6" x14ac:dyDescent="0.4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</row>
    <row r="729" spans="1:22" ht="14.6" x14ac:dyDescent="0.4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</row>
    <row r="730" spans="1:22" ht="14.6" x14ac:dyDescent="0.4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</row>
    <row r="731" spans="1:22" ht="14.6" x14ac:dyDescent="0.4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</row>
    <row r="732" spans="1:22" ht="14.6" x14ac:dyDescent="0.4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</row>
    <row r="733" spans="1:22" ht="14.6" x14ac:dyDescent="0.4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</row>
    <row r="734" spans="1:22" ht="14.6" x14ac:dyDescent="0.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</row>
    <row r="735" spans="1:22" ht="14.6" x14ac:dyDescent="0.4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</row>
    <row r="736" spans="1:22" ht="14.6" x14ac:dyDescent="0.4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</row>
    <row r="737" spans="1:22" ht="14.6" x14ac:dyDescent="0.4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</row>
    <row r="738" spans="1:22" ht="14.6" x14ac:dyDescent="0.4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</row>
    <row r="739" spans="1:22" ht="14.6" x14ac:dyDescent="0.4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</row>
    <row r="740" spans="1:22" ht="14.6" x14ac:dyDescent="0.4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</row>
    <row r="741" spans="1:22" ht="14.6" x14ac:dyDescent="0.4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</row>
    <row r="742" spans="1:22" ht="14.6" x14ac:dyDescent="0.4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</row>
    <row r="743" spans="1:22" ht="14.6" x14ac:dyDescent="0.4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</row>
    <row r="744" spans="1:22" ht="14.6" x14ac:dyDescent="0.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</row>
    <row r="745" spans="1:22" ht="14.6" x14ac:dyDescent="0.4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</row>
    <row r="746" spans="1:22" ht="14.6" x14ac:dyDescent="0.4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</row>
    <row r="747" spans="1:22" ht="14.6" x14ac:dyDescent="0.4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</row>
    <row r="748" spans="1:22" ht="14.6" x14ac:dyDescent="0.4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</row>
    <row r="749" spans="1:22" ht="14.6" x14ac:dyDescent="0.4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</row>
    <row r="750" spans="1:22" ht="14.6" x14ac:dyDescent="0.4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</row>
    <row r="751" spans="1:22" ht="14.6" x14ac:dyDescent="0.4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</row>
    <row r="752" spans="1:22" ht="14.6" x14ac:dyDescent="0.4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</row>
    <row r="753" spans="1:22" ht="14.6" x14ac:dyDescent="0.4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</row>
    <row r="754" spans="1:22" ht="14.6" x14ac:dyDescent="0.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</row>
    <row r="755" spans="1:22" ht="14.6" x14ac:dyDescent="0.4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</row>
    <row r="756" spans="1:22" ht="14.6" x14ac:dyDescent="0.4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</row>
    <row r="757" spans="1:22" ht="14.6" x14ac:dyDescent="0.4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</row>
    <row r="758" spans="1:22" ht="14.6" x14ac:dyDescent="0.4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</row>
    <row r="759" spans="1:22" ht="14.6" x14ac:dyDescent="0.4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</row>
    <row r="760" spans="1:22" ht="14.6" x14ac:dyDescent="0.4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</row>
    <row r="761" spans="1:22" ht="14.6" x14ac:dyDescent="0.4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</row>
    <row r="762" spans="1:22" ht="14.6" x14ac:dyDescent="0.4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</row>
    <row r="763" spans="1:22" ht="14.6" x14ac:dyDescent="0.4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</row>
    <row r="764" spans="1:22" ht="14.6" x14ac:dyDescent="0.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</row>
    <row r="765" spans="1:22" ht="14.6" x14ac:dyDescent="0.4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</row>
    <row r="766" spans="1:22" ht="14.6" x14ac:dyDescent="0.4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</row>
    <row r="767" spans="1:22" ht="14.6" x14ac:dyDescent="0.4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</row>
    <row r="768" spans="1:22" ht="14.6" x14ac:dyDescent="0.4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</row>
    <row r="769" spans="1:22" ht="14.6" x14ac:dyDescent="0.4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</row>
    <row r="770" spans="1:22" ht="14.6" x14ac:dyDescent="0.4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</row>
    <row r="771" spans="1:22" ht="14.6" x14ac:dyDescent="0.4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</row>
    <row r="772" spans="1:22" ht="14.6" x14ac:dyDescent="0.4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</row>
    <row r="773" spans="1:22" ht="14.6" x14ac:dyDescent="0.4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</row>
    <row r="774" spans="1:22" ht="14.6" x14ac:dyDescent="0.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</row>
    <row r="775" spans="1:22" ht="14.6" x14ac:dyDescent="0.4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</row>
    <row r="776" spans="1:22" ht="14.6" x14ac:dyDescent="0.4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</row>
    <row r="777" spans="1:22" ht="14.6" x14ac:dyDescent="0.4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</row>
    <row r="778" spans="1:22" ht="14.6" x14ac:dyDescent="0.4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</row>
    <row r="779" spans="1:22" ht="14.6" x14ac:dyDescent="0.4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</row>
    <row r="780" spans="1:22" ht="14.6" x14ac:dyDescent="0.4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</row>
    <row r="781" spans="1:22" ht="14.6" x14ac:dyDescent="0.4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</row>
    <row r="782" spans="1:22" ht="14.6" x14ac:dyDescent="0.4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</row>
    <row r="783" spans="1:22" ht="14.6" x14ac:dyDescent="0.4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</row>
    <row r="784" spans="1:22" ht="14.6" x14ac:dyDescent="0.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</row>
    <row r="785" spans="1:22" ht="14.6" x14ac:dyDescent="0.4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</row>
    <row r="786" spans="1:22" ht="14.6" x14ac:dyDescent="0.4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</row>
    <row r="787" spans="1:22" ht="14.6" x14ac:dyDescent="0.4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</row>
    <row r="788" spans="1:22" ht="14.6" x14ac:dyDescent="0.4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</row>
    <row r="789" spans="1:22" ht="14.6" x14ac:dyDescent="0.4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</row>
    <row r="790" spans="1:22" ht="14.6" x14ac:dyDescent="0.4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</row>
    <row r="791" spans="1:22" ht="14.6" x14ac:dyDescent="0.4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</row>
    <row r="792" spans="1:22" ht="14.6" x14ac:dyDescent="0.4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</row>
    <row r="793" spans="1:22" ht="14.6" x14ac:dyDescent="0.4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</row>
    <row r="794" spans="1:22" ht="14.6" x14ac:dyDescent="0.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</row>
    <row r="795" spans="1:22" ht="14.6" x14ac:dyDescent="0.4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</row>
    <row r="796" spans="1:22" ht="14.6" x14ac:dyDescent="0.4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</row>
    <row r="797" spans="1:22" ht="14.6" x14ac:dyDescent="0.4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</row>
    <row r="798" spans="1:22" ht="14.6" x14ac:dyDescent="0.4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</row>
    <row r="799" spans="1:22" ht="14.6" x14ac:dyDescent="0.4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</row>
    <row r="800" spans="1:22" ht="14.6" x14ac:dyDescent="0.4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</row>
    <row r="801" spans="1:22" ht="14.6" x14ac:dyDescent="0.4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</row>
    <row r="802" spans="1:22" ht="14.6" x14ac:dyDescent="0.4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</row>
    <row r="803" spans="1:22" ht="14.6" x14ac:dyDescent="0.4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</row>
    <row r="804" spans="1:22" ht="14.6" x14ac:dyDescent="0.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</row>
    <row r="805" spans="1:22" ht="14.6" x14ac:dyDescent="0.4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</row>
    <row r="806" spans="1:22" ht="14.6" x14ac:dyDescent="0.4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</row>
    <row r="807" spans="1:22" ht="14.6" x14ac:dyDescent="0.4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</row>
    <row r="808" spans="1:22" ht="14.6" x14ac:dyDescent="0.4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</row>
    <row r="809" spans="1:22" ht="14.6" x14ac:dyDescent="0.4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</row>
    <row r="810" spans="1:22" ht="14.6" x14ac:dyDescent="0.4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</row>
    <row r="811" spans="1:22" ht="14.6" x14ac:dyDescent="0.4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</row>
    <row r="812" spans="1:22" ht="14.6" x14ac:dyDescent="0.4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</row>
    <row r="813" spans="1:22" ht="14.6" x14ac:dyDescent="0.4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</row>
    <row r="814" spans="1:22" ht="14.6" x14ac:dyDescent="0.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</row>
    <row r="815" spans="1:22" ht="14.6" x14ac:dyDescent="0.4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</row>
    <row r="816" spans="1:22" ht="14.6" x14ac:dyDescent="0.4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</row>
    <row r="817" spans="1:22" ht="14.6" x14ac:dyDescent="0.4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</row>
    <row r="818" spans="1:22" ht="14.6" x14ac:dyDescent="0.4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</row>
    <row r="819" spans="1:22" ht="14.6" x14ac:dyDescent="0.4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</row>
    <row r="820" spans="1:22" ht="14.6" x14ac:dyDescent="0.4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</row>
    <row r="821" spans="1:22" ht="14.6" x14ac:dyDescent="0.4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</row>
    <row r="822" spans="1:22" ht="14.6" x14ac:dyDescent="0.4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</row>
    <row r="823" spans="1:22" ht="14.6" x14ac:dyDescent="0.4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</row>
    <row r="824" spans="1:22" ht="14.6" x14ac:dyDescent="0.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</row>
    <row r="825" spans="1:22" ht="14.6" x14ac:dyDescent="0.4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</row>
    <row r="826" spans="1:22" ht="14.6" x14ac:dyDescent="0.4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</row>
    <row r="827" spans="1:22" ht="14.6" x14ac:dyDescent="0.4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</row>
    <row r="828" spans="1:22" ht="14.6" x14ac:dyDescent="0.4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</row>
    <row r="829" spans="1:22" ht="14.6" x14ac:dyDescent="0.4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</row>
    <row r="830" spans="1:22" ht="14.6" x14ac:dyDescent="0.4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</row>
    <row r="831" spans="1:22" ht="14.6" x14ac:dyDescent="0.4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</row>
    <row r="832" spans="1:22" ht="14.6" x14ac:dyDescent="0.4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</row>
    <row r="833" spans="1:22" ht="14.6" x14ac:dyDescent="0.4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</row>
    <row r="834" spans="1:22" ht="14.6" x14ac:dyDescent="0.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</row>
    <row r="835" spans="1:22" ht="14.6" x14ac:dyDescent="0.4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</row>
    <row r="836" spans="1:22" ht="14.6" x14ac:dyDescent="0.4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</row>
    <row r="837" spans="1:22" ht="14.6" x14ac:dyDescent="0.4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</row>
    <row r="838" spans="1:22" ht="14.6" x14ac:dyDescent="0.4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</row>
    <row r="839" spans="1:22" ht="14.6" x14ac:dyDescent="0.4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</row>
    <row r="840" spans="1:22" ht="14.6" x14ac:dyDescent="0.4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</row>
    <row r="841" spans="1:22" ht="14.6" x14ac:dyDescent="0.4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</row>
    <row r="842" spans="1:22" ht="14.6" x14ac:dyDescent="0.4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</row>
    <row r="843" spans="1:22" ht="14.6" x14ac:dyDescent="0.4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</row>
    <row r="844" spans="1:22" ht="14.6" x14ac:dyDescent="0.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</row>
    <row r="845" spans="1:22" ht="14.6" x14ac:dyDescent="0.4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</row>
    <row r="846" spans="1:22" ht="14.6" x14ac:dyDescent="0.4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</row>
    <row r="847" spans="1:22" ht="14.6" x14ac:dyDescent="0.4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</row>
    <row r="848" spans="1:22" ht="14.6" x14ac:dyDescent="0.4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</row>
    <row r="849" spans="1:22" ht="14.6" x14ac:dyDescent="0.4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</row>
    <row r="850" spans="1:22" ht="14.6" x14ac:dyDescent="0.4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</row>
    <row r="851" spans="1:22" ht="14.6" x14ac:dyDescent="0.4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</row>
    <row r="852" spans="1:22" ht="14.6" x14ac:dyDescent="0.4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</row>
    <row r="853" spans="1:22" ht="14.6" x14ac:dyDescent="0.4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</row>
    <row r="854" spans="1:22" ht="14.6" x14ac:dyDescent="0.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</row>
    <row r="855" spans="1:22" ht="14.6" x14ac:dyDescent="0.4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</row>
    <row r="856" spans="1:22" ht="14.6" x14ac:dyDescent="0.4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</row>
    <row r="857" spans="1:22" ht="14.6" x14ac:dyDescent="0.4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</row>
    <row r="858" spans="1:22" ht="14.6" x14ac:dyDescent="0.4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</row>
    <row r="859" spans="1:22" ht="14.6" x14ac:dyDescent="0.4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</row>
    <row r="860" spans="1:22" ht="14.6" x14ac:dyDescent="0.4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</row>
    <row r="861" spans="1:22" ht="14.6" x14ac:dyDescent="0.4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</row>
    <row r="862" spans="1:22" ht="14.6" x14ac:dyDescent="0.4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</row>
    <row r="863" spans="1:22" ht="14.6" x14ac:dyDescent="0.4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</row>
    <row r="864" spans="1:22" ht="14.6" x14ac:dyDescent="0.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</row>
    <row r="865" spans="1:22" ht="14.6" x14ac:dyDescent="0.4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</row>
    <row r="866" spans="1:22" ht="14.6" x14ac:dyDescent="0.4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</row>
    <row r="867" spans="1:22" ht="14.6" x14ac:dyDescent="0.4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</row>
    <row r="868" spans="1:22" ht="14.6" x14ac:dyDescent="0.4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</row>
    <row r="869" spans="1:22" ht="14.6" x14ac:dyDescent="0.4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</row>
    <row r="870" spans="1:22" ht="14.6" x14ac:dyDescent="0.4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</row>
    <row r="871" spans="1:22" ht="14.6" x14ac:dyDescent="0.4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</row>
    <row r="872" spans="1:22" ht="14.6" x14ac:dyDescent="0.4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</row>
    <row r="873" spans="1:22" ht="14.6" x14ac:dyDescent="0.4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</row>
    <row r="874" spans="1:22" ht="14.6" x14ac:dyDescent="0.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</row>
    <row r="875" spans="1:22" ht="14.6" x14ac:dyDescent="0.4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</row>
    <row r="876" spans="1:22" ht="14.6" x14ac:dyDescent="0.4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</row>
    <row r="877" spans="1:22" ht="14.6" x14ac:dyDescent="0.4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</row>
    <row r="878" spans="1:22" ht="14.6" x14ac:dyDescent="0.4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</row>
    <row r="879" spans="1:22" ht="14.6" x14ac:dyDescent="0.4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</row>
    <row r="880" spans="1:22" ht="14.6" x14ac:dyDescent="0.4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</row>
    <row r="881" spans="1:22" ht="14.6" x14ac:dyDescent="0.4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</row>
    <row r="882" spans="1:22" ht="14.6" x14ac:dyDescent="0.4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</row>
    <row r="883" spans="1:22" ht="14.6" x14ac:dyDescent="0.4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</row>
    <row r="884" spans="1:22" ht="14.6" x14ac:dyDescent="0.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</row>
    <row r="885" spans="1:22" ht="14.6" x14ac:dyDescent="0.4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</row>
    <row r="886" spans="1:22" ht="14.6" x14ac:dyDescent="0.4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</row>
    <row r="887" spans="1:22" ht="14.6" x14ac:dyDescent="0.4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</row>
    <row r="888" spans="1:22" ht="14.6" x14ac:dyDescent="0.4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</row>
    <row r="889" spans="1:22" ht="14.6" x14ac:dyDescent="0.4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</row>
    <row r="890" spans="1:22" ht="14.6" x14ac:dyDescent="0.4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</row>
    <row r="891" spans="1:22" ht="14.6" x14ac:dyDescent="0.4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</row>
    <row r="892" spans="1:22" ht="14.6" x14ac:dyDescent="0.4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</row>
    <row r="893" spans="1:22" ht="14.6" x14ac:dyDescent="0.4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</row>
    <row r="894" spans="1:22" ht="14.6" x14ac:dyDescent="0.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</row>
    <row r="895" spans="1:22" ht="14.6" x14ac:dyDescent="0.4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</row>
    <row r="896" spans="1:22" ht="14.6" x14ac:dyDescent="0.4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</row>
    <row r="897" spans="1:22" ht="14.6" x14ac:dyDescent="0.4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</row>
    <row r="898" spans="1:22" ht="14.6" x14ac:dyDescent="0.4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</row>
    <row r="899" spans="1:22" ht="14.6" x14ac:dyDescent="0.4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</row>
    <row r="900" spans="1:22" ht="14.6" x14ac:dyDescent="0.4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</row>
    <row r="901" spans="1:22" ht="14.6" x14ac:dyDescent="0.4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</row>
    <row r="902" spans="1:22" ht="14.6" x14ac:dyDescent="0.4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</row>
    <row r="903" spans="1:22" ht="14.6" x14ac:dyDescent="0.4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</row>
    <row r="904" spans="1:22" ht="14.6" x14ac:dyDescent="0.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</row>
    <row r="905" spans="1:22" ht="14.6" x14ac:dyDescent="0.4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</row>
    <row r="906" spans="1:22" ht="14.6" x14ac:dyDescent="0.4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</row>
    <row r="907" spans="1:22" ht="14.6" x14ac:dyDescent="0.4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</row>
    <row r="908" spans="1:22" ht="14.6" x14ac:dyDescent="0.4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</row>
    <row r="909" spans="1:22" ht="14.6" x14ac:dyDescent="0.4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</row>
    <row r="910" spans="1:22" ht="14.6" x14ac:dyDescent="0.4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</row>
    <row r="911" spans="1:22" ht="14.6" x14ac:dyDescent="0.4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</row>
    <row r="912" spans="1:22" ht="14.6" x14ac:dyDescent="0.4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</row>
    <row r="913" spans="1:22" ht="14.6" x14ac:dyDescent="0.4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</row>
    <row r="914" spans="1:22" ht="14.6" x14ac:dyDescent="0.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</row>
    <row r="915" spans="1:22" ht="14.6" x14ac:dyDescent="0.4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</row>
    <row r="916" spans="1:22" ht="14.6" x14ac:dyDescent="0.4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</row>
    <row r="917" spans="1:22" ht="14.6" x14ac:dyDescent="0.4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</row>
    <row r="918" spans="1:22" ht="14.6" x14ac:dyDescent="0.4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</row>
    <row r="919" spans="1:22" ht="14.6" x14ac:dyDescent="0.4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</row>
    <row r="920" spans="1:22" ht="14.6" x14ac:dyDescent="0.4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</row>
    <row r="921" spans="1:22" ht="14.6" x14ac:dyDescent="0.4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</row>
    <row r="922" spans="1:22" ht="14.6" x14ac:dyDescent="0.4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</row>
    <row r="923" spans="1:22" ht="14.6" x14ac:dyDescent="0.4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</row>
    <row r="924" spans="1:22" ht="14.6" x14ac:dyDescent="0.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</row>
    <row r="925" spans="1:22" ht="14.6" x14ac:dyDescent="0.4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</row>
    <row r="926" spans="1:22" ht="14.6" x14ac:dyDescent="0.4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</row>
    <row r="927" spans="1:22" ht="14.6" x14ac:dyDescent="0.4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</row>
    <row r="928" spans="1:22" ht="14.6" x14ac:dyDescent="0.4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</row>
    <row r="929" spans="1:22" ht="14.6" x14ac:dyDescent="0.4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</row>
    <row r="930" spans="1:22" ht="14.6" x14ac:dyDescent="0.4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</row>
    <row r="931" spans="1:22" ht="14.6" x14ac:dyDescent="0.4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</row>
    <row r="932" spans="1:22" ht="14.6" x14ac:dyDescent="0.4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</row>
    <row r="933" spans="1:22" ht="14.6" x14ac:dyDescent="0.4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</row>
    <row r="934" spans="1:22" ht="14.6" x14ac:dyDescent="0.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</row>
    <row r="935" spans="1:22" ht="14.6" x14ac:dyDescent="0.4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</row>
    <row r="936" spans="1:22" ht="14.6" x14ac:dyDescent="0.4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</row>
    <row r="937" spans="1:22" ht="14.6" x14ac:dyDescent="0.4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</row>
    <row r="938" spans="1:22" ht="14.6" x14ac:dyDescent="0.4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</row>
    <row r="939" spans="1:22" ht="14.6" x14ac:dyDescent="0.4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</row>
    <row r="940" spans="1:22" ht="14.6" x14ac:dyDescent="0.4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</row>
    <row r="941" spans="1:22" ht="14.6" x14ac:dyDescent="0.4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</row>
    <row r="942" spans="1:22" ht="14.6" x14ac:dyDescent="0.4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</row>
    <row r="943" spans="1:22" ht="14.6" x14ac:dyDescent="0.4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</row>
    <row r="944" spans="1:22" ht="14.6" x14ac:dyDescent="0.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</row>
    <row r="945" spans="1:22" ht="14.6" x14ac:dyDescent="0.4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</row>
    <row r="946" spans="1:22" ht="14.6" x14ac:dyDescent="0.4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</row>
    <row r="947" spans="1:22" ht="14.6" x14ac:dyDescent="0.4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</row>
    <row r="948" spans="1:22" ht="14.6" x14ac:dyDescent="0.4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</row>
    <row r="949" spans="1:22" ht="14.6" x14ac:dyDescent="0.4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</row>
    <row r="950" spans="1:22" ht="14.6" x14ac:dyDescent="0.4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</row>
    <row r="951" spans="1:22" ht="14.6" x14ac:dyDescent="0.4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</row>
    <row r="952" spans="1:22" ht="14.6" x14ac:dyDescent="0.4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</row>
    <row r="953" spans="1:22" ht="14.6" x14ac:dyDescent="0.4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</row>
    <row r="954" spans="1:22" ht="14.6" x14ac:dyDescent="0.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</row>
    <row r="955" spans="1:22" ht="14.6" x14ac:dyDescent="0.4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</row>
    <row r="956" spans="1:22" ht="14.6" x14ac:dyDescent="0.4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</row>
    <row r="957" spans="1:22" ht="14.6" x14ac:dyDescent="0.4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</row>
    <row r="958" spans="1:22" ht="14.6" x14ac:dyDescent="0.4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</row>
    <row r="959" spans="1:22" ht="14.6" x14ac:dyDescent="0.4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</row>
    <row r="960" spans="1:22" ht="14.6" x14ac:dyDescent="0.4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</row>
    <row r="961" spans="1:22" ht="14.6" x14ac:dyDescent="0.4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</row>
    <row r="962" spans="1:22" ht="14.6" x14ac:dyDescent="0.4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</row>
    <row r="963" spans="1:22" ht="14.6" x14ac:dyDescent="0.4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</row>
    <row r="964" spans="1:22" ht="14.6" x14ac:dyDescent="0.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</row>
    <row r="965" spans="1:22" ht="14.6" x14ac:dyDescent="0.4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</row>
    <row r="966" spans="1:22" ht="14.6" x14ac:dyDescent="0.4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</row>
    <row r="967" spans="1:22" ht="14.6" x14ac:dyDescent="0.4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</row>
    <row r="968" spans="1:22" ht="14.6" x14ac:dyDescent="0.4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</row>
    <row r="969" spans="1:22" ht="14.6" x14ac:dyDescent="0.4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</row>
    <row r="970" spans="1:22" ht="14.6" x14ac:dyDescent="0.4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</row>
    <row r="971" spans="1:22" ht="14.6" x14ac:dyDescent="0.4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</row>
    <row r="972" spans="1:22" ht="14.6" x14ac:dyDescent="0.4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</row>
    <row r="973" spans="1:22" ht="14.6" x14ac:dyDescent="0.4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</row>
    <row r="974" spans="1:22" ht="14.6" x14ac:dyDescent="0.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</row>
    <row r="975" spans="1:22" ht="14.6" x14ac:dyDescent="0.4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</row>
    <row r="976" spans="1:22" ht="14.6" x14ac:dyDescent="0.4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</row>
    <row r="977" spans="1:22" ht="14.6" x14ac:dyDescent="0.4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</row>
    <row r="978" spans="1:22" ht="14.6" x14ac:dyDescent="0.4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</row>
    <row r="979" spans="1:22" ht="14.6" x14ac:dyDescent="0.4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</row>
    <row r="980" spans="1:22" ht="14.6" x14ac:dyDescent="0.4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</row>
    <row r="981" spans="1:22" ht="14.6" x14ac:dyDescent="0.4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</row>
    <row r="982" spans="1:22" ht="14.6" x14ac:dyDescent="0.4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</row>
    <row r="983" spans="1:22" ht="14.6" x14ac:dyDescent="0.4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</row>
    <row r="984" spans="1:22" ht="14.6" x14ac:dyDescent="0.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</row>
    <row r="985" spans="1:22" ht="14.6" x14ac:dyDescent="0.4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</row>
    <row r="986" spans="1:22" ht="14.6" x14ac:dyDescent="0.4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</row>
    <row r="987" spans="1:22" ht="14.6" x14ac:dyDescent="0.4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</row>
    <row r="988" spans="1:22" ht="14.6" x14ac:dyDescent="0.4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</row>
    <row r="989" spans="1:22" ht="14.6" x14ac:dyDescent="0.4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</row>
    <row r="990" spans="1:22" ht="14.6" x14ac:dyDescent="0.4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</row>
    <row r="991" spans="1:22" ht="14.6" x14ac:dyDescent="0.4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</row>
    <row r="992" spans="1:22" ht="14.6" x14ac:dyDescent="0.4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</row>
    <row r="993" spans="1:22" ht="14.6" x14ac:dyDescent="0.4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</row>
    <row r="994" spans="1:22" ht="14.6" x14ac:dyDescent="0.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</row>
    <row r="995" spans="1:22" ht="14.6" x14ac:dyDescent="0.4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</row>
    <row r="996" spans="1:22" ht="14.6" x14ac:dyDescent="0.4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</row>
    <row r="997" spans="1:22" ht="14.6" x14ac:dyDescent="0.4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</row>
    <row r="998" spans="1:22" ht="14.6" x14ac:dyDescent="0.4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</row>
  </sheetData>
  <mergeCells count="72">
    <mergeCell ref="B31:B32"/>
    <mergeCell ref="I31:I32"/>
    <mergeCell ref="P31:P32"/>
    <mergeCell ref="B33:C33"/>
    <mergeCell ref="I33:J33"/>
    <mergeCell ref="P33:Q33"/>
    <mergeCell ref="B26:B28"/>
    <mergeCell ref="I26:I28"/>
    <mergeCell ref="P26:P28"/>
    <mergeCell ref="B29:B30"/>
    <mergeCell ref="I29:I30"/>
    <mergeCell ref="P29:P30"/>
    <mergeCell ref="R24:U24"/>
    <mergeCell ref="B21:B22"/>
    <mergeCell ref="I21:I22"/>
    <mergeCell ref="P21:P22"/>
    <mergeCell ref="B23:C23"/>
    <mergeCell ref="I23:J23"/>
    <mergeCell ref="P23:Q23"/>
    <mergeCell ref="B24:C25"/>
    <mergeCell ref="D24:G24"/>
    <mergeCell ref="I24:J25"/>
    <mergeCell ref="K24:N24"/>
    <mergeCell ref="P24:Q25"/>
    <mergeCell ref="B16:B18"/>
    <mergeCell ref="I16:I18"/>
    <mergeCell ref="P16:P18"/>
    <mergeCell ref="B19:B20"/>
    <mergeCell ref="I19:I20"/>
    <mergeCell ref="P19:P20"/>
    <mergeCell ref="R14:U14"/>
    <mergeCell ref="B11:B12"/>
    <mergeCell ref="I11:I12"/>
    <mergeCell ref="P11:P12"/>
    <mergeCell ref="B13:C13"/>
    <mergeCell ref="I13:J13"/>
    <mergeCell ref="P13:Q13"/>
    <mergeCell ref="B14:C15"/>
    <mergeCell ref="D14:G14"/>
    <mergeCell ref="I14:J15"/>
    <mergeCell ref="K14:N14"/>
    <mergeCell ref="P14:Q15"/>
    <mergeCell ref="B9:B10"/>
    <mergeCell ref="I9:I10"/>
    <mergeCell ref="P9:P10"/>
    <mergeCell ref="K5:K6"/>
    <mergeCell ref="L5:L6"/>
    <mergeCell ref="M5:M6"/>
    <mergeCell ref="N5:N6"/>
    <mergeCell ref="B4:C6"/>
    <mergeCell ref="D4:G4"/>
    <mergeCell ref="I4:J6"/>
    <mergeCell ref="K4:N4"/>
    <mergeCell ref="P4:Q6"/>
    <mergeCell ref="B7:B8"/>
    <mergeCell ref="I7:I8"/>
    <mergeCell ref="P7:P8"/>
    <mergeCell ref="R4:U4"/>
    <mergeCell ref="D5:D6"/>
    <mergeCell ref="E5:E6"/>
    <mergeCell ref="F5:F6"/>
    <mergeCell ref="G5:G6"/>
    <mergeCell ref="T5:T6"/>
    <mergeCell ref="U5:U6"/>
    <mergeCell ref="R5:R6"/>
    <mergeCell ref="S5:S6"/>
    <mergeCell ref="B2:G2"/>
    <mergeCell ref="I2:N2"/>
    <mergeCell ref="P2:U2"/>
    <mergeCell ref="B3:G3"/>
    <mergeCell ref="I3:N3"/>
    <mergeCell ref="P3:U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FBF2-1F8D-4ED7-9179-A8EDFC8FD8D5}">
  <sheetPr>
    <outlinePr summaryBelow="0" summaryRight="0"/>
  </sheetPr>
  <dimension ref="B1:M37"/>
  <sheetViews>
    <sheetView showGridLines="0" workbookViewId="0">
      <selection activeCell="H32" sqref="H32"/>
    </sheetView>
  </sheetViews>
  <sheetFormatPr defaultColWidth="14.4609375" defaultRowHeight="15" customHeight="1" x14ac:dyDescent="0.4"/>
  <cols>
    <col min="1" max="1" width="4" customWidth="1"/>
    <col min="2" max="2" width="32.4609375" customWidth="1"/>
    <col min="3" max="5" width="19.4609375" customWidth="1"/>
    <col min="6" max="6" width="20.23046875" customWidth="1"/>
    <col min="7" max="7" width="21.765625" customWidth="1"/>
    <col min="11" max="12" width="17.23046875" customWidth="1"/>
    <col min="13" max="13" width="19.07421875" customWidth="1"/>
  </cols>
  <sheetData>
    <row r="1" spans="2:13" ht="15" customHeight="1" thickBot="1" x14ac:dyDescent="0.45"/>
    <row r="2" spans="2:13" ht="15" customHeight="1" x14ac:dyDescent="0.4">
      <c r="D2" s="71" t="s">
        <v>123</v>
      </c>
    </row>
    <row r="3" spans="2:13" thickBot="1" x14ac:dyDescent="0.45">
      <c r="D3" s="68">
        <v>1.7837E-3</v>
      </c>
    </row>
    <row r="4" spans="2:13" ht="9.65" customHeight="1" thickBot="1" x14ac:dyDescent="0.45">
      <c r="D4" s="69"/>
    </row>
    <row r="5" spans="2:13" ht="15" customHeight="1" thickBot="1" x14ac:dyDescent="0.45">
      <c r="B5" s="91" t="s">
        <v>119</v>
      </c>
      <c r="C5" s="89" t="s">
        <v>117</v>
      </c>
      <c r="D5" s="70" t="s">
        <v>131</v>
      </c>
      <c r="E5" s="70" t="s">
        <v>118</v>
      </c>
      <c r="F5" s="70" t="s">
        <v>121</v>
      </c>
      <c r="G5" s="75" t="s">
        <v>129</v>
      </c>
      <c r="J5" s="112" t="s">
        <v>51</v>
      </c>
      <c r="K5" s="113" t="s">
        <v>146</v>
      </c>
      <c r="L5" s="113" t="s">
        <v>147</v>
      </c>
      <c r="M5" s="114" t="s">
        <v>148</v>
      </c>
    </row>
    <row r="6" spans="2:13" ht="15" customHeight="1" thickBot="1" x14ac:dyDescent="0.45">
      <c r="B6" s="90" t="s">
        <v>120</v>
      </c>
      <c r="C6" s="72">
        <v>0.7</v>
      </c>
      <c r="D6" s="72">
        <v>-0.3</v>
      </c>
      <c r="E6" s="72">
        <v>0.78</v>
      </c>
      <c r="F6" s="72">
        <v>0.5</v>
      </c>
      <c r="G6" s="73">
        <v>0.2</v>
      </c>
      <c r="J6" s="117" t="str">
        <f>C10</f>
        <v>CNC</v>
      </c>
      <c r="K6" s="128">
        <f>'Total Cost'!L11</f>
        <v>44.385925925925925</v>
      </c>
      <c r="L6" s="128">
        <f>F16</f>
        <v>2.556</v>
      </c>
      <c r="M6" s="118">
        <f>E37</f>
        <v>0.8600000000000001</v>
      </c>
    </row>
    <row r="7" spans="2:13" ht="15" customHeight="1" x14ac:dyDescent="0.4">
      <c r="B7" s="64" t="s">
        <v>122</v>
      </c>
      <c r="J7" s="50" t="str">
        <f>D10</f>
        <v>Jet Cutting</v>
      </c>
      <c r="K7" s="119">
        <f>'Total Cost'!M11</f>
        <v>47.090185185185184</v>
      </c>
      <c r="L7" s="119">
        <f>G16</f>
        <v>2.681</v>
      </c>
      <c r="M7" s="115">
        <f>F37</f>
        <v>0.88</v>
      </c>
    </row>
    <row r="8" spans="2:13" ht="15" customHeight="1" thickBot="1" x14ac:dyDescent="0.45">
      <c r="E8" s="2"/>
      <c r="F8" s="2"/>
      <c r="G8" s="2"/>
      <c r="J8" s="52" t="str">
        <f>E10</f>
        <v>3D Printing</v>
      </c>
      <c r="K8" s="123">
        <f>'Total Cost'!N11</f>
        <v>45.482962962962958</v>
      </c>
      <c r="L8" s="123">
        <f>H16</f>
        <v>1.7261910046666666</v>
      </c>
      <c r="M8" s="116">
        <f>G37</f>
        <v>0.5</v>
      </c>
    </row>
    <row r="9" spans="2:13" ht="14.6" x14ac:dyDescent="0.4">
      <c r="B9" s="391" t="s">
        <v>51</v>
      </c>
      <c r="C9" s="388" t="s">
        <v>127</v>
      </c>
      <c r="D9" s="389"/>
      <c r="E9" s="389"/>
      <c r="F9" s="388" t="s">
        <v>128</v>
      </c>
      <c r="G9" s="388"/>
      <c r="H9" s="390"/>
      <c r="K9" s="129" t="s">
        <v>150</v>
      </c>
      <c r="L9" s="129" t="s">
        <v>150</v>
      </c>
      <c r="M9" s="129" t="s">
        <v>143</v>
      </c>
    </row>
    <row r="10" spans="2:13" thickBot="1" x14ac:dyDescent="0.45">
      <c r="B10" s="392"/>
      <c r="C10" s="65" t="str">
        <f>'Total Cost'!C4</f>
        <v>CNC</v>
      </c>
      <c r="D10" s="65" t="str">
        <f>'Total Cost'!D4</f>
        <v>Jet Cutting</v>
      </c>
      <c r="E10" s="65" t="str">
        <f>'Total Cost'!E4</f>
        <v>3D Printing</v>
      </c>
      <c r="F10" s="78" t="str">
        <f>C10</f>
        <v>CNC</v>
      </c>
      <c r="G10" s="78" t="str">
        <f t="shared" ref="G10:H10" si="0">D10</f>
        <v>Jet Cutting</v>
      </c>
      <c r="H10" s="81" t="str">
        <f t="shared" si="0"/>
        <v>3D Printing</v>
      </c>
      <c r="I10" s="2"/>
    </row>
    <row r="11" spans="2:13" thickBot="1" x14ac:dyDescent="0.45">
      <c r="B11" s="82" t="s">
        <v>124</v>
      </c>
      <c r="C11" s="76">
        <f>'Total Cost'!C5</f>
        <v>2100</v>
      </c>
      <c r="D11" s="76">
        <f>'Total Cost'!D5</f>
        <v>2100</v>
      </c>
      <c r="E11" s="76">
        <f>'Total Cost'!E5</f>
        <v>1380</v>
      </c>
      <c r="F11" s="79">
        <f>C11*$C$6</f>
        <v>1470</v>
      </c>
      <c r="G11" s="79">
        <f t="shared" ref="G11:H11" si="1">D11*$C$6</f>
        <v>1470</v>
      </c>
      <c r="H11" s="83">
        <f t="shared" si="1"/>
        <v>965.99999999999989</v>
      </c>
      <c r="J11" s="112" t="s">
        <v>149</v>
      </c>
      <c r="K11" s="113" t="str">
        <f>K5</f>
        <v>LCC (Euro/Unit)</v>
      </c>
      <c r="L11" s="113" t="str">
        <f t="shared" ref="L11:M11" si="2">L5</f>
        <v>LCA (Points/Unit)</v>
      </c>
      <c r="M11" s="114" t="str">
        <f t="shared" si="2"/>
        <v>Functional Assessment</v>
      </c>
    </row>
    <row r="12" spans="2:13" ht="14.6" x14ac:dyDescent="0.4">
      <c r="B12" s="82" t="s">
        <v>130</v>
      </c>
      <c r="C12" s="76">
        <v>0</v>
      </c>
      <c r="D12" s="76">
        <f>'Total Cost'!D8</f>
        <v>101250</v>
      </c>
      <c r="E12" s="77">
        <f>'Total Cost'!E8</f>
        <v>245000</v>
      </c>
      <c r="F12" s="79">
        <v>0</v>
      </c>
      <c r="G12" s="79">
        <f>D12*G6</f>
        <v>20250</v>
      </c>
      <c r="H12" s="84">
        <f>E12*E6*D3</f>
        <v>340.86507</v>
      </c>
      <c r="J12" s="125" t="str">
        <f>J6</f>
        <v>CNC</v>
      </c>
      <c r="K12" s="126">
        <f>MIN(K6:K8)/K6</f>
        <v>1</v>
      </c>
      <c r="L12" s="126">
        <f>MIN($L$6:$L$8)/L6</f>
        <v>0.67534859337506514</v>
      </c>
      <c r="M12" s="127">
        <f>M6/MAX($M$6:$M$8)</f>
        <v>0.9772727272727274</v>
      </c>
    </row>
    <row r="13" spans="2:13" ht="14.6" x14ac:dyDescent="0.4">
      <c r="B13" s="82" t="s">
        <v>125</v>
      </c>
      <c r="C13" s="76">
        <f>'Total Cost'!C9</f>
        <v>75000</v>
      </c>
      <c r="D13" s="76">
        <f>'Total Cost'!D9</f>
        <v>38250</v>
      </c>
      <c r="E13" s="76">
        <f>'Total Cost'!E9</f>
        <v>50000</v>
      </c>
      <c r="F13" s="80">
        <f>C13*$F$6</f>
        <v>37500</v>
      </c>
      <c r="G13" s="80">
        <f t="shared" ref="G13:H13" si="3">D13*$F$6</f>
        <v>19125</v>
      </c>
      <c r="H13" s="84">
        <f t="shared" si="3"/>
        <v>25000</v>
      </c>
      <c r="J13" s="120" t="str">
        <f t="shared" ref="J13:J14" si="4">J7</f>
        <v>Jet Cutting</v>
      </c>
      <c r="K13" s="119">
        <f t="shared" ref="K13:K14" si="5">MIN($K$6:$K$8)/K7</f>
        <v>0.94257276227255027</v>
      </c>
      <c r="L13" s="119">
        <f t="shared" ref="L13:L14" si="6">MIN($L$6:$L$8)/L7</f>
        <v>0.64386087454929752</v>
      </c>
      <c r="M13" s="121">
        <f t="shared" ref="M13:M14" si="7">M7/MAX($M$6:$M$8)</f>
        <v>1</v>
      </c>
    </row>
    <row r="14" spans="2:13" ht="15" customHeight="1" thickBot="1" x14ac:dyDescent="0.45">
      <c r="B14" s="85" t="s">
        <v>126</v>
      </c>
      <c r="C14" s="86">
        <f>C11</f>
        <v>2100</v>
      </c>
      <c r="D14" s="86">
        <f t="shared" ref="D14:E14" si="8">D11</f>
        <v>2100</v>
      </c>
      <c r="E14" s="86">
        <f t="shared" si="8"/>
        <v>1380</v>
      </c>
      <c r="F14" s="87">
        <f>C14*$D$6</f>
        <v>-630</v>
      </c>
      <c r="G14" s="87">
        <f t="shared" ref="G14:H14" si="9">D14*$D$6</f>
        <v>-630</v>
      </c>
      <c r="H14" s="88">
        <f t="shared" si="9"/>
        <v>-414</v>
      </c>
      <c r="J14" s="122" t="str">
        <f t="shared" si="4"/>
        <v>3D Printing</v>
      </c>
      <c r="K14" s="123">
        <f t="shared" si="5"/>
        <v>0.97588026448649889</v>
      </c>
      <c r="L14" s="123">
        <f t="shared" si="6"/>
        <v>1</v>
      </c>
      <c r="M14" s="124">
        <f t="shared" si="7"/>
        <v>0.56818181818181823</v>
      </c>
    </row>
    <row r="15" spans="2:13" ht="15" customHeight="1" x14ac:dyDescent="0.4">
      <c r="B15" s="393" t="s">
        <v>132</v>
      </c>
      <c r="C15" s="389"/>
      <c r="D15" s="389"/>
      <c r="E15" s="389"/>
      <c r="F15" s="92">
        <f>SUM(F11:F14)</f>
        <v>38340</v>
      </c>
      <c r="G15" s="92">
        <f t="shared" ref="G15:H15" si="10">SUM(G11:G14)</f>
        <v>40215</v>
      </c>
      <c r="H15" s="93">
        <f t="shared" si="10"/>
        <v>25892.86507</v>
      </c>
      <c r="K15" s="129" t="s">
        <v>143</v>
      </c>
      <c r="L15" s="129" t="s">
        <v>143</v>
      </c>
      <c r="M15" s="129" t="s">
        <v>143</v>
      </c>
    </row>
    <row r="16" spans="2:13" ht="15" customHeight="1" thickBot="1" x14ac:dyDescent="0.45">
      <c r="B16" s="394" t="s">
        <v>133</v>
      </c>
      <c r="C16" s="395"/>
      <c r="D16" s="395"/>
      <c r="E16" s="395"/>
      <c r="F16" s="94">
        <f>F15/'Sensitivity Analysis'!$H$2</f>
        <v>2.556</v>
      </c>
      <c r="G16" s="94">
        <f>G15/'Sensitivity Analysis'!$H$2</f>
        <v>2.681</v>
      </c>
      <c r="H16" s="95">
        <f>H15/'Sensitivity Analysis'!$H$2</f>
        <v>1.7261910046666666</v>
      </c>
    </row>
    <row r="18" spans="2:10" ht="15" customHeight="1" thickBot="1" x14ac:dyDescent="0.45">
      <c r="J18" s="74" t="s">
        <v>152</v>
      </c>
    </row>
    <row r="19" spans="2:10" ht="15" customHeight="1" thickBot="1" x14ac:dyDescent="0.45">
      <c r="B19" s="385" t="s">
        <v>134</v>
      </c>
      <c r="C19" s="386"/>
      <c r="D19" s="386"/>
      <c r="E19" s="386"/>
      <c r="F19" s="386"/>
      <c r="G19" s="387"/>
    </row>
    <row r="20" spans="2:10" ht="15" customHeight="1" x14ac:dyDescent="0.4">
      <c r="B20" s="96" t="s">
        <v>135</v>
      </c>
      <c r="C20" s="101" t="s">
        <v>139</v>
      </c>
      <c r="D20" s="101" t="s">
        <v>141</v>
      </c>
      <c r="E20" s="66" t="str">
        <f>C10</f>
        <v>CNC</v>
      </c>
      <c r="F20" s="66" t="str">
        <f>D10</f>
        <v>Jet Cutting</v>
      </c>
      <c r="G20" s="67" t="str">
        <f>E10</f>
        <v>3D Printing</v>
      </c>
    </row>
    <row r="21" spans="2:10" ht="15" customHeight="1" x14ac:dyDescent="0.4">
      <c r="B21" s="82" t="s">
        <v>136</v>
      </c>
      <c r="C21" s="102">
        <v>0.2</v>
      </c>
      <c r="D21" s="105" t="s">
        <v>142</v>
      </c>
      <c r="E21" s="65">
        <v>5</v>
      </c>
      <c r="F21" s="65">
        <v>4</v>
      </c>
      <c r="G21" s="97">
        <v>2</v>
      </c>
    </row>
    <row r="22" spans="2:10" ht="15" customHeight="1" x14ac:dyDescent="0.4">
      <c r="B22" s="82" t="s">
        <v>140</v>
      </c>
      <c r="C22" s="102">
        <v>0.5</v>
      </c>
      <c r="D22" s="105" t="s">
        <v>142</v>
      </c>
      <c r="E22" s="65">
        <v>4</v>
      </c>
      <c r="F22" s="65">
        <v>5</v>
      </c>
      <c r="G22" s="97">
        <v>2</v>
      </c>
    </row>
    <row r="23" spans="2:10" ht="15" customHeight="1" x14ac:dyDescent="0.4">
      <c r="B23" s="82" t="s">
        <v>137</v>
      </c>
      <c r="C23" s="104">
        <v>0.1</v>
      </c>
      <c r="D23" s="105" t="s">
        <v>142</v>
      </c>
      <c r="E23" s="65">
        <v>3</v>
      </c>
      <c r="F23" s="65">
        <v>3</v>
      </c>
      <c r="G23" s="97">
        <v>5</v>
      </c>
    </row>
    <row r="24" spans="2:10" ht="15" customHeight="1" thickBot="1" x14ac:dyDescent="0.45">
      <c r="B24" s="98" t="s">
        <v>138</v>
      </c>
      <c r="C24" s="103">
        <v>0.2</v>
      </c>
      <c r="D24" s="110" t="s">
        <v>142</v>
      </c>
      <c r="E24" s="99">
        <v>5</v>
      </c>
      <c r="F24" s="99">
        <v>4</v>
      </c>
      <c r="G24" s="100">
        <v>3</v>
      </c>
    </row>
    <row r="25" spans="2:10" ht="15" customHeight="1" x14ac:dyDescent="0.4">
      <c r="B25" s="109"/>
      <c r="C25" s="63"/>
      <c r="D25" s="111" t="s">
        <v>143</v>
      </c>
      <c r="E25" s="63"/>
    </row>
    <row r="27" spans="2:10" ht="15" customHeight="1" x14ac:dyDescent="0.4">
      <c r="D27" t="s">
        <v>144</v>
      </c>
      <c r="E27" s="106">
        <f>E21/MAX(E21:G21)</f>
        <v>1</v>
      </c>
      <c r="F27" s="106">
        <f>F21/MAX(E21:G21)</f>
        <v>0.8</v>
      </c>
      <c r="G27" s="106">
        <f>G21/MAX(E21:G21)</f>
        <v>0.4</v>
      </c>
    </row>
    <row r="28" spans="2:10" ht="15" customHeight="1" x14ac:dyDescent="0.4">
      <c r="E28" s="106">
        <f t="shared" ref="E28:E29" si="11">E22/MAX(E22:G22)</f>
        <v>0.8</v>
      </c>
      <c r="F28" s="106">
        <f t="shared" ref="F28:F30" si="12">F22/MAX(E22:G22)</f>
        <v>1</v>
      </c>
      <c r="G28" s="106">
        <f t="shared" ref="G28:G30" si="13">G22/MAX(E22:G22)</f>
        <v>0.4</v>
      </c>
    </row>
    <row r="29" spans="2:10" ht="15" customHeight="1" x14ac:dyDescent="0.4">
      <c r="E29" s="106">
        <f t="shared" si="11"/>
        <v>0.6</v>
      </c>
      <c r="F29" s="106">
        <f t="shared" si="12"/>
        <v>0.6</v>
      </c>
      <c r="G29" s="106">
        <f t="shared" si="13"/>
        <v>1</v>
      </c>
    </row>
    <row r="30" spans="2:10" ht="15" customHeight="1" x14ac:dyDescent="0.4">
      <c r="E30" s="106">
        <f>E24/MAX(E24:G24)</f>
        <v>1</v>
      </c>
      <c r="F30" s="106">
        <f t="shared" si="12"/>
        <v>0.8</v>
      </c>
      <c r="G30" s="106">
        <f t="shared" si="13"/>
        <v>0.6</v>
      </c>
    </row>
    <row r="33" spans="4:7" ht="15" customHeight="1" x14ac:dyDescent="0.4">
      <c r="D33" s="74" t="s">
        <v>145</v>
      </c>
      <c r="E33" s="108">
        <f>E27*$C$21</f>
        <v>0.2</v>
      </c>
      <c r="F33" s="108">
        <f>F27*C21</f>
        <v>0.16000000000000003</v>
      </c>
      <c r="G33" s="108">
        <f>G27*C21</f>
        <v>8.0000000000000016E-2</v>
      </c>
    </row>
    <row r="34" spans="4:7" ht="15" customHeight="1" x14ac:dyDescent="0.4">
      <c r="E34" s="108">
        <f t="shared" ref="E34:E36" si="14">E28*C22</f>
        <v>0.4</v>
      </c>
      <c r="F34" s="108">
        <f t="shared" ref="F34:F36" si="15">F28*C22</f>
        <v>0.5</v>
      </c>
      <c r="G34" s="108">
        <f t="shared" ref="G34:G36" si="16">G28*C22</f>
        <v>0.2</v>
      </c>
    </row>
    <row r="35" spans="4:7" ht="15" customHeight="1" x14ac:dyDescent="0.4">
      <c r="E35" s="108">
        <f t="shared" si="14"/>
        <v>0.06</v>
      </c>
      <c r="F35" s="108">
        <f t="shared" si="15"/>
        <v>0.06</v>
      </c>
      <c r="G35" s="108">
        <f t="shared" si="16"/>
        <v>0.1</v>
      </c>
    </row>
    <row r="36" spans="4:7" ht="15" customHeight="1" x14ac:dyDescent="0.4">
      <c r="E36" s="108">
        <f t="shared" si="14"/>
        <v>0.2</v>
      </c>
      <c r="F36" s="108">
        <f t="shared" si="15"/>
        <v>0.16000000000000003</v>
      </c>
      <c r="G36" s="108">
        <f t="shared" si="16"/>
        <v>0.12</v>
      </c>
    </row>
    <row r="37" spans="4:7" ht="15" customHeight="1" x14ac:dyDescent="0.4">
      <c r="D37" s="74" t="s">
        <v>151</v>
      </c>
      <c r="E37" s="107">
        <f>SUM(E33:E36)</f>
        <v>0.8600000000000001</v>
      </c>
      <c r="F37" s="107">
        <f t="shared" ref="F37:G37" si="17">SUM(F33:F36)</f>
        <v>0.88</v>
      </c>
      <c r="G37" s="107">
        <f t="shared" si="17"/>
        <v>0.5</v>
      </c>
    </row>
  </sheetData>
  <mergeCells count="6">
    <mergeCell ref="B19:G19"/>
    <mergeCell ref="C9:E9"/>
    <mergeCell ref="F9:H9"/>
    <mergeCell ref="B9:B10"/>
    <mergeCell ref="B15:E15"/>
    <mergeCell ref="B16:E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F438-A9BE-4EFC-92AE-9AF26B7274BA}">
  <dimension ref="B1:AM88"/>
  <sheetViews>
    <sheetView showGridLines="0" tabSelected="1" topLeftCell="A73" zoomScale="75" zoomScaleNormal="85" workbookViewId="0">
      <selection activeCell="W30" sqref="W30"/>
    </sheetView>
  </sheetViews>
  <sheetFormatPr defaultColWidth="8.84375" defaultRowHeight="14.6" x14ac:dyDescent="0.4"/>
  <cols>
    <col min="1" max="1" width="2.3046875" style="130" customWidth="1"/>
    <col min="2" max="4" width="21.4609375" style="130" customWidth="1"/>
    <col min="5" max="9" width="12.84375" style="130" customWidth="1"/>
    <col min="10" max="10" width="4.3046875" style="130" customWidth="1"/>
    <col min="11" max="11" width="24" style="130" hidden="1" customWidth="1"/>
    <col min="12" max="12" width="18.07421875" style="130" hidden="1" customWidth="1"/>
    <col min="13" max="13" width="16.69140625" style="130" hidden="1" customWidth="1"/>
    <col min="14" max="14" width="24.765625" style="130" hidden="1" customWidth="1"/>
    <col min="15" max="15" width="10.23046875" style="130" hidden="1" customWidth="1"/>
    <col min="16" max="16" width="6.53515625" style="130" hidden="1" customWidth="1"/>
    <col min="17" max="39" width="5.84375" style="130" customWidth="1"/>
    <col min="40" max="16384" width="8.84375" style="130"/>
  </cols>
  <sheetData>
    <row r="1" spans="2:39" hidden="1" x14ac:dyDescent="0.4">
      <c r="B1" s="131"/>
      <c r="E1" s="134"/>
      <c r="F1" s="135"/>
      <c r="G1" s="135"/>
      <c r="H1" s="136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</row>
    <row r="2" spans="2:39" hidden="1" x14ac:dyDescent="0.4">
      <c r="B2" s="131"/>
      <c r="E2" s="131"/>
      <c r="F2" s="131"/>
      <c r="G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</row>
    <row r="3" spans="2:39" x14ac:dyDescent="0.4">
      <c r="B3" s="131"/>
      <c r="E3" s="131"/>
      <c r="F3" s="131"/>
      <c r="G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</row>
    <row r="4" spans="2:39" x14ac:dyDescent="0.4">
      <c r="B4" s="131"/>
      <c r="E4" s="137"/>
      <c r="F4" s="137"/>
      <c r="G4" s="137"/>
      <c r="H4" s="138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</row>
    <row r="5" spans="2:39" ht="16.2" customHeight="1" x14ac:dyDescent="0.4">
      <c r="Q5" s="131"/>
      <c r="R5" s="139"/>
      <c r="S5" s="139"/>
      <c r="T5" s="139"/>
      <c r="U5" s="139"/>
      <c r="V5" s="139"/>
      <c r="W5" s="139"/>
      <c r="X5" s="139"/>
      <c r="Y5" s="139"/>
      <c r="Z5" s="139"/>
      <c r="AA5" s="140">
        <v>0</v>
      </c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/>
      <c r="AM5"/>
    </row>
    <row r="6" spans="2:39" ht="16.2" customHeight="1" x14ac:dyDescent="0.4">
      <c r="Q6" s="131"/>
      <c r="R6" s="139"/>
      <c r="S6" s="139"/>
      <c r="T6" s="139"/>
      <c r="U6" s="139"/>
      <c r="V6" s="139"/>
      <c r="W6" s="139"/>
      <c r="X6" s="139"/>
      <c r="Y6" s="139"/>
      <c r="Z6" s="140">
        <v>0.1</v>
      </c>
      <c r="AA6" s="139"/>
      <c r="AB6" s="140" t="str">
        <f>I10</f>
        <v>B</v>
      </c>
      <c r="AC6" s="140"/>
      <c r="AD6" s="141">
        <v>1</v>
      </c>
      <c r="AE6" s="139"/>
      <c r="AF6" s="139"/>
      <c r="AG6" s="139"/>
      <c r="AH6" s="139"/>
      <c r="AI6" s="139"/>
      <c r="AJ6" s="139"/>
      <c r="AK6" s="139" t="s">
        <v>157</v>
      </c>
      <c r="AL6" s="149" t="s">
        <v>96</v>
      </c>
      <c r="AM6"/>
    </row>
    <row r="7" spans="2:39" ht="16.2" customHeight="1" x14ac:dyDescent="0.4">
      <c r="Q7" s="131"/>
      <c r="R7" s="139"/>
      <c r="S7" s="139"/>
      <c r="T7" s="139"/>
      <c r="U7" s="139"/>
      <c r="V7" s="139"/>
      <c r="W7" s="139"/>
      <c r="X7" s="139"/>
      <c r="Y7" s="140">
        <v>0.2</v>
      </c>
      <c r="Z7" s="139"/>
      <c r="AA7" s="140" t="str">
        <f>I23</f>
        <v>B</v>
      </c>
      <c r="AB7" s="140"/>
      <c r="AC7" s="140" t="str">
        <f>I11</f>
        <v>B</v>
      </c>
      <c r="AD7" s="140"/>
      <c r="AE7" s="141">
        <v>0.9</v>
      </c>
      <c r="AF7" s="139"/>
      <c r="AG7" s="139"/>
      <c r="AH7" s="139"/>
      <c r="AI7" s="139"/>
      <c r="AJ7" s="139"/>
      <c r="AK7" s="139" t="s">
        <v>158</v>
      </c>
      <c r="AL7" s="149" t="s">
        <v>165</v>
      </c>
      <c r="AM7"/>
    </row>
    <row r="8" spans="2:39" ht="16.2" customHeight="1" x14ac:dyDescent="0.4">
      <c r="B8" s="140"/>
      <c r="C8" s="140"/>
      <c r="D8" s="142"/>
      <c r="E8" s="140"/>
      <c r="F8" s="139"/>
      <c r="G8" s="139"/>
      <c r="H8" s="139"/>
      <c r="I8" s="139"/>
      <c r="Q8" s="131"/>
      <c r="R8" s="139"/>
      <c r="S8" s="139"/>
      <c r="T8" s="139"/>
      <c r="U8" s="139"/>
      <c r="V8" s="139"/>
      <c r="W8" s="139"/>
      <c r="X8" s="140">
        <v>0.3</v>
      </c>
      <c r="Y8" s="139"/>
      <c r="Z8" s="140" t="str">
        <f>I35</f>
        <v>B</v>
      </c>
      <c r="AA8" s="139"/>
      <c r="AB8" s="140" t="str">
        <f>I24</f>
        <v>B</v>
      </c>
      <c r="AC8" s="139"/>
      <c r="AD8" s="140" t="str">
        <f>I12</f>
        <v>B</v>
      </c>
      <c r="AE8" s="140"/>
      <c r="AF8" s="140">
        <v>0.8</v>
      </c>
      <c r="AG8" s="139"/>
      <c r="AH8" s="396" t="s">
        <v>153</v>
      </c>
      <c r="AI8" s="396"/>
      <c r="AJ8" s="139"/>
      <c r="AK8" s="140" t="s">
        <v>159</v>
      </c>
      <c r="AL8" t="s">
        <v>2</v>
      </c>
      <c r="AM8"/>
    </row>
    <row r="9" spans="2:39" ht="16.2" customHeight="1" x14ac:dyDescent="0.4">
      <c r="B9" s="147" t="str">
        <f>'LCA &amp; Functional'!K5</f>
        <v>LCC (Euro/Unit)</v>
      </c>
      <c r="C9" s="147" t="str">
        <f>'LCA &amp; Functional'!L5</f>
        <v>LCA (Points/Unit)</v>
      </c>
      <c r="D9" s="147" t="str">
        <f>'LCA &amp; Functional'!M5</f>
        <v>Functional Assessment</v>
      </c>
      <c r="E9" s="147" t="str">
        <f>'Sensitivity Analysis'!C2</f>
        <v xml:space="preserve">CNC Milling </v>
      </c>
      <c r="F9" s="147" t="str">
        <f>'Sensitivity Analysis'!D2</f>
        <v>Water Jet Cutting</v>
      </c>
      <c r="G9" s="147" t="str">
        <f>'Sensitivity Analysis'!E2</f>
        <v>3D Printing</v>
      </c>
      <c r="H9" s="132" t="s">
        <v>154</v>
      </c>
      <c r="I9" s="139"/>
      <c r="Q9" s="131"/>
      <c r="R9" s="139"/>
      <c r="S9" s="139"/>
      <c r="T9" s="139"/>
      <c r="U9" s="139"/>
      <c r="V9" s="139"/>
      <c r="W9" s="140">
        <v>0.4</v>
      </c>
      <c r="X9" s="139"/>
      <c r="Y9" s="140" t="str">
        <f>I46</f>
        <v>B</v>
      </c>
      <c r="Z9" s="139"/>
      <c r="AA9" s="140" t="str">
        <f>I36</f>
        <v>B</v>
      </c>
      <c r="AB9" s="140"/>
      <c r="AC9" s="140" t="str">
        <f>I25</f>
        <v>B</v>
      </c>
      <c r="AD9" s="139"/>
      <c r="AE9" s="140" t="str">
        <f>I13</f>
        <v>A</v>
      </c>
      <c r="AF9" s="140"/>
      <c r="AG9" s="140">
        <v>0.7</v>
      </c>
      <c r="AH9" s="139"/>
      <c r="AI9" s="139"/>
      <c r="AJ9" s="139"/>
      <c r="AK9" s="139"/>
      <c r="AL9" s="139"/>
      <c r="AM9" s="131"/>
    </row>
    <row r="10" spans="2:39" ht="16.2" customHeight="1" x14ac:dyDescent="0.4">
      <c r="B10" s="143">
        <v>0</v>
      </c>
      <c r="C10" s="135">
        <v>0</v>
      </c>
      <c r="D10" s="143">
        <v>1</v>
      </c>
      <c r="E10" s="144">
        <f>B10*'LCA &amp; Functional'!$K$12+'Ternary Diagram'!C10*'LCA &amp; Functional'!$L$12+'Ternary Diagram'!D10*'LCA &amp; Functional'!$M$12</f>
        <v>0.9772727272727274</v>
      </c>
      <c r="F10" s="144">
        <f>B10*'LCA &amp; Functional'!$K$13+'Ternary Diagram'!C10*'LCA &amp; Functional'!$L$13+'LCA &amp; Functional'!$M$13*'Ternary Diagram'!D10</f>
        <v>1</v>
      </c>
      <c r="G10" s="144">
        <f>B10*'LCA &amp; Functional'!$K$14+'LCA &amp; Functional'!$L$14*'Ternary Diagram'!C10+'Ternary Diagram'!D10*'LCA &amp; Functional'!$M$14</f>
        <v>0.56818181818181823</v>
      </c>
      <c r="H10" s="144">
        <f>MAX(E10:G10)</f>
        <v>1</v>
      </c>
      <c r="I10" s="140" t="str">
        <f>+IF(E10=$H10,"A",(IF(F10=$H10,"B","C")))</f>
        <v>B</v>
      </c>
      <c r="Q10" s="131"/>
      <c r="R10" s="396" t="s">
        <v>155</v>
      </c>
      <c r="S10" s="396"/>
      <c r="T10" s="396"/>
      <c r="U10" s="139"/>
      <c r="V10" s="140">
        <v>0.5</v>
      </c>
      <c r="W10" s="139"/>
      <c r="X10" s="140" t="str">
        <f>I55</f>
        <v>B</v>
      </c>
      <c r="Y10" s="139"/>
      <c r="Z10" s="140" t="str">
        <f>I47</f>
        <v>A</v>
      </c>
      <c r="AA10" s="139"/>
      <c r="AB10" s="140" t="str">
        <f>I37</f>
        <v>A</v>
      </c>
      <c r="AC10" s="139"/>
      <c r="AD10" s="140" t="str">
        <f>I26</f>
        <v>A</v>
      </c>
      <c r="AE10" s="139"/>
      <c r="AF10" s="140" t="str">
        <f>I14</f>
        <v>A</v>
      </c>
      <c r="AG10" s="140"/>
      <c r="AH10" s="140">
        <v>0.6</v>
      </c>
      <c r="AI10" s="139"/>
      <c r="AJ10" s="139"/>
      <c r="AK10" s="139"/>
      <c r="AL10" s="139"/>
      <c r="AM10" s="131"/>
    </row>
    <row r="11" spans="2:39" ht="16.2" customHeight="1" x14ac:dyDescent="0.4">
      <c r="B11" s="143">
        <f>B10+10%</f>
        <v>0.1</v>
      </c>
      <c r="C11" s="135">
        <v>0</v>
      </c>
      <c r="D11" s="135">
        <f>D10-10%</f>
        <v>0.9</v>
      </c>
      <c r="E11" s="144">
        <f>B11*'LCA &amp; Functional'!$K$12+'Ternary Diagram'!C11*'LCA &amp; Functional'!$L$12+'Ternary Diagram'!D11*'LCA &amp; Functional'!$M$12</f>
        <v>0.97954545454545461</v>
      </c>
      <c r="F11" s="144">
        <f>B11*'LCA &amp; Functional'!$K$13+'Ternary Diagram'!C11*'LCA &amp; Functional'!$L$13+'LCA &amp; Functional'!$M$13*'Ternary Diagram'!D11</f>
        <v>0.99425727622725502</v>
      </c>
      <c r="G11" s="144">
        <f>B11*'LCA &amp; Functional'!$K$14+'LCA &amp; Functional'!$L$14*'Ternary Diagram'!C11+'Ternary Diagram'!D11*'LCA &amp; Functional'!$M$14</f>
        <v>0.60895166281228641</v>
      </c>
      <c r="H11" s="144">
        <f t="shared" ref="H11:H74" si="0">MAX(E11:G11)</f>
        <v>0.99425727622725502</v>
      </c>
      <c r="I11" s="140" t="str">
        <f t="shared" ref="I11:I74" si="1">+IF(E11=$H11,"A",(IF(F11=$H11,"B","C")))</f>
        <v>B</v>
      </c>
      <c r="Q11" s="131"/>
      <c r="R11" s="139"/>
      <c r="S11" s="139"/>
      <c r="T11" s="139"/>
      <c r="U11" s="140">
        <v>0.6</v>
      </c>
      <c r="V11" s="139"/>
      <c r="W11" s="140" t="str">
        <f>I63</f>
        <v>A</v>
      </c>
      <c r="X11" s="139"/>
      <c r="Y11" s="140" t="str">
        <f>I56</f>
        <v>A</v>
      </c>
      <c r="Z11" s="139"/>
      <c r="AA11" s="140" t="str">
        <f>I48</f>
        <v>A</v>
      </c>
      <c r="AB11" s="140"/>
      <c r="AC11" s="140" t="str">
        <f>I38</f>
        <v>A</v>
      </c>
      <c r="AD11" s="139"/>
      <c r="AE11" s="140" t="str">
        <f>I27</f>
        <v>A</v>
      </c>
      <c r="AF11" s="139"/>
      <c r="AG11" s="140" t="str">
        <f>I15</f>
        <v>A</v>
      </c>
      <c r="AH11" s="140"/>
      <c r="AI11" s="140">
        <v>0.5</v>
      </c>
      <c r="AJ11" s="139"/>
      <c r="AK11" s="139"/>
      <c r="AL11" s="139"/>
      <c r="AM11" s="131"/>
    </row>
    <row r="12" spans="2:39" ht="16.2" customHeight="1" x14ac:dyDescent="0.4">
      <c r="B12" s="143">
        <f t="shared" ref="B12:B19" si="2">B11+10%</f>
        <v>0.2</v>
      </c>
      <c r="C12" s="135">
        <v>0</v>
      </c>
      <c r="D12" s="135">
        <f t="shared" ref="D12:D20" si="3">D11-10%</f>
        <v>0.8</v>
      </c>
      <c r="E12" s="144">
        <f>B12*'LCA &amp; Functional'!$K$12+'Ternary Diagram'!C12*'LCA &amp; Functional'!$L$12+'Ternary Diagram'!D12*'LCA &amp; Functional'!$M$12</f>
        <v>0.98181818181818192</v>
      </c>
      <c r="F12" s="144">
        <f>B12*'LCA &amp; Functional'!$K$13+'Ternary Diagram'!C12*'LCA &amp; Functional'!$L$13+'LCA &amp; Functional'!$M$13*'Ternary Diagram'!D12</f>
        <v>0.98851455245451014</v>
      </c>
      <c r="G12" s="144">
        <f>B12*'LCA &amp; Functional'!$K$14+'LCA &amp; Functional'!$L$14*'Ternary Diagram'!C12+'Ternary Diagram'!D12*'LCA &amp; Functional'!$M$14</f>
        <v>0.64972150744275436</v>
      </c>
      <c r="H12" s="144">
        <f t="shared" si="0"/>
        <v>0.98851455245451014</v>
      </c>
      <c r="I12" s="140" t="str">
        <f t="shared" si="1"/>
        <v>B</v>
      </c>
      <c r="Q12" s="131"/>
      <c r="R12" s="139"/>
      <c r="S12" s="139"/>
      <c r="T12" s="140">
        <v>0.7</v>
      </c>
      <c r="U12" s="139"/>
      <c r="V12" s="140" t="str">
        <f>I70</f>
        <v>C</v>
      </c>
      <c r="W12" s="139"/>
      <c r="X12" s="140" t="str">
        <f>I64</f>
        <v>A</v>
      </c>
      <c r="Y12" s="139"/>
      <c r="Z12" s="140" t="str">
        <f>I57</f>
        <v>A</v>
      </c>
      <c r="AA12" s="139"/>
      <c r="AB12" s="140" t="str">
        <f>I49</f>
        <v>A</v>
      </c>
      <c r="AC12" s="139"/>
      <c r="AD12" s="140" t="str">
        <f>I39</f>
        <v>A</v>
      </c>
      <c r="AE12" s="139"/>
      <c r="AF12" s="140" t="str">
        <f>I28</f>
        <v>A</v>
      </c>
      <c r="AG12" s="139"/>
      <c r="AH12" s="140" t="str">
        <f>I16</f>
        <v>A</v>
      </c>
      <c r="AI12" s="140"/>
      <c r="AJ12" s="140">
        <v>0.4</v>
      </c>
      <c r="AK12" s="139"/>
      <c r="AL12" s="139"/>
      <c r="AM12" s="131"/>
    </row>
    <row r="13" spans="2:39" ht="16.2" customHeight="1" x14ac:dyDescent="0.4">
      <c r="B13" s="143">
        <f t="shared" si="2"/>
        <v>0.30000000000000004</v>
      </c>
      <c r="C13" s="135">
        <v>0</v>
      </c>
      <c r="D13" s="135">
        <f t="shared" si="3"/>
        <v>0.70000000000000007</v>
      </c>
      <c r="E13" s="144">
        <f>B13*'LCA &amp; Functional'!$K$12+'Ternary Diagram'!C13*'LCA &amp; Functional'!$L$12+'Ternary Diagram'!D13*'LCA &amp; Functional'!$M$12</f>
        <v>0.98409090909090924</v>
      </c>
      <c r="F13" s="144">
        <f>B13*'LCA &amp; Functional'!$K$13+'Ternary Diagram'!C13*'LCA &amp; Functional'!$L$13+'LCA &amp; Functional'!$M$13*'Ternary Diagram'!D13</f>
        <v>0.98277182868176527</v>
      </c>
      <c r="G13" s="144">
        <f>B13*'LCA &amp; Functional'!$K$14+'LCA &amp; Functional'!$L$14*'Ternary Diagram'!C13+'Ternary Diagram'!D13*'LCA &amp; Functional'!$M$14</f>
        <v>0.69049135207322254</v>
      </c>
      <c r="H13" s="144">
        <f t="shared" si="0"/>
        <v>0.98409090909090924</v>
      </c>
      <c r="I13" s="140" t="str">
        <f t="shared" si="1"/>
        <v>A</v>
      </c>
      <c r="Q13" s="131"/>
      <c r="R13" s="139"/>
      <c r="S13" s="140">
        <v>0.8</v>
      </c>
      <c r="T13" s="139"/>
      <c r="U13" s="140" t="str">
        <f>I76</f>
        <v>C</v>
      </c>
      <c r="V13" s="140"/>
      <c r="W13" s="140" t="str">
        <f>I71</f>
        <v>C</v>
      </c>
      <c r="X13" s="139"/>
      <c r="Y13" s="140" t="str">
        <f>I65</f>
        <v>C</v>
      </c>
      <c r="Z13" s="139"/>
      <c r="AA13" s="140" t="str">
        <f>I58</f>
        <v>A</v>
      </c>
      <c r="AB13" s="140"/>
      <c r="AC13" s="140" t="str">
        <f>I50</f>
        <v>A</v>
      </c>
      <c r="AD13" s="139"/>
      <c r="AE13" s="140" t="str">
        <f>I40</f>
        <v>A</v>
      </c>
      <c r="AF13" s="139"/>
      <c r="AG13" s="140" t="str">
        <f>I29</f>
        <v>A</v>
      </c>
      <c r="AH13" s="139"/>
      <c r="AI13" s="140" t="str">
        <f>I17</f>
        <v>A</v>
      </c>
      <c r="AJ13" s="140"/>
      <c r="AK13" s="140">
        <v>0.3</v>
      </c>
      <c r="AL13" s="139"/>
      <c r="AM13" s="131"/>
    </row>
    <row r="14" spans="2:39" ht="16.2" customHeight="1" x14ac:dyDescent="0.4">
      <c r="B14" s="143">
        <f t="shared" si="2"/>
        <v>0.4</v>
      </c>
      <c r="C14" s="135">
        <v>0</v>
      </c>
      <c r="D14" s="135">
        <f t="shared" si="3"/>
        <v>0.60000000000000009</v>
      </c>
      <c r="E14" s="144">
        <f>B14*'LCA &amp; Functional'!$K$12+'Ternary Diagram'!C14*'LCA &amp; Functional'!$L$12+'Ternary Diagram'!D14*'LCA &amp; Functional'!$M$12</f>
        <v>0.98636363636363655</v>
      </c>
      <c r="F14" s="144">
        <f>B14*'LCA &amp; Functional'!$K$13+'Ternary Diagram'!C14*'LCA &amp; Functional'!$L$13+'LCA &amp; Functional'!$M$13*'Ternary Diagram'!D14</f>
        <v>0.97702910490902029</v>
      </c>
      <c r="G14" s="144">
        <f>B14*'LCA &amp; Functional'!$K$14+'LCA &amp; Functional'!$L$14*'Ternary Diagram'!C14+'Ternary Diagram'!D14*'LCA &amp; Functional'!$M$14</f>
        <v>0.73126119670369061</v>
      </c>
      <c r="H14" s="144">
        <f t="shared" si="0"/>
        <v>0.98636363636363655</v>
      </c>
      <c r="I14" s="140" t="str">
        <f t="shared" si="1"/>
        <v>A</v>
      </c>
      <c r="Q14" s="131"/>
      <c r="R14" s="140">
        <v>0.9</v>
      </c>
      <c r="S14" s="139"/>
      <c r="T14" s="140" t="str">
        <f>I81</f>
        <v>C</v>
      </c>
      <c r="U14" s="140"/>
      <c r="V14" s="140" t="str">
        <f>I77</f>
        <v>C</v>
      </c>
      <c r="W14" s="139"/>
      <c r="X14" s="140" t="str">
        <f>I72</f>
        <v>C</v>
      </c>
      <c r="Y14" s="139"/>
      <c r="Z14" s="140" t="str">
        <f>I65</f>
        <v>C</v>
      </c>
      <c r="AA14" s="139"/>
      <c r="AB14" s="140" t="str">
        <f>I59</f>
        <v>C</v>
      </c>
      <c r="AC14" s="139"/>
      <c r="AD14" s="140" t="str">
        <f>I51</f>
        <v>C</v>
      </c>
      <c r="AE14" s="139"/>
      <c r="AF14" s="140" t="str">
        <f>I41</f>
        <v>A</v>
      </c>
      <c r="AG14" s="139"/>
      <c r="AH14" s="140" t="str">
        <f>I30</f>
        <v>A</v>
      </c>
      <c r="AI14" s="139"/>
      <c r="AJ14" s="140" t="str">
        <f>I18</f>
        <v>A</v>
      </c>
      <c r="AK14" s="141"/>
      <c r="AL14" s="140">
        <v>0.2</v>
      </c>
      <c r="AM14" s="131"/>
    </row>
    <row r="15" spans="2:39" ht="16.2" customHeight="1" x14ac:dyDescent="0.4">
      <c r="B15" s="143">
        <f t="shared" si="2"/>
        <v>0.5</v>
      </c>
      <c r="C15" s="135">
        <v>0</v>
      </c>
      <c r="D15" s="135">
        <f t="shared" si="3"/>
        <v>0.50000000000000011</v>
      </c>
      <c r="E15" s="144">
        <f>B15*'LCA &amp; Functional'!$K$12+'Ternary Diagram'!C15*'LCA &amp; Functional'!$L$12+'Ternary Diagram'!D15*'LCA &amp; Functional'!$M$12</f>
        <v>0.98863636363636376</v>
      </c>
      <c r="F15" s="144">
        <f>B15*'LCA &amp; Functional'!$K$13+'Ternary Diagram'!C15*'LCA &amp; Functional'!$L$13+'LCA &amp; Functional'!$M$13*'Ternary Diagram'!D15</f>
        <v>0.9712863811362753</v>
      </c>
      <c r="G15" s="144">
        <f>B15*'LCA &amp; Functional'!$K$14+'LCA &amp; Functional'!$L$14*'Ternary Diagram'!C15+'Ternary Diagram'!D15*'LCA &amp; Functional'!$M$14</f>
        <v>0.77203104133415867</v>
      </c>
      <c r="H15" s="144">
        <f t="shared" si="0"/>
        <v>0.98863636363636376</v>
      </c>
      <c r="I15" s="140" t="str">
        <f t="shared" si="1"/>
        <v>A</v>
      </c>
      <c r="Q15" s="140">
        <v>1</v>
      </c>
      <c r="R15" s="139"/>
      <c r="S15" s="140" t="str">
        <f>I85</f>
        <v>C</v>
      </c>
      <c r="T15" s="139"/>
      <c r="U15" s="140" t="str">
        <f>I82</f>
        <v>C</v>
      </c>
      <c r="V15" s="140"/>
      <c r="W15" s="140" t="str">
        <f>I78</f>
        <v>C</v>
      </c>
      <c r="X15" s="139"/>
      <c r="Y15" s="140" t="str">
        <f>I73</f>
        <v>C</v>
      </c>
      <c r="Z15" s="139"/>
      <c r="AA15" s="140" t="str">
        <f>I67</f>
        <v>C</v>
      </c>
      <c r="AB15" s="140"/>
      <c r="AC15" s="140" t="str">
        <f>I60</f>
        <v>C</v>
      </c>
      <c r="AD15" s="139"/>
      <c r="AE15" s="140" t="str">
        <f>I52</f>
        <v>C</v>
      </c>
      <c r="AF15" s="139"/>
      <c r="AG15" s="140" t="str">
        <f>I42</f>
        <v>C</v>
      </c>
      <c r="AH15" s="139"/>
      <c r="AI15" s="140" t="str">
        <f>I31</f>
        <v>A</v>
      </c>
      <c r="AJ15" s="139"/>
      <c r="AK15" s="140" t="str">
        <f>I19</f>
        <v>A</v>
      </c>
      <c r="AL15" s="140"/>
      <c r="AM15" s="140">
        <v>0.1</v>
      </c>
    </row>
    <row r="16" spans="2:39" ht="16.2" customHeight="1" x14ac:dyDescent="0.4">
      <c r="B16" s="143">
        <f t="shared" si="2"/>
        <v>0.6</v>
      </c>
      <c r="C16" s="135">
        <v>0</v>
      </c>
      <c r="D16" s="135">
        <f t="shared" si="3"/>
        <v>0.40000000000000013</v>
      </c>
      <c r="E16" s="144">
        <f>B16*'LCA &amp; Functional'!$K$12+'Ternary Diagram'!C16*'LCA &amp; Functional'!$L$12+'Ternary Diagram'!D16*'LCA &amp; Functional'!$M$12</f>
        <v>0.99090909090909107</v>
      </c>
      <c r="F16" s="144">
        <f>B16*'LCA &amp; Functional'!$K$13+'Ternary Diagram'!C16*'LCA &amp; Functional'!$L$13+'LCA &amp; Functional'!$M$13*'Ternary Diagram'!D16</f>
        <v>0.96554365736353032</v>
      </c>
      <c r="G16" s="144">
        <f>B16*'LCA &amp; Functional'!$K$14+'LCA &amp; Functional'!$L$14*'Ternary Diagram'!C16+'Ternary Diagram'!D16*'LCA &amp; Functional'!$M$14</f>
        <v>0.81280088596462674</v>
      </c>
      <c r="H16" s="144">
        <f t="shared" si="0"/>
        <v>0.99090909090909107</v>
      </c>
      <c r="I16" s="140" t="str">
        <f t="shared" si="1"/>
        <v>A</v>
      </c>
      <c r="Q16" s="131"/>
      <c r="R16" s="140" t="str">
        <f>I88</f>
        <v>C</v>
      </c>
      <c r="S16" s="139"/>
      <c r="T16" s="140" t="str">
        <f>I86</f>
        <v>C</v>
      </c>
      <c r="U16" s="139"/>
      <c r="V16" s="140" t="str">
        <f>I83</f>
        <v>C</v>
      </c>
      <c r="W16" s="139"/>
      <c r="X16" s="140" t="str">
        <f>I79</f>
        <v>C</v>
      </c>
      <c r="Y16" s="139"/>
      <c r="Z16" s="140" t="str">
        <f>I74</f>
        <v>C</v>
      </c>
      <c r="AA16" s="139"/>
      <c r="AB16" s="140" t="str">
        <f>I68</f>
        <v>C</v>
      </c>
      <c r="AC16" s="139"/>
      <c r="AD16" s="140" t="str">
        <f>I61</f>
        <v>C</v>
      </c>
      <c r="AE16" s="139"/>
      <c r="AF16" s="140" t="str">
        <f>I53</f>
        <v>C</v>
      </c>
      <c r="AG16" s="139"/>
      <c r="AH16" s="140" t="str">
        <f>I43</f>
        <v>C</v>
      </c>
      <c r="AI16" s="139"/>
      <c r="AJ16" s="140" t="str">
        <f>I32</f>
        <v>C</v>
      </c>
      <c r="AK16" s="139"/>
      <c r="AL16" s="140" t="str">
        <f>I20</f>
        <v>A</v>
      </c>
      <c r="AM16" s="131"/>
    </row>
    <row r="17" spans="2:39" x14ac:dyDescent="0.4">
      <c r="B17" s="143">
        <f t="shared" si="2"/>
        <v>0.7</v>
      </c>
      <c r="C17" s="135">
        <v>0</v>
      </c>
      <c r="D17" s="135">
        <f t="shared" si="3"/>
        <v>0.30000000000000016</v>
      </c>
      <c r="E17" s="144">
        <f>B17*'LCA &amp; Functional'!$K$12+'Ternary Diagram'!C17*'LCA &amp; Functional'!$L$12+'Ternary Diagram'!D17*'LCA &amp; Functional'!$M$12</f>
        <v>0.99318181818181839</v>
      </c>
      <c r="F17" s="144">
        <f>B17*'LCA &amp; Functional'!$K$13+'Ternary Diagram'!C17*'LCA &amp; Functional'!$L$13+'LCA &amp; Functional'!$M$13*'Ternary Diagram'!D17</f>
        <v>0.95980093359078533</v>
      </c>
      <c r="G17" s="144">
        <f>B17*'LCA &amp; Functional'!$K$14+'LCA &amp; Functional'!$L$14*'Ternary Diagram'!C17+'Ternary Diagram'!D17*'LCA &amp; Functional'!$M$14</f>
        <v>0.8535707305950947</v>
      </c>
      <c r="H17" s="144">
        <f t="shared" si="0"/>
        <v>0.99318181818181839</v>
      </c>
      <c r="I17" s="140" t="str">
        <f t="shared" si="1"/>
        <v>A</v>
      </c>
      <c r="J17" s="145"/>
      <c r="Q17" s="140">
        <v>0</v>
      </c>
      <c r="R17" s="131"/>
      <c r="S17" s="140">
        <v>0.1</v>
      </c>
      <c r="T17" s="139"/>
      <c r="U17" s="140">
        <v>0.2</v>
      </c>
      <c r="V17" s="131"/>
      <c r="W17" s="140">
        <v>0.3</v>
      </c>
      <c r="X17" s="131"/>
      <c r="Y17" s="140">
        <v>0.4</v>
      </c>
      <c r="Z17" s="131"/>
      <c r="AA17" s="140">
        <v>0.5</v>
      </c>
      <c r="AB17" s="143"/>
      <c r="AC17" s="140">
        <v>0.6</v>
      </c>
      <c r="AD17" s="131"/>
      <c r="AE17" s="140">
        <v>0.7</v>
      </c>
      <c r="AF17" s="131"/>
      <c r="AG17" s="140">
        <v>0.8</v>
      </c>
      <c r="AH17" s="131"/>
      <c r="AI17" s="140">
        <v>0.9</v>
      </c>
      <c r="AJ17" s="131"/>
      <c r="AK17" s="140">
        <v>1</v>
      </c>
      <c r="AL17" s="131"/>
      <c r="AM17" s="131"/>
    </row>
    <row r="18" spans="2:39" x14ac:dyDescent="0.4">
      <c r="B18" s="143">
        <f t="shared" si="2"/>
        <v>0.79999999999999993</v>
      </c>
      <c r="C18" s="135">
        <v>0</v>
      </c>
      <c r="D18" s="135">
        <f t="shared" si="3"/>
        <v>0.20000000000000015</v>
      </c>
      <c r="E18" s="144">
        <f>B18*'LCA &amp; Functional'!$K$12+'Ternary Diagram'!C18*'LCA &amp; Functional'!$L$12+'Ternary Diagram'!D18*'LCA &amp; Functional'!$M$12</f>
        <v>0.99545454545454559</v>
      </c>
      <c r="F18" s="144">
        <f>B18*'LCA &amp; Functional'!$K$13+'Ternary Diagram'!C18*'LCA &amp; Functional'!$L$13+'LCA &amp; Functional'!$M$13*'Ternary Diagram'!D18</f>
        <v>0.95405820981804035</v>
      </c>
      <c r="G18" s="144">
        <f>B18*'LCA &amp; Functional'!$K$14+'LCA &amp; Functional'!$L$14*'Ternary Diagram'!C18+'Ternary Diagram'!D18*'LCA &amp; Functional'!$M$14</f>
        <v>0.89434057522556276</v>
      </c>
      <c r="H18" s="144">
        <f t="shared" si="0"/>
        <v>0.99545454545454559</v>
      </c>
      <c r="I18" s="140" t="str">
        <f t="shared" si="1"/>
        <v>A</v>
      </c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</row>
    <row r="19" spans="2:39" x14ac:dyDescent="0.4">
      <c r="B19" s="143">
        <f t="shared" si="2"/>
        <v>0.89999999999999991</v>
      </c>
      <c r="C19" s="135">
        <v>0</v>
      </c>
      <c r="D19" s="135">
        <f t="shared" si="3"/>
        <v>0.10000000000000014</v>
      </c>
      <c r="E19" s="144">
        <f>B19*'LCA &amp; Functional'!$K$12+'Ternary Diagram'!C19*'LCA &amp; Functional'!$L$12+'Ternary Diagram'!D19*'LCA &amp; Functional'!$M$12</f>
        <v>0.9977272727272728</v>
      </c>
      <c r="F19" s="144">
        <f>B19*'LCA &amp; Functional'!$K$13+'Ternary Diagram'!C19*'LCA &amp; Functional'!$L$13+'LCA &amp; Functional'!$M$13*'Ternary Diagram'!D19</f>
        <v>0.94831548604529536</v>
      </c>
      <c r="G19" s="144">
        <f>B19*'LCA &amp; Functional'!$K$14+'LCA &amp; Functional'!$L$14*'Ternary Diagram'!C19+'Ternary Diagram'!D19*'LCA &amp; Functional'!$M$14</f>
        <v>0.93511041985603083</v>
      </c>
      <c r="H19" s="144">
        <f t="shared" si="0"/>
        <v>0.9977272727272728</v>
      </c>
      <c r="I19" s="140" t="str">
        <f t="shared" si="1"/>
        <v>A</v>
      </c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396" t="s">
        <v>156</v>
      </c>
      <c r="AB19" s="396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</row>
    <row r="20" spans="2:39" x14ac:dyDescent="0.4">
      <c r="B20" s="143">
        <f>B19+10%</f>
        <v>0.99999999999999989</v>
      </c>
      <c r="C20" s="135">
        <v>0</v>
      </c>
      <c r="D20" s="135">
        <f t="shared" si="3"/>
        <v>1.3877787807814457E-16</v>
      </c>
      <c r="E20" s="144">
        <f>B20*'LCA &amp; Functional'!$K$12+'Ternary Diagram'!C20*'LCA &amp; Functional'!$L$12+'Ternary Diagram'!D20*'LCA &amp; Functional'!$M$12</f>
        <v>1</v>
      </c>
      <c r="F20" s="144">
        <f>B20*'LCA &amp; Functional'!$K$13+'Ternary Diagram'!C20*'LCA &amp; Functional'!$L$13+'LCA &amp; Functional'!$M$13*'Ternary Diagram'!D20</f>
        <v>0.94257276227255027</v>
      </c>
      <c r="G20" s="144">
        <f>B20*'LCA &amp; Functional'!$K$14+'LCA &amp; Functional'!$L$14*'Ternary Diagram'!C20+'Ternary Diagram'!D20*'LCA &amp; Functional'!$M$14</f>
        <v>0.97588026448649889</v>
      </c>
      <c r="H20" s="144">
        <f t="shared" si="0"/>
        <v>1</v>
      </c>
      <c r="I20" s="140" t="str">
        <f t="shared" si="1"/>
        <v>A</v>
      </c>
    </row>
    <row r="21" spans="2:39" x14ac:dyDescent="0.4">
      <c r="B21" s="131"/>
      <c r="C21" s="131"/>
      <c r="D21" s="131"/>
      <c r="E21" s="144"/>
      <c r="F21" s="144"/>
      <c r="G21" s="144"/>
      <c r="H21" s="144"/>
      <c r="I21" s="140"/>
      <c r="X21" s="148" t="s">
        <v>152</v>
      </c>
    </row>
    <row r="22" spans="2:39" x14ac:dyDescent="0.4">
      <c r="B22" s="131"/>
      <c r="C22" s="131"/>
      <c r="D22" s="131"/>
      <c r="E22" s="144"/>
      <c r="F22" s="144"/>
      <c r="G22" s="144"/>
      <c r="H22" s="144"/>
      <c r="I22" s="140"/>
    </row>
    <row r="23" spans="2:39" x14ac:dyDescent="0.4">
      <c r="B23" s="143">
        <v>0</v>
      </c>
      <c r="C23" s="133">
        <v>0.1</v>
      </c>
      <c r="D23" s="133">
        <f>1-C23-B23</f>
        <v>0.9</v>
      </c>
      <c r="E23" s="144">
        <f>B23*'LCA &amp; Functional'!$K$12+'Ternary Diagram'!C23*'LCA &amp; Functional'!$L$12+'Ternary Diagram'!D23*'LCA &amp; Functional'!$M$12</f>
        <v>0.9470803138829611</v>
      </c>
      <c r="F23" s="144">
        <f>B23*'LCA &amp; Functional'!$K$13+'Ternary Diagram'!C23*'LCA &amp; Functional'!$L$13+'LCA &amp; Functional'!$M$13*'Ternary Diagram'!D23</f>
        <v>0.96438608745492982</v>
      </c>
      <c r="G23" s="144">
        <f>B23*'LCA &amp; Functional'!$K$14+'LCA &amp; Functional'!$L$14*'Ternary Diagram'!C23+'Ternary Diagram'!D23*'LCA &amp; Functional'!$M$14</f>
        <v>0.61136363636363644</v>
      </c>
      <c r="H23" s="144">
        <f t="shared" si="0"/>
        <v>0.96438608745492982</v>
      </c>
      <c r="I23" s="140" t="str">
        <f t="shared" si="1"/>
        <v>B</v>
      </c>
    </row>
    <row r="24" spans="2:39" x14ac:dyDescent="0.4">
      <c r="B24" s="133">
        <v>0.1</v>
      </c>
      <c r="C24" s="133">
        <v>0.1</v>
      </c>
      <c r="D24" s="133">
        <f>1-C24-B24</f>
        <v>0.8</v>
      </c>
      <c r="E24" s="144">
        <f>B24*'LCA &amp; Functional'!$K$12+'Ternary Diagram'!C24*'LCA &amp; Functional'!$L$12+'Ternary Diagram'!D24*'LCA &amp; Functional'!$M$12</f>
        <v>0.94935304115568853</v>
      </c>
      <c r="F24" s="144">
        <f>B24*'LCA &amp; Functional'!$K$13+'Ternary Diagram'!C24*'LCA &amp; Functional'!$L$13+'LCA &amp; Functional'!$M$13*'Ternary Diagram'!D24</f>
        <v>0.95864336368218483</v>
      </c>
      <c r="G24" s="144">
        <f>B24*'LCA &amp; Functional'!$K$14+'LCA &amp; Functional'!$L$14*'Ternary Diagram'!C24+'Ternary Diagram'!D24*'LCA &amp; Functional'!$M$14</f>
        <v>0.65213348099410451</v>
      </c>
      <c r="H24" s="144">
        <f t="shared" si="0"/>
        <v>0.95864336368218483</v>
      </c>
      <c r="I24" s="140" t="str">
        <f t="shared" si="1"/>
        <v>B</v>
      </c>
    </row>
    <row r="25" spans="2:39" x14ac:dyDescent="0.4">
      <c r="B25" s="133">
        <f>+B24+0.1</f>
        <v>0.2</v>
      </c>
      <c r="C25" s="133">
        <f>+C24</f>
        <v>0.1</v>
      </c>
      <c r="D25" s="133">
        <f t="shared" ref="D25:D32" si="4">1-C25-B25</f>
        <v>0.7</v>
      </c>
      <c r="E25" s="144">
        <f>B25*'LCA &amp; Functional'!$K$12+'Ternary Diagram'!C25*'LCA &amp; Functional'!$L$12+'Ternary Diagram'!D25*'LCA &amp; Functional'!$M$12</f>
        <v>0.95162576842841573</v>
      </c>
      <c r="F25" s="144">
        <f>B25*'LCA &amp; Functional'!$K$13+'Ternary Diagram'!C25*'LCA &amp; Functional'!$L$13+'LCA &amp; Functional'!$M$13*'Ternary Diagram'!D25</f>
        <v>0.95290063990943974</v>
      </c>
      <c r="G25" s="144">
        <f>B25*'LCA &amp; Functional'!$K$14+'LCA &amp; Functional'!$L$14*'Ternary Diagram'!C25+'Ternary Diagram'!D25*'LCA &amp; Functional'!$M$14</f>
        <v>0.69290332562457246</v>
      </c>
      <c r="H25" s="144">
        <f t="shared" si="0"/>
        <v>0.95290063990943974</v>
      </c>
      <c r="I25" s="140" t="str">
        <f t="shared" si="1"/>
        <v>B</v>
      </c>
    </row>
    <row r="26" spans="2:39" x14ac:dyDescent="0.4">
      <c r="B26" s="133">
        <f t="shared" ref="B26:B32" si="5">+B25+0.1</f>
        <v>0.30000000000000004</v>
      </c>
      <c r="C26" s="133">
        <f t="shared" ref="C26:C32" si="6">+C25</f>
        <v>0.1</v>
      </c>
      <c r="D26" s="133">
        <f t="shared" si="4"/>
        <v>0.6</v>
      </c>
      <c r="E26" s="144">
        <f>B26*'LCA &amp; Functional'!$K$12+'Ternary Diagram'!C26*'LCA &amp; Functional'!$L$12+'Ternary Diagram'!D26*'LCA &amp; Functional'!$M$12</f>
        <v>0.95389849570114293</v>
      </c>
      <c r="F26" s="144">
        <f>B26*'LCA &amp; Functional'!$K$13+'Ternary Diagram'!C26*'LCA &amp; Functional'!$L$13+'LCA &amp; Functional'!$M$13*'Ternary Diagram'!D26</f>
        <v>0.94715791613669487</v>
      </c>
      <c r="G26" s="144">
        <f>B26*'LCA &amp; Functional'!$K$14+'LCA &amp; Functional'!$L$14*'Ternary Diagram'!C26+'Ternary Diagram'!D26*'LCA &amp; Functional'!$M$14</f>
        <v>0.73367317025504064</v>
      </c>
      <c r="H26" s="144">
        <f t="shared" si="0"/>
        <v>0.95389849570114293</v>
      </c>
      <c r="I26" s="140" t="str">
        <f t="shared" si="1"/>
        <v>A</v>
      </c>
    </row>
    <row r="27" spans="2:39" x14ac:dyDescent="0.4">
      <c r="B27" s="133">
        <f t="shared" si="5"/>
        <v>0.4</v>
      </c>
      <c r="C27" s="133">
        <f t="shared" si="6"/>
        <v>0.1</v>
      </c>
      <c r="D27" s="133">
        <f t="shared" si="4"/>
        <v>0.5</v>
      </c>
      <c r="E27" s="144">
        <f>B27*'LCA &amp; Functional'!$K$12+'Ternary Diagram'!C27*'LCA &amp; Functional'!$L$12+'Ternary Diagram'!D27*'LCA &amp; Functional'!$M$12</f>
        <v>0.95617122297387025</v>
      </c>
      <c r="F27" s="144">
        <f>B27*'LCA &amp; Functional'!$K$13+'Ternary Diagram'!C27*'LCA &amp; Functional'!$L$13+'LCA &amp; Functional'!$M$13*'Ternary Diagram'!D27</f>
        <v>0.94141519236394988</v>
      </c>
      <c r="G27" s="144">
        <f>B27*'LCA &amp; Functional'!$K$14+'LCA &amp; Functional'!$L$14*'Ternary Diagram'!C27+'Ternary Diagram'!D27*'LCA &amp; Functional'!$M$14</f>
        <v>0.7744430148855086</v>
      </c>
      <c r="H27" s="144">
        <f t="shared" si="0"/>
        <v>0.95617122297387025</v>
      </c>
      <c r="I27" s="140" t="str">
        <f t="shared" si="1"/>
        <v>A</v>
      </c>
    </row>
    <row r="28" spans="2:39" x14ac:dyDescent="0.4">
      <c r="B28" s="133">
        <f t="shared" si="5"/>
        <v>0.5</v>
      </c>
      <c r="C28" s="133">
        <f t="shared" si="6"/>
        <v>0.1</v>
      </c>
      <c r="D28" s="133">
        <f t="shared" si="4"/>
        <v>0.4</v>
      </c>
      <c r="E28" s="144">
        <f>B28*'LCA &amp; Functional'!$K$12+'Ternary Diagram'!C28*'LCA &amp; Functional'!$L$12+'Ternary Diagram'!D28*'LCA &amp; Functional'!$M$12</f>
        <v>0.95844395024659745</v>
      </c>
      <c r="F28" s="144">
        <f>B28*'LCA &amp; Functional'!$K$13+'Ternary Diagram'!C28*'LCA &amp; Functional'!$L$13+'LCA &amp; Functional'!$M$13*'Ternary Diagram'!D28</f>
        <v>0.9356724685912049</v>
      </c>
      <c r="G28" s="144">
        <f>B28*'LCA &amp; Functional'!$K$14+'LCA &amp; Functional'!$L$14*'Ternary Diagram'!C28+'Ternary Diagram'!D28*'LCA &amp; Functional'!$M$14</f>
        <v>0.81521285951597677</v>
      </c>
      <c r="H28" s="144">
        <f t="shared" si="0"/>
        <v>0.95844395024659745</v>
      </c>
      <c r="I28" s="140" t="str">
        <f t="shared" si="1"/>
        <v>A</v>
      </c>
    </row>
    <row r="29" spans="2:39" x14ac:dyDescent="0.4">
      <c r="B29" s="133">
        <f t="shared" si="5"/>
        <v>0.6</v>
      </c>
      <c r="C29" s="133">
        <f t="shared" si="6"/>
        <v>0.1</v>
      </c>
      <c r="D29" s="133">
        <f t="shared" si="4"/>
        <v>0.30000000000000004</v>
      </c>
      <c r="E29" s="144">
        <f>B29*'LCA &amp; Functional'!$K$12+'Ternary Diagram'!C29*'LCA &amp; Functional'!$L$12+'Ternary Diagram'!D29*'LCA &amp; Functional'!$M$12</f>
        <v>0.96071667751932477</v>
      </c>
      <c r="F29" s="144">
        <f>B29*'LCA &amp; Functional'!$K$13+'Ternary Diagram'!C29*'LCA &amp; Functional'!$L$13+'LCA &amp; Functional'!$M$13*'Ternary Diagram'!D29</f>
        <v>0.92992974481846002</v>
      </c>
      <c r="G29" s="144">
        <f>B29*'LCA &amp; Functional'!$K$14+'LCA &amp; Functional'!$L$14*'Ternary Diagram'!C29+'Ternary Diagram'!D29*'LCA &amp; Functional'!$M$14</f>
        <v>0.85598270414644484</v>
      </c>
      <c r="H29" s="144">
        <f t="shared" si="0"/>
        <v>0.96071667751932477</v>
      </c>
      <c r="I29" s="140" t="str">
        <f t="shared" si="1"/>
        <v>A</v>
      </c>
    </row>
    <row r="30" spans="2:39" x14ac:dyDescent="0.4">
      <c r="B30" s="133">
        <f t="shared" si="5"/>
        <v>0.7</v>
      </c>
      <c r="C30" s="133">
        <f t="shared" si="6"/>
        <v>0.1</v>
      </c>
      <c r="D30" s="133">
        <f t="shared" si="4"/>
        <v>0.20000000000000007</v>
      </c>
      <c r="E30" s="144">
        <f>B30*'LCA &amp; Functional'!$K$12+'Ternary Diagram'!C30*'LCA &amp; Functional'!$L$12+'Ternary Diagram'!D30*'LCA &amp; Functional'!$M$12</f>
        <v>0.96298940479205197</v>
      </c>
      <c r="F30" s="144">
        <f>B30*'LCA &amp; Functional'!$K$13+'Ternary Diagram'!C30*'LCA &amp; Functional'!$L$13+'LCA &amp; Functional'!$M$13*'Ternary Diagram'!D30</f>
        <v>0.92418702104571504</v>
      </c>
      <c r="G30" s="144">
        <f>B30*'LCA &amp; Functional'!$K$14+'LCA &amp; Functional'!$L$14*'Ternary Diagram'!C30+'Ternary Diagram'!D30*'LCA &amp; Functional'!$M$14</f>
        <v>0.89675254877691279</v>
      </c>
      <c r="H30" s="144">
        <f t="shared" si="0"/>
        <v>0.96298940479205197</v>
      </c>
      <c r="I30" s="140" t="str">
        <f t="shared" si="1"/>
        <v>A</v>
      </c>
    </row>
    <row r="31" spans="2:39" x14ac:dyDescent="0.4">
      <c r="B31" s="133">
        <f t="shared" si="5"/>
        <v>0.79999999999999993</v>
      </c>
      <c r="C31" s="133">
        <f t="shared" si="6"/>
        <v>0.1</v>
      </c>
      <c r="D31" s="133">
        <f t="shared" si="4"/>
        <v>0.10000000000000009</v>
      </c>
      <c r="E31" s="144">
        <f>B31*'LCA &amp; Functional'!$K$12+'Ternary Diagram'!C31*'LCA &amp; Functional'!$L$12+'Ternary Diagram'!D31*'LCA &amp; Functional'!$M$12</f>
        <v>0.96526213206477918</v>
      </c>
      <c r="F31" s="144">
        <f>B31*'LCA &amp; Functional'!$K$13+'Ternary Diagram'!C31*'LCA &amp; Functional'!$L$13+'LCA &amp; Functional'!$M$13*'Ternary Diagram'!D31</f>
        <v>0.91844429727297006</v>
      </c>
      <c r="G31" s="144">
        <f>B31*'LCA &amp; Functional'!$K$14+'LCA &amp; Functional'!$L$14*'Ternary Diagram'!C31+'Ternary Diagram'!D31*'LCA &amp; Functional'!$M$14</f>
        <v>0.93752239340738086</v>
      </c>
      <c r="H31" s="144">
        <f t="shared" si="0"/>
        <v>0.96526213206477918</v>
      </c>
      <c r="I31" s="140" t="str">
        <f t="shared" si="1"/>
        <v>A</v>
      </c>
    </row>
    <row r="32" spans="2:39" x14ac:dyDescent="0.4">
      <c r="B32" s="133">
        <f t="shared" si="5"/>
        <v>0.89999999999999991</v>
      </c>
      <c r="C32" s="133">
        <f t="shared" si="6"/>
        <v>0.1</v>
      </c>
      <c r="D32" s="133">
        <f t="shared" si="4"/>
        <v>0</v>
      </c>
      <c r="E32" s="144">
        <f>B32*'LCA &amp; Functional'!$K$12+'Ternary Diagram'!C32*'LCA &amp; Functional'!$L$12+'Ternary Diagram'!D32*'LCA &amp; Functional'!$M$12</f>
        <v>0.96753485933750638</v>
      </c>
      <c r="F32" s="144">
        <f>B32*'LCA &amp; Functional'!$K$13+'Ternary Diagram'!C32*'LCA &amp; Functional'!$L$13+'LCA &amp; Functional'!$M$13*'Ternary Diagram'!D32</f>
        <v>0.91270157350022496</v>
      </c>
      <c r="G32" s="144">
        <f>B32*'LCA &amp; Functional'!$K$14+'LCA &amp; Functional'!$L$14*'Ternary Diagram'!C32+'Ternary Diagram'!D32*'LCA &amp; Functional'!$M$14</f>
        <v>0.97829223803784893</v>
      </c>
      <c r="H32" s="144">
        <f t="shared" si="0"/>
        <v>0.97829223803784893</v>
      </c>
      <c r="I32" s="140" t="str">
        <f t="shared" si="1"/>
        <v>C</v>
      </c>
    </row>
    <row r="33" spans="2:15" x14ac:dyDescent="0.4">
      <c r="B33" s="133"/>
      <c r="C33" s="133"/>
      <c r="D33" s="133"/>
      <c r="E33" s="144"/>
      <c r="F33" s="144"/>
      <c r="G33" s="144"/>
      <c r="H33" s="144"/>
      <c r="I33" s="140"/>
    </row>
    <row r="34" spans="2:15" x14ac:dyDescent="0.4">
      <c r="B34" s="131"/>
      <c r="C34" s="131"/>
      <c r="D34" s="131"/>
      <c r="E34" s="144"/>
      <c r="F34" s="144"/>
      <c r="G34" s="144"/>
      <c r="H34" s="144"/>
      <c r="I34" s="140"/>
    </row>
    <row r="35" spans="2:15" x14ac:dyDescent="0.4">
      <c r="B35" s="133">
        <v>0</v>
      </c>
      <c r="C35" s="143">
        <f t="shared" ref="C35:C43" si="7">+C23+0.1</f>
        <v>0.2</v>
      </c>
      <c r="D35" s="133">
        <f>1-C35-B35</f>
        <v>0.8</v>
      </c>
      <c r="E35" s="144">
        <f>B35*'LCA &amp; Functional'!$K$12+'Ternary Diagram'!C35*'LCA &amp; Functional'!$L$12+'Ternary Diagram'!D35*'LCA &amp; Functional'!$M$12</f>
        <v>0.91688790049319502</v>
      </c>
      <c r="F35" s="144">
        <f>B35*'LCA &amp; Functional'!$K$13+'Ternary Diagram'!C35*'LCA &amp; Functional'!$L$13+'LCA &amp; Functional'!$M$13*'Ternary Diagram'!D35</f>
        <v>0.92877217490985953</v>
      </c>
      <c r="G35" s="144">
        <f>B35*'LCA &amp; Functional'!$K$14+'LCA &amp; Functional'!$L$14*'Ternary Diagram'!C35+'Ternary Diagram'!D35*'LCA &amp; Functional'!$M$14</f>
        <v>0.65454545454545454</v>
      </c>
      <c r="H35" s="144">
        <f t="shared" si="0"/>
        <v>0.92877217490985953</v>
      </c>
      <c r="I35" s="140" t="str">
        <f t="shared" si="1"/>
        <v>B</v>
      </c>
    </row>
    <row r="36" spans="2:15" x14ac:dyDescent="0.4">
      <c r="B36" s="133">
        <v>0.1</v>
      </c>
      <c r="C36" s="143">
        <f t="shared" si="7"/>
        <v>0.2</v>
      </c>
      <c r="D36" s="133">
        <f>1-C36-B36</f>
        <v>0.70000000000000007</v>
      </c>
      <c r="E36" s="144">
        <f>B36*'LCA &amp; Functional'!$K$12+'Ternary Diagram'!C36*'LCA &amp; Functional'!$L$12+'Ternary Diagram'!D36*'LCA &amp; Functional'!$M$12</f>
        <v>0.91916062776592222</v>
      </c>
      <c r="F36" s="144">
        <f>B36*'LCA &amp; Functional'!$K$13+'Ternary Diagram'!C36*'LCA &amp; Functional'!$L$13+'LCA &amp; Functional'!$M$13*'Ternary Diagram'!D36</f>
        <v>0.92302945113711465</v>
      </c>
      <c r="G36" s="144">
        <f>B36*'LCA &amp; Functional'!$K$14+'LCA &amp; Functional'!$L$14*'Ternary Diagram'!C36+'Ternary Diagram'!D36*'LCA &amp; Functional'!$M$14</f>
        <v>0.69531529917592272</v>
      </c>
      <c r="H36" s="144">
        <f t="shared" si="0"/>
        <v>0.92302945113711465</v>
      </c>
      <c r="I36" s="140" t="str">
        <f t="shared" si="1"/>
        <v>B</v>
      </c>
    </row>
    <row r="37" spans="2:15" x14ac:dyDescent="0.4">
      <c r="B37" s="133">
        <f>+B36+0.1</f>
        <v>0.2</v>
      </c>
      <c r="C37" s="143">
        <f t="shared" si="7"/>
        <v>0.2</v>
      </c>
      <c r="D37" s="133">
        <f t="shared" ref="D37:D43" si="8">1-C37-B37</f>
        <v>0.60000000000000009</v>
      </c>
      <c r="E37" s="144">
        <f>B37*'LCA &amp; Functional'!$K$12+'Ternary Diagram'!C37*'LCA &amp; Functional'!$L$12+'Ternary Diagram'!D37*'LCA &amp; Functional'!$M$12</f>
        <v>0.92143335503864954</v>
      </c>
      <c r="F37" s="144">
        <f>B37*'LCA &amp; Functional'!$K$13+'Ternary Diagram'!C37*'LCA &amp; Functional'!$L$13+'LCA &amp; Functional'!$M$13*'Ternary Diagram'!D37</f>
        <v>0.91728672736436967</v>
      </c>
      <c r="G37" s="144">
        <f>B37*'LCA &amp; Functional'!$K$14+'LCA &amp; Functional'!$L$14*'Ternary Diagram'!C37+'Ternary Diagram'!D37*'LCA &amp; Functional'!$M$14</f>
        <v>0.73608514380639078</v>
      </c>
      <c r="H37" s="144">
        <f t="shared" si="0"/>
        <v>0.92143335503864954</v>
      </c>
      <c r="I37" s="140" t="str">
        <f t="shared" si="1"/>
        <v>A</v>
      </c>
      <c r="L37" s="146"/>
      <c r="M37" s="146"/>
      <c r="N37" s="146"/>
    </row>
    <row r="38" spans="2:15" x14ac:dyDescent="0.4">
      <c r="B38" s="133">
        <f t="shared" ref="B38:B43" si="9">+B37+0.1</f>
        <v>0.30000000000000004</v>
      </c>
      <c r="C38" s="143">
        <f t="shared" si="7"/>
        <v>0.2</v>
      </c>
      <c r="D38" s="133">
        <f t="shared" si="8"/>
        <v>0.5</v>
      </c>
      <c r="E38" s="144">
        <f>B38*'LCA &amp; Functional'!$K$12+'Ternary Diagram'!C38*'LCA &amp; Functional'!$L$12+'Ternary Diagram'!D38*'LCA &amp; Functional'!$M$12</f>
        <v>0.92370608231137674</v>
      </c>
      <c r="F38" s="144">
        <f>B38*'LCA &amp; Functional'!$K$13+'Ternary Diagram'!C38*'LCA &amp; Functional'!$L$13+'LCA &amp; Functional'!$M$13*'Ternary Diagram'!D38</f>
        <v>0.91154400359162469</v>
      </c>
      <c r="G38" s="144">
        <f>B38*'LCA &amp; Functional'!$K$14+'LCA &amp; Functional'!$L$14*'Ternary Diagram'!C38+'Ternary Diagram'!D38*'LCA &amp; Functional'!$M$14</f>
        <v>0.77685498843685885</v>
      </c>
      <c r="H38" s="144">
        <f t="shared" si="0"/>
        <v>0.92370608231137674</v>
      </c>
      <c r="I38" s="140" t="str">
        <f t="shared" si="1"/>
        <v>A</v>
      </c>
    </row>
    <row r="39" spans="2:15" x14ac:dyDescent="0.4">
      <c r="B39" s="133">
        <f t="shared" si="9"/>
        <v>0.4</v>
      </c>
      <c r="C39" s="143">
        <f t="shared" si="7"/>
        <v>0.2</v>
      </c>
      <c r="D39" s="133">
        <f t="shared" si="8"/>
        <v>0.4</v>
      </c>
      <c r="E39" s="144">
        <f>B39*'LCA &amp; Functional'!$K$12+'Ternary Diagram'!C39*'LCA &amp; Functional'!$L$12+'Ternary Diagram'!D39*'LCA &amp; Functional'!$M$12</f>
        <v>0.92597880958410406</v>
      </c>
      <c r="F39" s="144">
        <f>B39*'LCA &amp; Functional'!$K$13+'Ternary Diagram'!C39*'LCA &amp; Functional'!$L$13+'LCA &amp; Functional'!$M$13*'Ternary Diagram'!D39</f>
        <v>0.9058012798188797</v>
      </c>
      <c r="G39" s="144">
        <f>B39*'LCA &amp; Functional'!$K$14+'LCA &amp; Functional'!$L$14*'Ternary Diagram'!C39+'Ternary Diagram'!D39*'LCA &amp; Functional'!$M$14</f>
        <v>0.81762483306732681</v>
      </c>
      <c r="H39" s="144">
        <f t="shared" si="0"/>
        <v>0.92597880958410406</v>
      </c>
      <c r="I39" s="140" t="str">
        <f t="shared" si="1"/>
        <v>A</v>
      </c>
    </row>
    <row r="40" spans="2:15" x14ac:dyDescent="0.4">
      <c r="B40" s="133">
        <f t="shared" si="9"/>
        <v>0.5</v>
      </c>
      <c r="C40" s="143">
        <f t="shared" si="7"/>
        <v>0.2</v>
      </c>
      <c r="D40" s="133">
        <f t="shared" si="8"/>
        <v>0.30000000000000004</v>
      </c>
      <c r="E40" s="144">
        <f>B40*'LCA &amp; Functional'!$K$12+'Ternary Diagram'!C40*'LCA &amp; Functional'!$L$12+'Ternary Diagram'!D40*'LCA &amp; Functional'!$M$12</f>
        <v>0.92825153685683137</v>
      </c>
      <c r="F40" s="144">
        <f>B40*'LCA &amp; Functional'!$K$13+'Ternary Diagram'!C40*'LCA &amp; Functional'!$L$13+'LCA &amp; Functional'!$M$13*'Ternary Diagram'!D40</f>
        <v>0.90005855604613472</v>
      </c>
      <c r="G40" s="144">
        <f>B40*'LCA &amp; Functional'!$K$14+'LCA &amp; Functional'!$L$14*'Ternary Diagram'!C40+'Ternary Diagram'!D40*'LCA &amp; Functional'!$M$14</f>
        <v>0.85839467769779498</v>
      </c>
      <c r="H40" s="144">
        <f t="shared" si="0"/>
        <v>0.92825153685683137</v>
      </c>
      <c r="I40" s="140" t="str">
        <f t="shared" si="1"/>
        <v>A</v>
      </c>
    </row>
    <row r="41" spans="2:15" x14ac:dyDescent="0.4">
      <c r="B41" s="133">
        <f t="shared" si="9"/>
        <v>0.6</v>
      </c>
      <c r="C41" s="143">
        <f t="shared" si="7"/>
        <v>0.2</v>
      </c>
      <c r="D41" s="133">
        <f t="shared" si="8"/>
        <v>0.20000000000000007</v>
      </c>
      <c r="E41" s="144">
        <f>B41*'LCA &amp; Functional'!$K$12+'Ternary Diagram'!C41*'LCA &amp; Functional'!$L$12+'Ternary Diagram'!D41*'LCA &amp; Functional'!$M$12</f>
        <v>0.93052426412955858</v>
      </c>
      <c r="F41" s="144">
        <f>B41*'LCA &amp; Functional'!$K$13+'Ternary Diagram'!C41*'LCA &amp; Functional'!$L$13+'LCA &amp; Functional'!$M$13*'Ternary Diagram'!D41</f>
        <v>0.89431583227338973</v>
      </c>
      <c r="G41" s="144">
        <f>B41*'LCA &amp; Functional'!$K$14+'LCA &amp; Functional'!$L$14*'Ternary Diagram'!C41+'Ternary Diagram'!D41*'LCA &amp; Functional'!$M$14</f>
        <v>0.89916452232826305</v>
      </c>
      <c r="H41" s="144">
        <f t="shared" si="0"/>
        <v>0.93052426412955858</v>
      </c>
      <c r="I41" s="140" t="str">
        <f t="shared" si="1"/>
        <v>A</v>
      </c>
    </row>
    <row r="42" spans="2:15" x14ac:dyDescent="0.4">
      <c r="B42" s="133">
        <f t="shared" si="9"/>
        <v>0.7</v>
      </c>
      <c r="C42" s="143">
        <f t="shared" si="7"/>
        <v>0.2</v>
      </c>
      <c r="D42" s="133">
        <f t="shared" si="8"/>
        <v>0.10000000000000009</v>
      </c>
      <c r="E42" s="144">
        <f>B42*'LCA &amp; Functional'!$K$12+'Ternary Diagram'!C42*'LCA &amp; Functional'!$L$12+'Ternary Diagram'!D42*'LCA &amp; Functional'!$M$12</f>
        <v>0.93279699140228578</v>
      </c>
      <c r="F42" s="144">
        <f>B42*'LCA &amp; Functional'!$K$13+'Ternary Diagram'!C42*'LCA &amp; Functional'!$L$13+'LCA &amp; Functional'!$M$13*'Ternary Diagram'!D42</f>
        <v>0.88857310850064475</v>
      </c>
      <c r="G42" s="144">
        <f>B42*'LCA &amp; Functional'!$K$14+'LCA &amp; Functional'!$L$14*'Ternary Diagram'!C42+'Ternary Diagram'!D42*'LCA &amp; Functional'!$M$14</f>
        <v>0.939934366958731</v>
      </c>
      <c r="H42" s="144">
        <f t="shared" si="0"/>
        <v>0.939934366958731</v>
      </c>
      <c r="I42" s="140" t="str">
        <f t="shared" si="1"/>
        <v>C</v>
      </c>
      <c r="M42" s="146"/>
      <c r="N42" s="146"/>
    </row>
    <row r="43" spans="2:15" x14ac:dyDescent="0.4">
      <c r="B43" s="133">
        <f t="shared" si="9"/>
        <v>0.79999999999999993</v>
      </c>
      <c r="C43" s="143">
        <f t="shared" si="7"/>
        <v>0.2</v>
      </c>
      <c r="D43" s="133">
        <f t="shared" si="8"/>
        <v>0</v>
      </c>
      <c r="E43" s="144">
        <f>B43*'LCA &amp; Functional'!$K$12+'Ternary Diagram'!C43*'LCA &amp; Functional'!$L$12+'Ternary Diagram'!D43*'LCA &amp; Functional'!$M$12</f>
        <v>0.93506971867501298</v>
      </c>
      <c r="F43" s="144">
        <f>B43*'LCA &amp; Functional'!$K$13+'Ternary Diagram'!C43*'LCA &amp; Functional'!$L$13+'LCA &amp; Functional'!$M$13*'Ternary Diagram'!D43</f>
        <v>0.88283038472789965</v>
      </c>
      <c r="G43" s="144">
        <f>B43*'LCA &amp; Functional'!$K$14+'LCA &amp; Functional'!$L$14*'Ternary Diagram'!C43+'Ternary Diagram'!D43*'LCA &amp; Functional'!$M$14</f>
        <v>0.98070421158919907</v>
      </c>
      <c r="H43" s="144">
        <f t="shared" si="0"/>
        <v>0.98070421158919907</v>
      </c>
      <c r="I43" s="140" t="str">
        <f t="shared" si="1"/>
        <v>C</v>
      </c>
      <c r="O43" s="146"/>
    </row>
    <row r="44" spans="2:15" ht="19.850000000000001" customHeight="1" x14ac:dyDescent="0.4">
      <c r="B44" s="133"/>
      <c r="C44" s="143"/>
      <c r="D44" s="133"/>
      <c r="E44" s="144"/>
      <c r="F44" s="144"/>
      <c r="G44" s="144"/>
      <c r="H44" s="144"/>
      <c r="I44" s="140"/>
    </row>
    <row r="45" spans="2:15" ht="11.4" customHeight="1" x14ac:dyDescent="0.4">
      <c r="B45" s="133"/>
      <c r="C45" s="143"/>
      <c r="D45" s="133"/>
      <c r="E45" s="144"/>
      <c r="F45" s="144"/>
      <c r="G45" s="144"/>
      <c r="H45" s="144"/>
      <c r="I45" s="140"/>
    </row>
    <row r="46" spans="2:15" x14ac:dyDescent="0.4">
      <c r="B46" s="133">
        <v>0</v>
      </c>
      <c r="C46" s="143">
        <f t="shared" ref="C46:C53" si="10">+C35+0.1</f>
        <v>0.30000000000000004</v>
      </c>
      <c r="D46" s="133">
        <f>1-C46-B46</f>
        <v>0.7</v>
      </c>
      <c r="E46" s="144">
        <f>B46*'LCA &amp; Functional'!$K$12+'Ternary Diagram'!C46*'LCA &amp; Functional'!$L$12+'Ternary Diagram'!D46*'LCA &amp; Functional'!$M$12</f>
        <v>0.88669548710342871</v>
      </c>
      <c r="F46" s="144">
        <f>B46*'LCA &amp; Functional'!$K$13+'Ternary Diagram'!C46*'LCA &amp; Functional'!$L$13+'LCA &amp; Functional'!$M$13*'Ternary Diagram'!D46</f>
        <v>0.89315826236478923</v>
      </c>
      <c r="G46" s="144">
        <f>B46*'LCA &amp; Functional'!$K$14+'LCA &amp; Functional'!$L$14*'Ternary Diagram'!C46+'Ternary Diagram'!D46*'LCA &amp; Functional'!$M$14</f>
        <v>0.69772727272727275</v>
      </c>
      <c r="H46" s="144">
        <f t="shared" si="0"/>
        <v>0.89315826236478923</v>
      </c>
      <c r="I46" s="140" t="str">
        <f t="shared" si="1"/>
        <v>B</v>
      </c>
    </row>
    <row r="47" spans="2:15" x14ac:dyDescent="0.4">
      <c r="B47" s="133">
        <v>0.1</v>
      </c>
      <c r="C47" s="143">
        <f t="shared" si="10"/>
        <v>0.30000000000000004</v>
      </c>
      <c r="D47" s="133">
        <f>1-C47-B47</f>
        <v>0.6</v>
      </c>
      <c r="E47" s="144">
        <f>B47*'LCA &amp; Functional'!$K$12+'Ternary Diagram'!C47*'LCA &amp; Functional'!$L$12+'Ternary Diagram'!D47*'LCA &amp; Functional'!$M$12</f>
        <v>0.88896821437615603</v>
      </c>
      <c r="F47" s="144">
        <f>B47*'LCA &amp; Functional'!$K$13+'Ternary Diagram'!C47*'LCA &amp; Functional'!$L$13+'LCA &amp; Functional'!$M$13*'Ternary Diagram'!D47</f>
        <v>0.88741553859204436</v>
      </c>
      <c r="G47" s="144">
        <f>B47*'LCA &amp; Functional'!$K$14+'LCA &amp; Functional'!$L$14*'Ternary Diagram'!C47+'Ternary Diagram'!D47*'LCA &amp; Functional'!$M$14</f>
        <v>0.73849711735774082</v>
      </c>
      <c r="H47" s="144">
        <f t="shared" si="0"/>
        <v>0.88896821437615603</v>
      </c>
      <c r="I47" s="140" t="str">
        <f t="shared" si="1"/>
        <v>A</v>
      </c>
    </row>
    <row r="48" spans="2:15" x14ac:dyDescent="0.4">
      <c r="B48" s="133">
        <f>+B47+0.1</f>
        <v>0.2</v>
      </c>
      <c r="C48" s="143">
        <f t="shared" si="10"/>
        <v>0.30000000000000004</v>
      </c>
      <c r="D48" s="133">
        <f t="shared" ref="D48:D53" si="11">1-C48-B48</f>
        <v>0.49999999999999994</v>
      </c>
      <c r="E48" s="144">
        <f>B48*'LCA &amp; Functional'!$K$12+'Ternary Diagram'!C48*'LCA &amp; Functional'!$L$12+'Ternary Diagram'!D48*'LCA &amp; Functional'!$M$12</f>
        <v>0.89124094164888323</v>
      </c>
      <c r="F48" s="144">
        <f>B48*'LCA &amp; Functional'!$K$13+'Ternary Diagram'!C48*'LCA &amp; Functional'!$L$13+'LCA &amp; Functional'!$M$13*'Ternary Diagram'!D48</f>
        <v>0.88167281481929938</v>
      </c>
      <c r="G48" s="144">
        <f>B48*'LCA &amp; Functional'!$K$14+'LCA &amp; Functional'!$L$14*'Ternary Diagram'!C48+'Ternary Diagram'!D48*'LCA &amp; Functional'!$M$14</f>
        <v>0.77926696198820888</v>
      </c>
      <c r="H48" s="144">
        <f t="shared" si="0"/>
        <v>0.89124094164888323</v>
      </c>
      <c r="I48" s="140" t="str">
        <f t="shared" si="1"/>
        <v>A</v>
      </c>
    </row>
    <row r="49" spans="2:9" x14ac:dyDescent="0.4">
      <c r="B49" s="133">
        <f t="shared" ref="B49:B53" si="12">+B48+0.1</f>
        <v>0.30000000000000004</v>
      </c>
      <c r="C49" s="143">
        <f t="shared" si="10"/>
        <v>0.30000000000000004</v>
      </c>
      <c r="D49" s="133">
        <f t="shared" si="11"/>
        <v>0.39999999999999991</v>
      </c>
      <c r="E49" s="144">
        <f>B49*'LCA &amp; Functional'!$K$12+'Ternary Diagram'!C49*'LCA &amp; Functional'!$L$12+'Ternary Diagram'!D49*'LCA &amp; Functional'!$M$12</f>
        <v>0.89351366892161055</v>
      </c>
      <c r="F49" s="144">
        <f>B49*'LCA &amp; Functional'!$K$13+'Ternary Diagram'!C49*'LCA &amp; Functional'!$L$13+'LCA &amp; Functional'!$M$13*'Ternary Diagram'!D49</f>
        <v>0.87593009104655439</v>
      </c>
      <c r="G49" s="144">
        <f>B49*'LCA &amp; Functional'!$K$14+'LCA &amp; Functional'!$L$14*'Ternary Diagram'!C49+'Ternary Diagram'!D49*'LCA &amp; Functional'!$M$14</f>
        <v>0.82003680661867695</v>
      </c>
      <c r="H49" s="144">
        <f t="shared" si="0"/>
        <v>0.89351366892161055</v>
      </c>
      <c r="I49" s="140" t="str">
        <f t="shared" si="1"/>
        <v>A</v>
      </c>
    </row>
    <row r="50" spans="2:9" x14ac:dyDescent="0.4">
      <c r="B50" s="133">
        <f t="shared" si="12"/>
        <v>0.4</v>
      </c>
      <c r="C50" s="143">
        <f t="shared" si="10"/>
        <v>0.30000000000000004</v>
      </c>
      <c r="D50" s="133">
        <f t="shared" si="11"/>
        <v>0.29999999999999993</v>
      </c>
      <c r="E50" s="144">
        <f>B50*'LCA &amp; Functional'!$K$12+'Ternary Diagram'!C50*'LCA &amp; Functional'!$L$12+'Ternary Diagram'!D50*'LCA &amp; Functional'!$M$12</f>
        <v>0.89578639619433775</v>
      </c>
      <c r="F50" s="144">
        <f>B50*'LCA &amp; Functional'!$K$13+'Ternary Diagram'!C50*'LCA &amp; Functional'!$L$13+'LCA &amp; Functional'!$M$13*'Ternary Diagram'!D50</f>
        <v>0.8701873672738093</v>
      </c>
      <c r="G50" s="144">
        <f>B50*'LCA &amp; Functional'!$K$14+'LCA &amp; Functional'!$L$14*'Ternary Diagram'!C50+'Ternary Diagram'!D50*'LCA &amp; Functional'!$M$14</f>
        <v>0.86080665124914502</v>
      </c>
      <c r="H50" s="144">
        <f t="shared" si="0"/>
        <v>0.89578639619433775</v>
      </c>
      <c r="I50" s="140" t="str">
        <f t="shared" si="1"/>
        <v>A</v>
      </c>
    </row>
    <row r="51" spans="2:9" x14ac:dyDescent="0.4">
      <c r="B51" s="133">
        <f t="shared" si="12"/>
        <v>0.5</v>
      </c>
      <c r="C51" s="143">
        <f t="shared" si="10"/>
        <v>0.30000000000000004</v>
      </c>
      <c r="D51" s="133">
        <f t="shared" si="11"/>
        <v>0.19999999999999996</v>
      </c>
      <c r="E51" s="144">
        <f>B51*'LCA &amp; Functional'!$K$12+'Ternary Diagram'!C51*'LCA &amp; Functional'!$L$12+'Ternary Diagram'!D51*'LCA &amp; Functional'!$M$12</f>
        <v>0.89805912346706507</v>
      </c>
      <c r="F51" s="144">
        <f>B51*'LCA &amp; Functional'!$K$13+'Ternary Diagram'!C51*'LCA &amp; Functional'!$L$13+'LCA &amp; Functional'!$M$13*'Ternary Diagram'!D51</f>
        <v>0.86444464350106442</v>
      </c>
      <c r="G51" s="144">
        <f>B51*'LCA &amp; Functional'!$K$14+'LCA &amp; Functional'!$L$14*'Ternary Diagram'!C51+'Ternary Diagram'!D51*'LCA &amp; Functional'!$M$14</f>
        <v>0.90157649587961319</v>
      </c>
      <c r="H51" s="144">
        <f t="shared" si="0"/>
        <v>0.90157649587961319</v>
      </c>
      <c r="I51" s="140" t="str">
        <f t="shared" si="1"/>
        <v>C</v>
      </c>
    </row>
    <row r="52" spans="2:9" x14ac:dyDescent="0.4">
      <c r="B52" s="133">
        <f t="shared" si="12"/>
        <v>0.6</v>
      </c>
      <c r="C52" s="143">
        <f t="shared" si="10"/>
        <v>0.30000000000000004</v>
      </c>
      <c r="D52" s="133">
        <f t="shared" si="11"/>
        <v>9.9999999999999978E-2</v>
      </c>
      <c r="E52" s="144">
        <f>B52*'LCA &amp; Functional'!$K$12+'Ternary Diagram'!C52*'LCA &amp; Functional'!$L$12+'Ternary Diagram'!D52*'LCA &amp; Functional'!$M$12</f>
        <v>0.90033185073979216</v>
      </c>
      <c r="F52" s="144">
        <f>B52*'LCA &amp; Functional'!$K$13+'Ternary Diagram'!C52*'LCA &amp; Functional'!$L$13+'LCA &amp; Functional'!$M$13*'Ternary Diagram'!D52</f>
        <v>0.85870191972831944</v>
      </c>
      <c r="G52" s="144">
        <f>B52*'LCA &amp; Functional'!$K$14+'LCA &amp; Functional'!$L$14*'Ternary Diagram'!C52+'Ternary Diagram'!D52*'LCA &amp; Functional'!$M$14</f>
        <v>0.94234634051008115</v>
      </c>
      <c r="H52" s="144">
        <f t="shared" si="0"/>
        <v>0.94234634051008115</v>
      </c>
      <c r="I52" s="140" t="str">
        <f t="shared" si="1"/>
        <v>C</v>
      </c>
    </row>
    <row r="53" spans="2:9" x14ac:dyDescent="0.4">
      <c r="B53" s="133">
        <f t="shared" si="12"/>
        <v>0.7</v>
      </c>
      <c r="C53" s="143">
        <f t="shared" si="10"/>
        <v>0.30000000000000004</v>
      </c>
      <c r="D53" s="133">
        <f t="shared" si="11"/>
        <v>0</v>
      </c>
      <c r="E53" s="144">
        <f>B53*'LCA &amp; Functional'!$K$12+'Ternary Diagram'!C53*'LCA &amp; Functional'!$L$12+'Ternary Diagram'!D53*'LCA &amp; Functional'!$M$12</f>
        <v>0.90260457801251959</v>
      </c>
      <c r="F53" s="144">
        <f>B53*'LCA &amp; Functional'!$K$13+'Ternary Diagram'!C53*'LCA &amp; Functional'!$L$13+'LCA &amp; Functional'!$M$13*'Ternary Diagram'!D53</f>
        <v>0.85295919595557446</v>
      </c>
      <c r="G53" s="144">
        <f>B53*'LCA &amp; Functional'!$K$14+'LCA &amp; Functional'!$L$14*'Ternary Diagram'!C53+'Ternary Diagram'!D53*'LCA &amp; Functional'!$M$14</f>
        <v>0.98311618514054921</v>
      </c>
      <c r="H53" s="144">
        <f t="shared" si="0"/>
        <v>0.98311618514054921</v>
      </c>
      <c r="I53" s="140" t="str">
        <f t="shared" si="1"/>
        <v>C</v>
      </c>
    </row>
    <row r="54" spans="2:9" x14ac:dyDescent="0.4">
      <c r="B54" s="133"/>
      <c r="C54" s="143"/>
      <c r="D54" s="133"/>
      <c r="E54" s="144"/>
      <c r="F54" s="144"/>
      <c r="G54" s="144"/>
      <c r="H54" s="144"/>
      <c r="I54" s="140"/>
    </row>
    <row r="55" spans="2:9" x14ac:dyDescent="0.4">
      <c r="B55" s="133">
        <v>0</v>
      </c>
      <c r="C55" s="143">
        <f t="shared" ref="C55:C61" si="13">+C46+0.1</f>
        <v>0.4</v>
      </c>
      <c r="D55" s="133">
        <f>1-C55-B55</f>
        <v>0.6</v>
      </c>
      <c r="E55" s="144">
        <f>B55*'LCA &amp; Functional'!$K$12+'Ternary Diagram'!C55*'LCA &amp; Functional'!$L$12+'Ternary Diagram'!D55*'LCA &amp; Functional'!$M$12</f>
        <v>0.85650307371366252</v>
      </c>
      <c r="F55" s="144">
        <f>B55*'LCA &amp; Functional'!$K$13+'Ternary Diagram'!C55*'LCA &amp; Functional'!$L$13+'LCA &amp; Functional'!$M$13*'Ternary Diagram'!D55</f>
        <v>0.85754434981971905</v>
      </c>
      <c r="G55" s="144">
        <f>B55*'LCA &amp; Functional'!$K$14+'LCA &amp; Functional'!$L$14*'Ternary Diagram'!C55+'Ternary Diagram'!D55*'LCA &amp; Functional'!$M$14</f>
        <v>0.74090909090909096</v>
      </c>
      <c r="H55" s="144">
        <f t="shared" si="0"/>
        <v>0.85754434981971905</v>
      </c>
      <c r="I55" s="140" t="str">
        <f t="shared" si="1"/>
        <v>B</v>
      </c>
    </row>
    <row r="56" spans="2:9" x14ac:dyDescent="0.4">
      <c r="B56" s="133">
        <v>0.1</v>
      </c>
      <c r="C56" s="143">
        <f t="shared" si="13"/>
        <v>0.4</v>
      </c>
      <c r="D56" s="133">
        <f>1-C56-B56</f>
        <v>0.5</v>
      </c>
      <c r="E56" s="144">
        <f>B56*'LCA &amp; Functional'!$K$12+'Ternary Diagram'!C56*'LCA &amp; Functional'!$L$12+'Ternary Diagram'!D56*'LCA &amp; Functional'!$M$12</f>
        <v>0.85877580098638973</v>
      </c>
      <c r="F56" s="144">
        <f>B56*'LCA &amp; Functional'!$K$13+'Ternary Diagram'!C56*'LCA &amp; Functional'!$L$13+'LCA &amp; Functional'!$M$13*'Ternary Diagram'!D56</f>
        <v>0.85180162604697407</v>
      </c>
      <c r="G56" s="144">
        <f>B56*'LCA &amp; Functional'!$K$14+'LCA &amp; Functional'!$L$14*'Ternary Diagram'!C56+'Ternary Diagram'!D56*'LCA &amp; Functional'!$M$14</f>
        <v>0.78167893553955903</v>
      </c>
      <c r="H56" s="144">
        <f t="shared" si="0"/>
        <v>0.85877580098638973</v>
      </c>
      <c r="I56" s="140" t="str">
        <f t="shared" si="1"/>
        <v>A</v>
      </c>
    </row>
    <row r="57" spans="2:9" x14ac:dyDescent="0.4">
      <c r="B57" s="133">
        <f>+B56+0.1</f>
        <v>0.2</v>
      </c>
      <c r="C57" s="143">
        <f t="shared" si="13"/>
        <v>0.4</v>
      </c>
      <c r="D57" s="133">
        <f t="shared" ref="D57:D61" si="14">1-C57-B57</f>
        <v>0.39999999999999997</v>
      </c>
      <c r="E57" s="144">
        <f>B57*'LCA &amp; Functional'!$K$12+'Ternary Diagram'!C57*'LCA &amp; Functional'!$L$12+'Ternary Diagram'!D57*'LCA &amp; Functional'!$M$12</f>
        <v>0.86104852825911693</v>
      </c>
      <c r="F57" s="144">
        <f>B57*'LCA &amp; Functional'!$K$13+'Ternary Diagram'!C57*'LCA &amp; Functional'!$L$13+'LCA &amp; Functional'!$M$13*'Ternary Diagram'!D57</f>
        <v>0.84605890227422909</v>
      </c>
      <c r="G57" s="144">
        <f>B57*'LCA &amp; Functional'!$K$14+'LCA &amp; Functional'!$L$14*'Ternary Diagram'!C57+'Ternary Diagram'!D57*'LCA &amp; Functional'!$M$14</f>
        <v>0.82244878017002709</v>
      </c>
      <c r="H57" s="144">
        <f t="shared" si="0"/>
        <v>0.86104852825911693</v>
      </c>
      <c r="I57" s="140" t="str">
        <f t="shared" si="1"/>
        <v>A</v>
      </c>
    </row>
    <row r="58" spans="2:9" x14ac:dyDescent="0.4">
      <c r="B58" s="133">
        <f t="shared" ref="B58:B61" si="15">+B57+0.1</f>
        <v>0.30000000000000004</v>
      </c>
      <c r="C58" s="143">
        <f t="shared" si="13"/>
        <v>0.4</v>
      </c>
      <c r="D58" s="133">
        <f t="shared" si="14"/>
        <v>0.29999999999999993</v>
      </c>
      <c r="E58" s="144">
        <f>B58*'LCA &amp; Functional'!$K$12+'Ternary Diagram'!C58*'LCA &amp; Functional'!$L$12+'Ternary Diagram'!D58*'LCA &amp; Functional'!$M$12</f>
        <v>0.86332125553184436</v>
      </c>
      <c r="F58" s="144">
        <f>B58*'LCA &amp; Functional'!$K$13+'Ternary Diagram'!C58*'LCA &amp; Functional'!$L$13+'LCA &amp; Functional'!$M$13*'Ternary Diagram'!D58</f>
        <v>0.8403161785014841</v>
      </c>
      <c r="G58" s="144">
        <f>B58*'LCA &amp; Functional'!$K$14+'LCA &amp; Functional'!$L$14*'Ternary Diagram'!C58+'Ternary Diagram'!D58*'LCA &amp; Functional'!$M$14</f>
        <v>0.86321862480049516</v>
      </c>
      <c r="H58" s="144">
        <f t="shared" si="0"/>
        <v>0.86332125553184436</v>
      </c>
      <c r="I58" s="140" t="str">
        <f t="shared" si="1"/>
        <v>A</v>
      </c>
    </row>
    <row r="59" spans="2:9" x14ac:dyDescent="0.4">
      <c r="B59" s="133">
        <f t="shared" si="15"/>
        <v>0.4</v>
      </c>
      <c r="C59" s="143">
        <f t="shared" si="13"/>
        <v>0.4</v>
      </c>
      <c r="D59" s="133">
        <f t="shared" si="14"/>
        <v>0.19999999999999996</v>
      </c>
      <c r="E59" s="144">
        <f>B59*'LCA &amp; Functional'!$K$12+'Ternary Diagram'!C59*'LCA &amp; Functional'!$L$12+'Ternary Diagram'!D59*'LCA &amp; Functional'!$M$12</f>
        <v>0.86559398280457145</v>
      </c>
      <c r="F59" s="144">
        <f>B59*'LCA &amp; Functional'!$K$13+'Ternary Diagram'!C59*'LCA &amp; Functional'!$L$13+'LCA &amp; Functional'!$M$13*'Ternary Diagram'!D59</f>
        <v>0.83457345472873912</v>
      </c>
      <c r="G59" s="144">
        <f>B59*'LCA &amp; Functional'!$K$14+'LCA &amp; Functional'!$L$14*'Ternary Diagram'!C59+'Ternary Diagram'!D59*'LCA &amp; Functional'!$M$14</f>
        <v>0.90398846943096323</v>
      </c>
      <c r="H59" s="144">
        <f t="shared" si="0"/>
        <v>0.90398846943096323</v>
      </c>
      <c r="I59" s="140" t="str">
        <f t="shared" si="1"/>
        <v>C</v>
      </c>
    </row>
    <row r="60" spans="2:9" x14ac:dyDescent="0.4">
      <c r="B60" s="133">
        <f t="shared" si="15"/>
        <v>0.5</v>
      </c>
      <c r="C60" s="143">
        <f t="shared" si="13"/>
        <v>0.4</v>
      </c>
      <c r="D60" s="133">
        <f t="shared" si="14"/>
        <v>9.9999999999999978E-2</v>
      </c>
      <c r="E60" s="144">
        <f>B60*'LCA &amp; Functional'!$K$12+'Ternary Diagram'!C60*'LCA &amp; Functional'!$L$12+'Ternary Diagram'!D60*'LCA &amp; Functional'!$M$12</f>
        <v>0.86786671007729876</v>
      </c>
      <c r="F60" s="144">
        <f>B60*'LCA &amp; Functional'!$K$13+'Ternary Diagram'!C60*'LCA &amp; Functional'!$L$13+'LCA &amp; Functional'!$M$13*'Ternary Diagram'!D60</f>
        <v>0.82883073095599413</v>
      </c>
      <c r="G60" s="144">
        <f>B60*'LCA &amp; Functional'!$K$14+'LCA &amp; Functional'!$L$14*'Ternary Diagram'!C60+'Ternary Diagram'!D60*'LCA &amp; Functional'!$M$14</f>
        <v>0.94475831406143118</v>
      </c>
      <c r="H60" s="144">
        <f t="shared" si="0"/>
        <v>0.94475831406143118</v>
      </c>
      <c r="I60" s="140" t="str">
        <f t="shared" si="1"/>
        <v>C</v>
      </c>
    </row>
    <row r="61" spans="2:9" x14ac:dyDescent="0.4">
      <c r="B61" s="133">
        <f t="shared" si="15"/>
        <v>0.6</v>
      </c>
      <c r="C61" s="143">
        <f t="shared" si="13"/>
        <v>0.4</v>
      </c>
      <c r="D61" s="133">
        <f t="shared" si="14"/>
        <v>0</v>
      </c>
      <c r="E61" s="144">
        <f>B61*'LCA &amp; Functional'!$K$12+'Ternary Diagram'!C61*'LCA &amp; Functional'!$L$12+'Ternary Diagram'!D61*'LCA &amp; Functional'!$M$12</f>
        <v>0.87013943735002597</v>
      </c>
      <c r="F61" s="144">
        <f>B61*'LCA &amp; Functional'!$K$13+'Ternary Diagram'!C61*'LCA &amp; Functional'!$L$13+'LCA &amp; Functional'!$M$13*'Ternary Diagram'!D61</f>
        <v>0.82308800718324915</v>
      </c>
      <c r="G61" s="144">
        <f>B61*'LCA &amp; Functional'!$K$14+'LCA &amp; Functional'!$L$14*'Ternary Diagram'!C61+'Ternary Diagram'!D61*'LCA &amp; Functional'!$M$14</f>
        <v>0.98552815869189936</v>
      </c>
      <c r="H61" s="144">
        <f t="shared" si="0"/>
        <v>0.98552815869189936</v>
      </c>
      <c r="I61" s="140" t="str">
        <f t="shared" si="1"/>
        <v>C</v>
      </c>
    </row>
    <row r="62" spans="2:9" x14ac:dyDescent="0.4">
      <c r="B62" s="133"/>
      <c r="C62" s="143"/>
      <c r="D62" s="133"/>
      <c r="E62" s="144"/>
      <c r="F62" s="144"/>
      <c r="G62" s="144"/>
      <c r="H62" s="144"/>
      <c r="I62" s="140"/>
    </row>
    <row r="63" spans="2:9" x14ac:dyDescent="0.4">
      <c r="B63" s="133">
        <v>0</v>
      </c>
      <c r="C63" s="143">
        <f t="shared" ref="C63:C68" si="16">+C55+0.1</f>
        <v>0.5</v>
      </c>
      <c r="D63" s="133">
        <f>1-C63-B63</f>
        <v>0.5</v>
      </c>
      <c r="E63" s="144">
        <f>B63*'LCA &amp; Functional'!$K$12+'Ternary Diagram'!C63*'LCA &amp; Functional'!$L$12+'Ternary Diagram'!D63*'LCA &amp; Functional'!$M$12</f>
        <v>0.82631066032389633</v>
      </c>
      <c r="F63" s="144">
        <f>B63*'LCA &amp; Functional'!$K$13+'Ternary Diagram'!C63*'LCA &amp; Functional'!$L$13+'LCA &amp; Functional'!$M$13*'Ternary Diagram'!D63</f>
        <v>0.82193043727464876</v>
      </c>
      <c r="G63" s="144">
        <f>B63*'LCA &amp; Functional'!$K$14+'LCA &amp; Functional'!$L$14*'Ternary Diagram'!C63+'Ternary Diagram'!D63*'LCA &amp; Functional'!$M$14</f>
        <v>0.78409090909090917</v>
      </c>
      <c r="H63" s="144">
        <f t="shared" si="0"/>
        <v>0.82631066032389633</v>
      </c>
      <c r="I63" s="140" t="str">
        <f t="shared" si="1"/>
        <v>A</v>
      </c>
    </row>
    <row r="64" spans="2:9" x14ac:dyDescent="0.4">
      <c r="B64" s="133">
        <v>0.1</v>
      </c>
      <c r="C64" s="143">
        <f t="shared" si="16"/>
        <v>0.5</v>
      </c>
      <c r="D64" s="133">
        <f>1-C64-B64</f>
        <v>0.4</v>
      </c>
      <c r="E64" s="144">
        <f>B64*'LCA &amp; Functional'!$K$12+'Ternary Diagram'!C64*'LCA &amp; Functional'!$L$12+'Ternary Diagram'!D64*'LCA &amp; Functional'!$M$12</f>
        <v>0.82858338759662353</v>
      </c>
      <c r="F64" s="144">
        <f>B64*'LCA &amp; Functional'!$K$13+'Ternary Diagram'!C64*'LCA &amp; Functional'!$L$13+'LCA &amp; Functional'!$M$13*'Ternary Diagram'!D64</f>
        <v>0.81618771350190378</v>
      </c>
      <c r="G64" s="144">
        <f>B64*'LCA &amp; Functional'!$K$14+'LCA &amp; Functional'!$L$14*'Ternary Diagram'!C64+'Ternary Diagram'!D64*'LCA &amp; Functional'!$M$14</f>
        <v>0.82486075372137724</v>
      </c>
      <c r="H64" s="144">
        <f t="shared" si="0"/>
        <v>0.82858338759662353</v>
      </c>
      <c r="I64" s="140" t="str">
        <f t="shared" si="1"/>
        <v>A</v>
      </c>
    </row>
    <row r="65" spans="2:9" x14ac:dyDescent="0.4">
      <c r="B65" s="133">
        <f>+B64+0.1</f>
        <v>0.2</v>
      </c>
      <c r="C65" s="143">
        <f t="shared" si="16"/>
        <v>0.5</v>
      </c>
      <c r="D65" s="133">
        <f t="shared" ref="D65:D68" si="17">1-C65-B65</f>
        <v>0.3</v>
      </c>
      <c r="E65" s="144">
        <f>B65*'LCA &amp; Functional'!$K$12+'Ternary Diagram'!C65*'LCA &amp; Functional'!$L$12+'Ternary Diagram'!D65*'LCA &amp; Functional'!$M$12</f>
        <v>0.83085611486935074</v>
      </c>
      <c r="F65" s="144">
        <f>B65*'LCA &amp; Functional'!$K$13+'Ternary Diagram'!C65*'LCA &amp; Functional'!$L$13+'LCA &amp; Functional'!$M$13*'Ternary Diagram'!D65</f>
        <v>0.81044498972915879</v>
      </c>
      <c r="G65" s="144">
        <f>B65*'LCA &amp; Functional'!$K$14+'LCA &amp; Functional'!$L$14*'Ternary Diagram'!C65+'Ternary Diagram'!D65*'LCA &amp; Functional'!$M$14</f>
        <v>0.8656305983518453</v>
      </c>
      <c r="H65" s="144">
        <f t="shared" si="0"/>
        <v>0.8656305983518453</v>
      </c>
      <c r="I65" s="140" t="str">
        <f t="shared" si="1"/>
        <v>C</v>
      </c>
    </row>
    <row r="66" spans="2:9" x14ac:dyDescent="0.4">
      <c r="B66" s="133">
        <f t="shared" ref="B66:B68" si="18">+B65+0.1</f>
        <v>0.30000000000000004</v>
      </c>
      <c r="C66" s="143">
        <f t="shared" si="16"/>
        <v>0.5</v>
      </c>
      <c r="D66" s="133">
        <f t="shared" si="17"/>
        <v>0.19999999999999996</v>
      </c>
      <c r="E66" s="144">
        <f>B66*'LCA &amp; Functional'!$K$12+'Ternary Diagram'!C66*'LCA &amp; Functional'!$L$12+'Ternary Diagram'!D66*'LCA &amp; Functional'!$M$12</f>
        <v>0.83312884214207805</v>
      </c>
      <c r="F66" s="144">
        <f>B66*'LCA &amp; Functional'!$K$13+'Ternary Diagram'!C66*'LCA &amp; Functional'!$L$13+'LCA &amp; Functional'!$M$13*'Ternary Diagram'!D66</f>
        <v>0.80470226595641381</v>
      </c>
      <c r="G66" s="144">
        <f>B66*'LCA &amp; Functional'!$K$14+'LCA &amp; Functional'!$L$14*'Ternary Diagram'!C66+'Ternary Diagram'!D66*'LCA &amp; Functional'!$M$14</f>
        <v>0.90640044298231337</v>
      </c>
      <c r="H66" s="144">
        <f t="shared" si="0"/>
        <v>0.90640044298231337</v>
      </c>
      <c r="I66" s="140" t="str">
        <f t="shared" si="1"/>
        <v>C</v>
      </c>
    </row>
    <row r="67" spans="2:9" x14ac:dyDescent="0.4">
      <c r="B67" s="133">
        <f t="shared" si="18"/>
        <v>0.4</v>
      </c>
      <c r="C67" s="143">
        <f t="shared" si="16"/>
        <v>0.5</v>
      </c>
      <c r="D67" s="133">
        <f t="shared" si="17"/>
        <v>9.9999999999999978E-2</v>
      </c>
      <c r="E67" s="144">
        <f>B67*'LCA &amp; Functional'!$K$12+'Ternary Diagram'!C67*'LCA &amp; Functional'!$L$12+'Ternary Diagram'!D67*'LCA &amp; Functional'!$M$12</f>
        <v>0.83540156941480537</v>
      </c>
      <c r="F67" s="144">
        <f>B67*'LCA &amp; Functional'!$K$13+'Ternary Diagram'!C67*'LCA &amp; Functional'!$L$13+'LCA &amp; Functional'!$M$13*'Ternary Diagram'!D67</f>
        <v>0.79895954218366894</v>
      </c>
      <c r="G67" s="144">
        <f>B67*'LCA &amp; Functional'!$K$14+'LCA &amp; Functional'!$L$14*'Ternary Diagram'!C67+'Ternary Diagram'!D67*'LCA &amp; Functional'!$M$14</f>
        <v>0.94717028761278133</v>
      </c>
      <c r="H67" s="144">
        <f t="shared" si="0"/>
        <v>0.94717028761278133</v>
      </c>
      <c r="I67" s="140" t="str">
        <f t="shared" si="1"/>
        <v>C</v>
      </c>
    </row>
    <row r="68" spans="2:9" x14ac:dyDescent="0.4">
      <c r="B68" s="133">
        <f t="shared" si="18"/>
        <v>0.5</v>
      </c>
      <c r="C68" s="143">
        <f t="shared" si="16"/>
        <v>0.5</v>
      </c>
      <c r="D68" s="133">
        <f t="shared" si="17"/>
        <v>0</v>
      </c>
      <c r="E68" s="144">
        <f>B68*'LCA &amp; Functional'!$K$12+'Ternary Diagram'!C68*'LCA &amp; Functional'!$L$12+'Ternary Diagram'!D68*'LCA &amp; Functional'!$M$12</f>
        <v>0.83767429668753257</v>
      </c>
      <c r="F68" s="144">
        <f>B68*'LCA &amp; Functional'!$K$13+'Ternary Diagram'!C68*'LCA &amp; Functional'!$L$13+'LCA &amp; Functional'!$M$13*'Ternary Diagram'!D68</f>
        <v>0.79321681841092384</v>
      </c>
      <c r="G68" s="144">
        <f>B68*'LCA &amp; Functional'!$K$14+'LCA &amp; Functional'!$L$14*'Ternary Diagram'!C68+'Ternary Diagram'!D68*'LCA &amp; Functional'!$M$14</f>
        <v>0.9879401322432495</v>
      </c>
      <c r="H68" s="144">
        <f t="shared" si="0"/>
        <v>0.9879401322432495</v>
      </c>
      <c r="I68" s="140" t="str">
        <f t="shared" si="1"/>
        <v>C</v>
      </c>
    </row>
    <row r="69" spans="2:9" x14ac:dyDescent="0.4">
      <c r="B69" s="133"/>
      <c r="C69" s="143"/>
      <c r="D69" s="133"/>
      <c r="E69" s="144"/>
      <c r="F69" s="144"/>
      <c r="G69" s="144"/>
      <c r="H69" s="144"/>
      <c r="I69" s="140"/>
    </row>
    <row r="70" spans="2:9" x14ac:dyDescent="0.4">
      <c r="B70" s="133">
        <v>0</v>
      </c>
      <c r="C70" s="143">
        <f>+C63+0.1</f>
        <v>0.6</v>
      </c>
      <c r="D70" s="133">
        <f>1-C70-B70</f>
        <v>0.4</v>
      </c>
      <c r="E70" s="144">
        <f>B70*'LCA &amp; Functional'!$K$12+'Ternary Diagram'!C70*'LCA &amp; Functional'!$L$12+'Ternary Diagram'!D70*'LCA &amp; Functional'!$M$12</f>
        <v>0.79611824693413014</v>
      </c>
      <c r="F70" s="144">
        <f>B70*'LCA &amp; Functional'!$K$13+'Ternary Diagram'!C70*'LCA &amp; Functional'!$L$13+'LCA &amp; Functional'!$M$13*'Ternary Diagram'!D70</f>
        <v>0.78631652472957847</v>
      </c>
      <c r="G70" s="144">
        <f>B70*'LCA &amp; Functional'!$K$14+'LCA &amp; Functional'!$L$14*'Ternary Diagram'!C70+'Ternary Diagram'!D70*'LCA &amp; Functional'!$M$14</f>
        <v>0.82727272727272727</v>
      </c>
      <c r="H70" s="144">
        <f t="shared" si="0"/>
        <v>0.82727272727272727</v>
      </c>
      <c r="I70" s="140" t="str">
        <f t="shared" si="1"/>
        <v>C</v>
      </c>
    </row>
    <row r="71" spans="2:9" x14ac:dyDescent="0.4">
      <c r="B71" s="133">
        <v>0.1</v>
      </c>
      <c r="C71" s="143">
        <f>+C64+0.1</f>
        <v>0.6</v>
      </c>
      <c r="D71" s="133">
        <f>1-C71-B71</f>
        <v>0.30000000000000004</v>
      </c>
      <c r="E71" s="144">
        <f>B71*'LCA &amp; Functional'!$K$12+'Ternary Diagram'!C71*'LCA &amp; Functional'!$L$12+'Ternary Diagram'!D71*'LCA &amp; Functional'!$M$12</f>
        <v>0.79839097420685734</v>
      </c>
      <c r="F71" s="144">
        <f>B71*'LCA &amp; Functional'!$K$13+'Ternary Diagram'!C71*'LCA &amp; Functional'!$L$13+'LCA &amp; Functional'!$M$13*'Ternary Diagram'!D71</f>
        <v>0.7805738009568336</v>
      </c>
      <c r="G71" s="144">
        <f>B71*'LCA &amp; Functional'!$K$14+'LCA &amp; Functional'!$L$14*'Ternary Diagram'!C71+'Ternary Diagram'!D71*'LCA &amp; Functional'!$M$14</f>
        <v>0.86804257190319534</v>
      </c>
      <c r="H71" s="144">
        <f t="shared" si="0"/>
        <v>0.86804257190319534</v>
      </c>
      <c r="I71" s="140" t="str">
        <f t="shared" si="1"/>
        <v>C</v>
      </c>
    </row>
    <row r="72" spans="2:9" x14ac:dyDescent="0.4">
      <c r="B72" s="133">
        <f>+B71+0.1</f>
        <v>0.2</v>
      </c>
      <c r="C72" s="143">
        <f>+C65+0.1</f>
        <v>0.6</v>
      </c>
      <c r="D72" s="133">
        <f t="shared" ref="D72:D74" si="19">1-C72-B72</f>
        <v>0.2</v>
      </c>
      <c r="E72" s="144">
        <f>B72*'LCA &amp; Functional'!$K$12+'Ternary Diagram'!C72*'LCA &amp; Functional'!$L$12+'Ternary Diagram'!D72*'LCA &amp; Functional'!$M$12</f>
        <v>0.80066370147958454</v>
      </c>
      <c r="F72" s="144">
        <f>B72*'LCA &amp; Functional'!$K$13+'Ternary Diagram'!C72*'LCA &amp; Functional'!$L$13+'LCA &amp; Functional'!$M$13*'Ternary Diagram'!D72</f>
        <v>0.7748310771840885</v>
      </c>
      <c r="G72" s="144">
        <f>B72*'LCA &amp; Functional'!$K$14+'LCA &amp; Functional'!$L$14*'Ternary Diagram'!C72+'Ternary Diagram'!D72*'LCA &amp; Functional'!$M$14</f>
        <v>0.9088124165336634</v>
      </c>
      <c r="H72" s="144">
        <f t="shared" si="0"/>
        <v>0.9088124165336634</v>
      </c>
      <c r="I72" s="140" t="str">
        <f t="shared" si="1"/>
        <v>C</v>
      </c>
    </row>
    <row r="73" spans="2:9" x14ac:dyDescent="0.4">
      <c r="B73" s="133">
        <f t="shared" ref="B73:B74" si="20">+B72+0.1</f>
        <v>0.30000000000000004</v>
      </c>
      <c r="C73" s="143">
        <f>+C66+0.1</f>
        <v>0.6</v>
      </c>
      <c r="D73" s="133">
        <f t="shared" si="19"/>
        <v>9.9999999999999978E-2</v>
      </c>
      <c r="E73" s="144">
        <f>B73*'LCA &amp; Functional'!$K$12+'Ternary Diagram'!C73*'LCA &amp; Functional'!$L$12+'Ternary Diagram'!D73*'LCA &amp; Functional'!$M$12</f>
        <v>0.80293642875231175</v>
      </c>
      <c r="F73" s="144">
        <f>B73*'LCA &amp; Functional'!$K$13+'Ternary Diagram'!C73*'LCA &amp; Functional'!$L$13+'LCA &amp; Functional'!$M$13*'Ternary Diagram'!D73</f>
        <v>0.76908835341134363</v>
      </c>
      <c r="G73" s="144">
        <f>B73*'LCA &amp; Functional'!$K$14+'LCA &amp; Functional'!$L$14*'Ternary Diagram'!C73+'Ternary Diagram'!D73*'LCA &amp; Functional'!$M$14</f>
        <v>0.94958226116413147</v>
      </c>
      <c r="H73" s="144">
        <f t="shared" si="0"/>
        <v>0.94958226116413147</v>
      </c>
      <c r="I73" s="140" t="str">
        <f t="shared" si="1"/>
        <v>C</v>
      </c>
    </row>
    <row r="74" spans="2:9" x14ac:dyDescent="0.4">
      <c r="B74" s="133">
        <f t="shared" si="20"/>
        <v>0.4</v>
      </c>
      <c r="C74" s="143">
        <f>+C67+0.1</f>
        <v>0.6</v>
      </c>
      <c r="D74" s="133">
        <f t="shared" si="19"/>
        <v>0</v>
      </c>
      <c r="E74" s="144">
        <f>B74*'LCA &amp; Functional'!$K$12+'Ternary Diagram'!C74*'LCA &amp; Functional'!$L$12+'Ternary Diagram'!D74*'LCA &amp; Functional'!$M$12</f>
        <v>0.80520915602503917</v>
      </c>
      <c r="F74" s="144">
        <f>B74*'LCA &amp; Functional'!$K$13+'Ternary Diagram'!C74*'LCA &amp; Functional'!$L$13+'LCA &amp; Functional'!$M$13*'Ternary Diagram'!D74</f>
        <v>0.76334562963859864</v>
      </c>
      <c r="G74" s="144">
        <f>B74*'LCA &amp; Functional'!$K$14+'LCA &amp; Functional'!$L$14*'Ternary Diagram'!C74+'Ternary Diagram'!D74*'LCA &amp; Functional'!$M$14</f>
        <v>0.99035210579459954</v>
      </c>
      <c r="H74" s="144">
        <f t="shared" si="0"/>
        <v>0.99035210579459954</v>
      </c>
      <c r="I74" s="140" t="str">
        <f t="shared" si="1"/>
        <v>C</v>
      </c>
    </row>
    <row r="75" spans="2:9" x14ac:dyDescent="0.4">
      <c r="B75" s="133"/>
      <c r="C75" s="143"/>
      <c r="D75" s="133"/>
      <c r="E75" s="144"/>
      <c r="F75" s="144"/>
      <c r="G75" s="144"/>
      <c r="H75" s="144"/>
      <c r="I75" s="140"/>
    </row>
    <row r="76" spans="2:9" x14ac:dyDescent="0.4">
      <c r="B76" s="133">
        <v>0</v>
      </c>
      <c r="C76" s="143">
        <f>+C70+0.1</f>
        <v>0.7</v>
      </c>
      <c r="D76" s="133">
        <f>1-C76-B76</f>
        <v>0.30000000000000004</v>
      </c>
      <c r="E76" s="144">
        <f>B76*'LCA &amp; Functional'!$K$12+'Ternary Diagram'!C76*'LCA &amp; Functional'!$L$12+'Ternary Diagram'!D76*'LCA &amp; Functional'!$M$12</f>
        <v>0.76592583354436383</v>
      </c>
      <c r="F76" s="144">
        <f>B76*'LCA &amp; Functional'!$K$13+'Ternary Diagram'!C76*'LCA &amp; Functional'!$L$13+'LCA &amp; Functional'!$M$13*'Ternary Diagram'!D76</f>
        <v>0.75070261218450829</v>
      </c>
      <c r="G76" s="144">
        <f>B76*'LCA &amp; Functional'!$K$14+'LCA &amp; Functional'!$L$14*'Ternary Diagram'!C76+'Ternary Diagram'!D76*'LCA &amp; Functional'!$M$14</f>
        <v>0.87045454545454548</v>
      </c>
      <c r="H76" s="144">
        <f t="shared" ref="H76:H88" si="21">MAX(E76:G76)</f>
        <v>0.87045454545454548</v>
      </c>
      <c r="I76" s="140" t="str">
        <f t="shared" ref="I76:I88" si="22">+IF(E76=$H76,"A",(IF(F76=$H76,"B","C")))</f>
        <v>C</v>
      </c>
    </row>
    <row r="77" spans="2:9" x14ac:dyDescent="0.4">
      <c r="B77" s="133">
        <v>0.1</v>
      </c>
      <c r="C77" s="143">
        <f>+C71+0.1</f>
        <v>0.7</v>
      </c>
      <c r="D77" s="133">
        <f>1-C77-B77</f>
        <v>0.20000000000000004</v>
      </c>
      <c r="E77" s="144">
        <f>B77*'LCA &amp; Functional'!$K$12+'Ternary Diagram'!C77*'LCA &amp; Functional'!$L$12+'Ternary Diagram'!D77*'LCA &amp; Functional'!$M$12</f>
        <v>0.76819856081709115</v>
      </c>
      <c r="F77" s="144">
        <f>B77*'LCA &amp; Functional'!$K$13+'Ternary Diagram'!C77*'LCA &amp; Functional'!$L$13+'LCA &amp; Functional'!$M$13*'Ternary Diagram'!D77</f>
        <v>0.7449598884117633</v>
      </c>
      <c r="G77" s="144">
        <f>B77*'LCA &amp; Functional'!$K$14+'LCA &amp; Functional'!$L$14*'Ternary Diagram'!C77+'Ternary Diagram'!D77*'LCA &amp; Functional'!$M$14</f>
        <v>0.91122439008501355</v>
      </c>
      <c r="H77" s="144">
        <f t="shared" si="21"/>
        <v>0.91122439008501355</v>
      </c>
      <c r="I77" s="140" t="str">
        <f t="shared" si="22"/>
        <v>C</v>
      </c>
    </row>
    <row r="78" spans="2:9" x14ac:dyDescent="0.4">
      <c r="B78" s="133">
        <f>+B77+0.1</f>
        <v>0.2</v>
      </c>
      <c r="C78" s="143">
        <f>+C72+0.1</f>
        <v>0.7</v>
      </c>
      <c r="D78" s="133">
        <f t="shared" ref="D78:D79" si="23">1-C78-B78</f>
        <v>0.10000000000000003</v>
      </c>
      <c r="E78" s="144">
        <f>B78*'LCA &amp; Functional'!$K$12+'Ternary Diagram'!C78*'LCA &amp; Functional'!$L$12+'Ternary Diagram'!D78*'LCA &amp; Functional'!$M$12</f>
        <v>0.77047128808981835</v>
      </c>
      <c r="F78" s="144">
        <f>B78*'LCA &amp; Functional'!$K$13+'Ternary Diagram'!C78*'LCA &amp; Functional'!$L$13+'LCA &amp; Functional'!$M$13*'Ternary Diagram'!D78</f>
        <v>0.73921716463901843</v>
      </c>
      <c r="G78" s="144">
        <f>B78*'LCA &amp; Functional'!$K$14+'LCA &amp; Functional'!$L$14*'Ternary Diagram'!C78+'Ternary Diagram'!D78*'LCA &amp; Functional'!$M$14</f>
        <v>0.95199423471548161</v>
      </c>
      <c r="H78" s="144">
        <f t="shared" si="21"/>
        <v>0.95199423471548161</v>
      </c>
      <c r="I78" s="140" t="str">
        <f t="shared" si="22"/>
        <v>C</v>
      </c>
    </row>
    <row r="79" spans="2:9" x14ac:dyDescent="0.4">
      <c r="B79" s="133">
        <f t="shared" ref="B79" si="24">+B78+0.1</f>
        <v>0.30000000000000004</v>
      </c>
      <c r="C79" s="143">
        <f>+C73+0.1</f>
        <v>0.7</v>
      </c>
      <c r="D79" s="133">
        <f t="shared" si="23"/>
        <v>0</v>
      </c>
      <c r="E79" s="144">
        <f>B79*'LCA &amp; Functional'!$K$12+'Ternary Diagram'!C79*'LCA &amp; Functional'!$L$12+'Ternary Diagram'!D79*'LCA &amp; Functional'!$M$12</f>
        <v>0.77274401536254556</v>
      </c>
      <c r="F79" s="144">
        <f>B79*'LCA &amp; Functional'!$K$13+'Ternary Diagram'!C79*'LCA &amp; Functional'!$L$13+'LCA &amp; Functional'!$M$13*'Ternary Diagram'!D79</f>
        <v>0.73347444086627345</v>
      </c>
      <c r="G79" s="144">
        <f>B79*'LCA &amp; Functional'!$K$14+'LCA &amp; Functional'!$L$14*'Ternary Diagram'!C79+'Ternary Diagram'!D79*'LCA &amp; Functional'!$M$14</f>
        <v>0.99276407934594968</v>
      </c>
      <c r="H79" s="144">
        <f t="shared" si="21"/>
        <v>0.99276407934594968</v>
      </c>
      <c r="I79" s="140" t="str">
        <f t="shared" si="22"/>
        <v>C</v>
      </c>
    </row>
    <row r="80" spans="2:9" x14ac:dyDescent="0.4">
      <c r="B80" s="133"/>
      <c r="C80" s="143"/>
      <c r="D80" s="133"/>
      <c r="E80" s="144"/>
      <c r="F80" s="144"/>
      <c r="G80" s="144"/>
      <c r="H80" s="144"/>
      <c r="I80" s="140"/>
    </row>
    <row r="81" spans="2:9" x14ac:dyDescent="0.4">
      <c r="B81" s="133">
        <v>0</v>
      </c>
      <c r="C81" s="143">
        <f>+C76+0.1</f>
        <v>0.79999999999999993</v>
      </c>
      <c r="D81" s="133">
        <f>1-C81-B81</f>
        <v>0.20000000000000007</v>
      </c>
      <c r="E81" s="144">
        <f>B81*'LCA &amp; Functional'!$K$12+'Ternary Diagram'!C81*'LCA &amp; Functional'!$L$12+'Ternary Diagram'!D81*'LCA &amp; Functional'!$M$12</f>
        <v>0.73573342015459764</v>
      </c>
      <c r="F81" s="144">
        <f>B81*'LCA &amp; Functional'!$K$13+'Ternary Diagram'!C81*'LCA &amp; Functional'!$L$13+'LCA &amp; Functional'!$M$13*'Ternary Diagram'!D81</f>
        <v>0.715088699639438</v>
      </c>
      <c r="G81" s="144">
        <f>B81*'LCA &amp; Functional'!$K$14+'LCA &amp; Functional'!$L$14*'Ternary Diagram'!C81+'Ternary Diagram'!D81*'LCA &amp; Functional'!$M$14</f>
        <v>0.91363636363636358</v>
      </c>
      <c r="H81" s="144">
        <f t="shared" si="21"/>
        <v>0.91363636363636358</v>
      </c>
      <c r="I81" s="140" t="str">
        <f t="shared" si="22"/>
        <v>C</v>
      </c>
    </row>
    <row r="82" spans="2:9" x14ac:dyDescent="0.4">
      <c r="B82" s="133">
        <v>0.1</v>
      </c>
      <c r="C82" s="143">
        <f>+C77+0.1</f>
        <v>0.79999999999999993</v>
      </c>
      <c r="D82" s="133">
        <f>1-C82-B82</f>
        <v>0.10000000000000006</v>
      </c>
      <c r="E82" s="144">
        <f>B82*'LCA &amp; Functional'!$K$12+'Ternary Diagram'!C82*'LCA &amp; Functional'!$L$12+'Ternary Diagram'!D82*'LCA &amp; Functional'!$M$12</f>
        <v>0.73800614742732484</v>
      </c>
      <c r="F82" s="144">
        <f>B82*'LCA &amp; Functional'!$K$13+'Ternary Diagram'!C82*'LCA &amp; Functional'!$L$13+'LCA &amp; Functional'!$M$13*'Ternary Diagram'!D82</f>
        <v>0.70934597586669301</v>
      </c>
      <c r="G82" s="144">
        <f>B82*'LCA &amp; Functional'!$K$14+'LCA &amp; Functional'!$L$14*'Ternary Diagram'!C82+'Ternary Diagram'!D82*'LCA &amp; Functional'!$M$14</f>
        <v>0.95440620826683165</v>
      </c>
      <c r="H82" s="144">
        <f t="shared" si="21"/>
        <v>0.95440620826683165</v>
      </c>
      <c r="I82" s="140" t="str">
        <f t="shared" si="22"/>
        <v>C</v>
      </c>
    </row>
    <row r="83" spans="2:9" x14ac:dyDescent="0.4">
      <c r="B83" s="133">
        <f>+B82+0.1</f>
        <v>0.2</v>
      </c>
      <c r="C83" s="143">
        <f>+C78+0.1</f>
        <v>0.79999999999999993</v>
      </c>
      <c r="D83" s="133">
        <f>1-C83-B83</f>
        <v>0</v>
      </c>
      <c r="E83" s="144">
        <f>B83*'LCA &amp; Functional'!$K$12+'Ternary Diagram'!C83*'LCA &amp; Functional'!$L$12+'Ternary Diagram'!D83*'LCA &amp; Functional'!$M$12</f>
        <v>0.74027887470005216</v>
      </c>
      <c r="F83" s="144">
        <f>B83*'LCA &amp; Functional'!$K$13+'Ternary Diagram'!C83*'LCA &amp; Functional'!$L$13+'LCA &amp; Functional'!$M$13*'Ternary Diagram'!D83</f>
        <v>0.70360325209394803</v>
      </c>
      <c r="G83" s="144">
        <f>B83*'LCA &amp; Functional'!$K$14+'LCA &amp; Functional'!$L$14*'Ternary Diagram'!C83+'Ternary Diagram'!D83*'LCA &amp; Functional'!$M$14</f>
        <v>0.99517605289729971</v>
      </c>
      <c r="H83" s="144">
        <f t="shared" si="21"/>
        <v>0.99517605289729971</v>
      </c>
      <c r="I83" s="140" t="str">
        <f t="shared" si="22"/>
        <v>C</v>
      </c>
    </row>
    <row r="84" spans="2:9" x14ac:dyDescent="0.4">
      <c r="B84" s="133"/>
      <c r="C84" s="143"/>
      <c r="D84" s="133"/>
      <c r="E84" s="144"/>
      <c r="F84" s="144"/>
      <c r="G84" s="144"/>
      <c r="H84" s="144"/>
      <c r="I84" s="140"/>
    </row>
    <row r="85" spans="2:9" x14ac:dyDescent="0.4">
      <c r="B85" s="133">
        <v>0</v>
      </c>
      <c r="C85" s="143">
        <f>+C81+0.1</f>
        <v>0.89999999999999991</v>
      </c>
      <c r="D85" s="133">
        <f>1-C85-B85</f>
        <v>0.10000000000000009</v>
      </c>
      <c r="E85" s="144">
        <f>B85*'LCA &amp; Functional'!$K$12+'Ternary Diagram'!C85*'LCA &amp; Functional'!$L$12+'Ternary Diagram'!D85*'LCA &amp; Functional'!$M$12</f>
        <v>0.70554100676483134</v>
      </c>
      <c r="F85" s="144">
        <f>B85*'LCA &amp; Functional'!$K$13+'Ternary Diagram'!C85*'LCA &amp; Functional'!$L$13+'LCA &amp; Functional'!$M$13*'Ternary Diagram'!D85</f>
        <v>0.67947478709436782</v>
      </c>
      <c r="G85" s="144">
        <f>B85*'LCA &amp; Functional'!$K$14+'LCA &amp; Functional'!$L$14*'Ternary Diagram'!C85+'Ternary Diagram'!D85*'LCA &amp; Functional'!$M$14</f>
        <v>0.95681818181818179</v>
      </c>
      <c r="H85" s="144">
        <f t="shared" si="21"/>
        <v>0.95681818181818179</v>
      </c>
      <c r="I85" s="140" t="str">
        <f t="shared" si="22"/>
        <v>C</v>
      </c>
    </row>
    <row r="86" spans="2:9" x14ac:dyDescent="0.4">
      <c r="B86" s="133">
        <v>0.1</v>
      </c>
      <c r="C86" s="143">
        <f>+C82+0.1</f>
        <v>0.89999999999999991</v>
      </c>
      <c r="D86" s="133">
        <f>1-C86-B86</f>
        <v>0</v>
      </c>
      <c r="E86" s="144">
        <f>B86*'LCA &amp; Functional'!$K$12+'Ternary Diagram'!C86*'LCA &amp; Functional'!$L$12+'Ternary Diagram'!D86*'LCA &amp; Functional'!$M$12</f>
        <v>0.70781373403755854</v>
      </c>
      <c r="F86" s="144">
        <f>B86*'LCA &amp; Functional'!$K$13+'Ternary Diagram'!C86*'LCA &amp; Functional'!$L$13+'LCA &amp; Functional'!$M$13*'Ternary Diagram'!D86</f>
        <v>0.67373206332162272</v>
      </c>
      <c r="G86" s="144">
        <f>B86*'LCA &amp; Functional'!$K$14+'LCA &amp; Functional'!$L$14*'Ternary Diagram'!C86+'Ternary Diagram'!D86*'LCA &amp; Functional'!$M$14</f>
        <v>0.99758802644864986</v>
      </c>
      <c r="H86" s="144">
        <f t="shared" si="21"/>
        <v>0.99758802644864986</v>
      </c>
      <c r="I86" s="140" t="str">
        <f t="shared" si="22"/>
        <v>C</v>
      </c>
    </row>
    <row r="87" spans="2:9" x14ac:dyDescent="0.4">
      <c r="B87" s="133"/>
      <c r="C87" s="143"/>
      <c r="D87" s="133"/>
      <c r="E87" s="144"/>
      <c r="F87" s="144"/>
      <c r="G87" s="144"/>
      <c r="H87" s="144"/>
      <c r="I87" s="140"/>
    </row>
    <row r="88" spans="2:9" x14ac:dyDescent="0.4">
      <c r="B88" s="133">
        <v>0</v>
      </c>
      <c r="C88" s="143">
        <v>1</v>
      </c>
      <c r="D88" s="133">
        <v>0</v>
      </c>
      <c r="E88" s="144">
        <f>B88*'LCA &amp; Functional'!$K$12+'Ternary Diagram'!C88*'LCA &amp; Functional'!$L$12+'Ternary Diagram'!D88*'LCA &amp; Functional'!$M$12</f>
        <v>0.67534859337506514</v>
      </c>
      <c r="F88" s="144">
        <f>B88*'LCA &amp; Functional'!$K$13+'Ternary Diagram'!C88*'LCA &amp; Functional'!$L$13+'LCA &amp; Functional'!$M$13*'Ternary Diagram'!D88</f>
        <v>0.64386087454929752</v>
      </c>
      <c r="G88" s="144">
        <f>B88*'LCA &amp; Functional'!$K$14+'LCA &amp; Functional'!$L$14*'Ternary Diagram'!C88+'Ternary Diagram'!D88*'LCA &amp; Functional'!$M$14</f>
        <v>1</v>
      </c>
      <c r="H88" s="144">
        <f t="shared" si="21"/>
        <v>1</v>
      </c>
      <c r="I88" s="140" t="str">
        <f t="shared" si="22"/>
        <v>C</v>
      </c>
    </row>
  </sheetData>
  <mergeCells count="3">
    <mergeCell ref="AH8:AI8"/>
    <mergeCell ref="R10:T10"/>
    <mergeCell ref="AA19:AB19"/>
  </mergeCells>
  <conditionalFormatting sqref="I10:I88">
    <cfRule type="containsText" dxfId="11" priority="3" operator="containsText" text="C">
      <formula>NOT(ISERROR(SEARCH("C",I10)))</formula>
    </cfRule>
    <cfRule type="containsText" dxfId="10" priority="4" operator="containsText" text="B">
      <formula>NOT(ISERROR(SEARCH("B",I10)))</formula>
    </cfRule>
    <cfRule type="containsText" dxfId="9" priority="5" operator="containsText" text="A">
      <formula>NOT(ISERROR(SEARCH("A",I10)))</formula>
    </cfRule>
  </conditionalFormatting>
  <conditionalFormatting sqref="Q1:AM4 Q5:AK7 Q8:AG8 AJ8:AK8 Q9:AM9 Q10 U10:AM10 Q11:AM18 Q19:Z19 AC19:AM19">
    <cfRule type="containsText" dxfId="8" priority="20" operator="containsText" text="A">
      <formula>NOT(ISERROR(SEARCH("A",Q1)))</formula>
    </cfRule>
  </conditionalFormatting>
  <conditionalFormatting sqref="Q11:AM18 AJ8:AK8 Q1:AM4 Q5:AK7 Q8:AG8 Q9:AM9 Q10 U10:AM10 Q19:Z19 AC19:AM19">
    <cfRule type="containsText" dxfId="7" priority="19" operator="containsText" text="B">
      <formula>NOT(ISERROR(SEARCH("B",Q1)))</formula>
    </cfRule>
  </conditionalFormatting>
  <conditionalFormatting sqref="R16">
    <cfRule type="containsText" dxfId="6" priority="6" operator="containsText" text="C">
      <formula>NOT(ISERROR(SEARCH("C",R16)))</formula>
    </cfRule>
  </conditionalFormatting>
  <conditionalFormatting sqref="S15">
    <cfRule type="containsText" dxfId="5" priority="7" operator="containsText" text="C">
      <formula>NOT(ISERROR(SEARCH("C",S15)))</formula>
    </cfRule>
  </conditionalFormatting>
  <conditionalFormatting sqref="T14">
    <cfRule type="containsText" dxfId="4" priority="8" operator="containsText" text="C">
      <formula>NOT(ISERROR(SEARCH("C",T14)))</formula>
    </cfRule>
  </conditionalFormatting>
  <conditionalFormatting sqref="T16">
    <cfRule type="containsText" dxfId="3" priority="9" operator="containsText" text="C">
      <formula>NOT(ISERROR(SEARCH("C",T16)))</formula>
    </cfRule>
  </conditionalFormatting>
  <conditionalFormatting sqref="V12:AI16 U13:V15">
    <cfRule type="containsText" dxfId="2" priority="10" operator="containsText" text="C">
      <formula>NOT(ISERROR(SEARCH("C",U12)))</formula>
    </cfRule>
  </conditionalFormatting>
  <conditionalFormatting sqref="AJ16">
    <cfRule type="containsText" dxfId="1" priority="2" operator="containsText" text="C">
      <formula>NOT(ISERROR(SEARCH("C",AJ16)))</formula>
    </cfRule>
  </conditionalFormatting>
  <conditionalFormatting sqref="AK8">
    <cfRule type="containsText" dxfId="0" priority="1" operator="containsText" text="C">
      <formula>NOT(ISERROR(SEARCH("C",AK8)))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Sensitivity Analysis</vt:lpstr>
      <vt:lpstr>Total Cost</vt:lpstr>
      <vt:lpstr>Volume vs Cost</vt:lpstr>
      <vt:lpstr>MFCA</vt:lpstr>
      <vt:lpstr>LCA &amp; Functional</vt:lpstr>
      <vt:lpstr>Ternary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shetty</dc:creator>
  <cp:lastModifiedBy>Prajjwal Garag</cp:lastModifiedBy>
  <dcterms:created xsi:type="dcterms:W3CDTF">2024-11-14T10:07:12Z</dcterms:created>
  <dcterms:modified xsi:type="dcterms:W3CDTF">2025-01-12T18:32:43Z</dcterms:modified>
</cp:coreProperties>
</file>