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\udata\std\paschenko\Рабочий стол\"/>
    </mc:Choice>
  </mc:AlternateContent>
  <bookViews>
    <workbookView xWindow="0" yWindow="0" windowWidth="28710" windowHeight="11730"/>
  </bookViews>
  <sheets>
    <sheet name="Банка 60" sheetId="1" r:id="rId1"/>
  </sheets>
  <calcPr calcId="152511"/>
</workbook>
</file>

<file path=xl/calcChain.xml><?xml version="1.0" encoding="utf-8"?>
<calcChain xmlns="http://schemas.openxmlformats.org/spreadsheetml/2006/main">
  <c r="G23" i="1" l="1"/>
  <c r="I25" i="1" l="1"/>
  <c r="K25" i="1" s="1"/>
  <c r="I24" i="1"/>
  <c r="K24" i="1" s="1"/>
  <c r="D20" i="1" l="1"/>
  <c r="E20" i="1"/>
  <c r="E19" i="1" s="1"/>
  <c r="E11" i="1"/>
  <c r="G11" i="1" s="1"/>
  <c r="E12" i="1"/>
  <c r="G12" i="1" s="1"/>
  <c r="I12" i="1" s="1"/>
  <c r="K12" i="1" s="1"/>
  <c r="D13" i="1"/>
  <c r="I23" i="1"/>
  <c r="K23" i="1" s="1"/>
  <c r="G26" i="1"/>
  <c r="I26" i="1" s="1"/>
  <c r="K26" i="1" s="1"/>
  <c r="G27" i="1"/>
  <c r="I27" i="1" s="1"/>
  <c r="K27" i="1" s="1"/>
  <c r="I28" i="1"/>
  <c r="K28" i="1" s="1"/>
  <c r="I29" i="1"/>
  <c r="K29" i="1" s="1"/>
  <c r="I30" i="1"/>
  <c r="K30" i="1" s="1"/>
  <c r="K31" i="1"/>
  <c r="Q4" i="1"/>
  <c r="Q7" i="1" s="1"/>
  <c r="B15" i="1"/>
  <c r="B16" i="1" s="1"/>
  <c r="B17" i="1" s="1"/>
  <c r="B18" i="1" s="1"/>
  <c r="B19" i="1" s="1"/>
  <c r="S14" i="1"/>
  <c r="U14" i="1" s="1"/>
  <c r="S11" i="1"/>
  <c r="U11" i="1" s="1"/>
  <c r="G19" i="1" l="1"/>
  <c r="I19" i="1" s="1"/>
  <c r="K19" i="1" s="1"/>
  <c r="E18" i="1"/>
  <c r="E13" i="1"/>
  <c r="E17" i="1"/>
  <c r="E15" i="1"/>
  <c r="E16" i="1"/>
  <c r="D21" i="1"/>
  <c r="T14" i="1"/>
  <c r="T11" i="1"/>
  <c r="S12" i="1"/>
  <c r="K32" i="1"/>
  <c r="I11" i="1"/>
  <c r="S13" i="1"/>
  <c r="G13" i="1"/>
  <c r="G16" i="1" l="1"/>
  <c r="I16" i="1" s="1"/>
  <c r="K16" i="1" s="1"/>
  <c r="I18" i="1"/>
  <c r="K18" i="1" s="1"/>
  <c r="G18" i="1"/>
  <c r="G15" i="1"/>
  <c r="I15" i="1" s="1"/>
  <c r="I17" i="1"/>
  <c r="K17" i="1" s="1"/>
  <c r="G17" i="1"/>
  <c r="T12" i="1"/>
  <c r="V18" i="1" s="1"/>
  <c r="W18" i="1" s="1"/>
  <c r="U12" i="1"/>
  <c r="T18" i="1"/>
  <c r="T17" i="1"/>
  <c r="U13" i="1"/>
  <c r="T13" i="1"/>
  <c r="V17" i="1" s="1"/>
  <c r="W17" i="1" s="1"/>
  <c r="K11" i="1"/>
  <c r="K13" i="1" s="1"/>
  <c r="I13" i="1"/>
  <c r="K15" i="1" l="1"/>
  <c r="K20" i="1" s="1"/>
  <c r="K21" i="1" s="1"/>
  <c r="K33" i="1" s="1"/>
  <c r="K37" i="1" s="1"/>
  <c r="I20" i="1"/>
  <c r="G20" i="1"/>
</calcChain>
</file>

<file path=xl/sharedStrings.xml><?xml version="1.0" encoding="utf-8"?>
<sst xmlns="http://schemas.openxmlformats.org/spreadsheetml/2006/main" count="92" uniqueCount="74">
  <si>
    <t>Форма выпуска</t>
  </si>
  <si>
    <t>Кол-во капсул, шт.</t>
  </si>
  <si>
    <t>Вес содержимого капсулы, гр</t>
  </si>
  <si>
    <t>Объем дозы, мг</t>
  </si>
  <si>
    <t>Кол-во готовой продукции в 1 гофрокоробе, шт</t>
  </si>
  <si>
    <t>Кол-во суточных доз</t>
  </si>
  <si>
    <t>Суточный объем, мг</t>
  </si>
  <si>
    <t>№ п/п</t>
  </si>
  <si>
    <t>Наименование расходов</t>
  </si>
  <si>
    <t>% ввода</t>
  </si>
  <si>
    <t>Содержание в 1 капсуле, гр</t>
  </si>
  <si>
    <t>Ед. изм.</t>
  </si>
  <si>
    <t>Расход на единицу готовой пр-ции, кг</t>
  </si>
  <si>
    <t>Норматив потерь, %</t>
  </si>
  <si>
    <t>Расход на ед.пр-ции с учетом потерь, кг</t>
  </si>
  <si>
    <t>Цена, руб/кг, с НДС</t>
  </si>
  <si>
    <t>Стоимость на ед.пр-ции, руб.</t>
  </si>
  <si>
    <t>Сырье</t>
  </si>
  <si>
    <t>Наименование ингридиента</t>
  </si>
  <si>
    <t>сод.ДВ в суточном объеме, мг</t>
  </si>
  <si>
    <t>кг</t>
  </si>
  <si>
    <t>Итого</t>
  </si>
  <si>
    <t>Комплектующие</t>
  </si>
  <si>
    <t>шт</t>
  </si>
  <si>
    <t>Гофрокороб</t>
  </si>
  <si>
    <t>Стикер на гофрокороб</t>
  </si>
  <si>
    <t>Скотч (1,2 м на 1 г/к)</t>
  </si>
  <si>
    <t>Красящий ролик CL 512</t>
  </si>
  <si>
    <t>Показатель качества</t>
  </si>
  <si>
    <t>Наименование ДВ</t>
  </si>
  <si>
    <t>Значение по ТУ мг/капс</t>
  </si>
  <si>
    <t>% потерь</t>
  </si>
  <si>
    <t>% от адекватного</t>
  </si>
  <si>
    <t>Стрейч-пленка</t>
  </si>
  <si>
    <t>рул</t>
  </si>
  <si>
    <t>ИТОГО материалы</t>
  </si>
  <si>
    <t>Прочие расходы</t>
  </si>
  <si>
    <t>Всего цена с НДС</t>
  </si>
  <si>
    <t>Содержание действующего в-ва в ингридиенте, %</t>
  </si>
  <si>
    <t>Биологически активный компонент (действующее вещество)</t>
  </si>
  <si>
    <t>Сод. ДВ в упаковке мг/упак</t>
  </si>
  <si>
    <t>сод.ДВ в капсуле , мг</t>
  </si>
  <si>
    <t>Адекватное суточное потребление, мг</t>
  </si>
  <si>
    <t>Суточное потребление по рецептуре, мг</t>
  </si>
  <si>
    <t>Значение по рецептуре с учетом потерь, мг/капс</t>
  </si>
  <si>
    <t>Расчет  содержания действующих веществ</t>
  </si>
  <si>
    <t>Вес оболочки капсулы</t>
  </si>
  <si>
    <t>Итого содержимое</t>
  </si>
  <si>
    <t>Итого оболочка</t>
  </si>
  <si>
    <t>Капсула</t>
  </si>
  <si>
    <t>Глицерин</t>
  </si>
  <si>
    <t>Желатин</t>
  </si>
  <si>
    <t>Вода</t>
  </si>
  <si>
    <t>Капсула МЖК (работа)</t>
  </si>
  <si>
    <t>витамин Е</t>
  </si>
  <si>
    <t>Витамин Е токоферол ацетат</t>
  </si>
  <si>
    <t>Лимонная кислота</t>
  </si>
  <si>
    <t>Сорбат калия</t>
  </si>
  <si>
    <t>ПНЖК омега-3</t>
  </si>
  <si>
    <t>капсулы/банка/пенал</t>
  </si>
  <si>
    <t>Рыбий жир 30%</t>
  </si>
  <si>
    <t>Банка</t>
  </si>
  <si>
    <t>Этикетка</t>
  </si>
  <si>
    <t>стоимость при заказе</t>
  </si>
  <si>
    <t xml:space="preserve"> от 300 000 до 600 000</t>
  </si>
  <si>
    <t>от 5 000 до 10 000</t>
  </si>
  <si>
    <t>от 3 000 до 5 000</t>
  </si>
  <si>
    <t>от 180 000 до 300 000</t>
  </si>
  <si>
    <t xml:space="preserve">от 2 000 до 3 000 </t>
  </si>
  <si>
    <t>от 120 000 до 180 000</t>
  </si>
  <si>
    <t>от 600 000</t>
  </si>
  <si>
    <t>от 10 000</t>
  </si>
  <si>
    <t>стоимость предварительная</t>
  </si>
  <si>
    <t>давальческое сырье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</si>
</sst>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"/>
    <numFmt numFmtId="166" formatCode="0.000000"/>
    <numFmt numFmtId="167" formatCode="0.0000"/>
    <numFmt numFmtId="168" formatCode="0.0"/>
    <numFmt numFmtId="169" formatCode="0.0%"/>
  </numFmts>
  <fonts count="13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10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</cellStyleXfs>
  <cellXfs count="191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/>
    </xf>
    <xf numFmtId="0" fontId="5" fillId="0" borderId="1" xfId="0" applyFont="1" applyBorder="1" applyAlignment="1">
      <alignment wrapText="1"/>
    </xf>
    <xf numFmtId="1" fontId="3" fillId="0" borderId="1" xfId="0" applyNumberFormat="1" applyFont="1" applyBorder="1"/>
    <xf numFmtId="0" fontId="3" fillId="0" borderId="0" xfId="0" applyFont="1"/>
    <xf numFmtId="0" fontId="3" fillId="0" borderId="1" xfId="0" applyFont="1" applyBorder="1"/>
    <xf numFmtId="0" fontId="7" fillId="3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0" borderId="1" xfId="1" applyFont="1" applyBorder="1"/>
    <xf numFmtId="0" fontId="6" fillId="0" borderId="1" xfId="1" applyFont="1" applyBorder="1" applyAlignment="1">
      <alignment horizontal="center"/>
    </xf>
    <xf numFmtId="0" fontId="6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wrapText="1"/>
    </xf>
    <xf numFmtId="9" fontId="3" fillId="0" borderId="1" xfId="2" applyFont="1" applyBorder="1"/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  <xf numFmtId="167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6" fontId="3" fillId="0" borderId="1" xfId="1" applyNumberFormat="1" applyFont="1" applyBorder="1" applyAlignment="1">
      <alignment vertical="center"/>
    </xf>
    <xf numFmtId="1" fontId="3" fillId="0" borderId="1" xfId="1" applyNumberFormat="1" applyFont="1" applyBorder="1" applyAlignment="1">
      <alignment horizontal="center" vertical="center"/>
    </xf>
    <xf numFmtId="4" fontId="3" fillId="0" borderId="1" xfId="1" applyNumberFormat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9" fontId="3" fillId="0" borderId="1" xfId="2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8" fontId="3" fillId="0" borderId="1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10" fontId="3" fillId="0" borderId="0" xfId="2" applyNumberFormat="1" applyFont="1" applyBorder="1"/>
    <xf numFmtId="164" fontId="3" fillId="0" borderId="0" xfId="0" applyNumberFormat="1" applyFont="1" applyBorder="1"/>
    <xf numFmtId="167" fontId="3" fillId="0" borderId="0" xfId="0" applyNumberFormat="1" applyFont="1" applyBorder="1"/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/>
    <xf numFmtId="10" fontId="3" fillId="0" borderId="1" xfId="2" applyNumberFormat="1" applyFont="1" applyBorder="1"/>
    <xf numFmtId="0" fontId="3" fillId="0" borderId="1" xfId="0" applyFont="1" applyFill="1" applyBorder="1"/>
    <xf numFmtId="0" fontId="6" fillId="0" borderId="1" xfId="1" applyFont="1" applyBorder="1" applyAlignment="1">
      <alignment horizontal="right"/>
    </xf>
    <xf numFmtId="164" fontId="6" fillId="0" borderId="1" xfId="1" applyNumberFormat="1" applyFont="1" applyBorder="1" applyAlignment="1">
      <alignment horizontal="right"/>
    </xf>
    <xf numFmtId="164" fontId="6" fillId="0" borderId="1" xfId="1" applyNumberFormat="1" applyFont="1" applyBorder="1" applyAlignment="1">
      <alignment horizontal="center"/>
    </xf>
    <xf numFmtId="166" fontId="6" fillId="0" borderId="1" xfId="1" applyNumberFormat="1" applyFont="1" applyBorder="1"/>
    <xf numFmtId="166" fontId="6" fillId="0" borderId="1" xfId="1" applyNumberFormat="1" applyFont="1" applyBorder="1" applyAlignment="1">
      <alignment horizontal="center"/>
    </xf>
    <xf numFmtId="4" fontId="6" fillId="0" borderId="1" xfId="1" applyNumberFormat="1" applyFont="1" applyBorder="1"/>
    <xf numFmtId="2" fontId="3" fillId="0" borderId="1" xfId="1" applyNumberFormat="1" applyFont="1" applyBorder="1" applyAlignment="1">
      <alignment horizontal="center"/>
    </xf>
    <xf numFmtId="166" fontId="3" fillId="0" borderId="1" xfId="1" applyNumberFormat="1" applyFont="1" applyBorder="1"/>
    <xf numFmtId="166" fontId="3" fillId="0" borderId="1" xfId="1" applyNumberFormat="1" applyFont="1" applyBorder="1" applyAlignment="1">
      <alignment horizontal="center"/>
    </xf>
    <xf numFmtId="2" fontId="3" fillId="0" borderId="1" xfId="1" applyNumberFormat="1" applyFont="1" applyBorder="1"/>
    <xf numFmtId="9" fontId="3" fillId="0" borderId="0" xfId="2" applyFont="1" applyBorder="1"/>
    <xf numFmtId="0" fontId="3" fillId="0" borderId="0" xfId="0" applyFont="1" applyBorder="1"/>
    <xf numFmtId="0" fontId="3" fillId="0" borderId="0" xfId="1" applyFont="1" applyBorder="1"/>
    <xf numFmtId="164" fontId="3" fillId="0" borderId="1" xfId="1" applyNumberFormat="1" applyFont="1" applyBorder="1" applyAlignment="1">
      <alignment horizontal="center"/>
    </xf>
    <xf numFmtId="168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vertical="center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 applyFill="1" applyBorder="1"/>
    <xf numFmtId="0" fontId="3" fillId="0" borderId="0" xfId="0" applyFont="1" applyFill="1" applyBorder="1"/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vertical="center"/>
    </xf>
    <xf numFmtId="9" fontId="3" fillId="0" borderId="0" xfId="2" applyFont="1" applyFill="1" applyBorder="1"/>
    <xf numFmtId="2" fontId="6" fillId="0" borderId="1" xfId="1" applyNumberFormat="1" applyFont="1" applyBorder="1" applyAlignment="1">
      <alignment horizontal="center"/>
    </xf>
    <xf numFmtId="2" fontId="6" fillId="0" borderId="1" xfId="1" applyNumberFormat="1" applyFont="1" applyBorder="1"/>
    <xf numFmtId="0" fontId="6" fillId="2" borderId="1" xfId="1" applyFont="1" applyFill="1" applyBorder="1"/>
    <xf numFmtId="0" fontId="6" fillId="2" borderId="1" xfId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/>
    </xf>
    <xf numFmtId="166" fontId="6" fillId="2" borderId="1" xfId="1" applyNumberFormat="1" applyFont="1" applyFill="1" applyBorder="1"/>
    <xf numFmtId="2" fontId="6" fillId="2" borderId="1" xfId="1" applyNumberFormat="1" applyFont="1" applyFill="1" applyBorder="1"/>
    <xf numFmtId="0" fontId="6" fillId="0" borderId="0" xfId="1" applyFont="1"/>
    <xf numFmtId="0" fontId="11" fillId="3" borderId="1" xfId="1" applyFont="1" applyFill="1" applyBorder="1"/>
    <xf numFmtId="2" fontId="11" fillId="3" borderId="1" xfId="1" applyNumberFormat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/>
    </xf>
    <xf numFmtId="166" fontId="11" fillId="3" borderId="1" xfId="1" applyNumberFormat="1" applyFont="1" applyFill="1" applyBorder="1"/>
    <xf numFmtId="2" fontId="11" fillId="3" borderId="1" xfId="1" applyNumberFormat="1" applyFont="1" applyFill="1" applyBorder="1"/>
    <xf numFmtId="0" fontId="3" fillId="0" borderId="0" xfId="1" applyFont="1" applyFill="1" applyBorder="1"/>
    <xf numFmtId="4" fontId="3" fillId="0" borderId="2" xfId="1" applyNumberFormat="1" applyFont="1" applyBorder="1" applyAlignment="1">
      <alignment vertical="center"/>
    </xf>
    <xf numFmtId="0" fontId="3" fillId="0" borderId="2" xfId="1" applyFont="1" applyBorder="1"/>
    <xf numFmtId="0" fontId="6" fillId="0" borderId="2" xfId="1" applyFont="1" applyBorder="1"/>
    <xf numFmtId="2" fontId="6" fillId="2" borderId="2" xfId="1" applyNumberFormat="1" applyFont="1" applyFill="1" applyBorder="1"/>
    <xf numFmtId="2" fontId="11" fillId="3" borderId="2" xfId="1" applyNumberFormat="1" applyFont="1" applyFill="1" applyBorder="1"/>
    <xf numFmtId="0" fontId="6" fillId="0" borderId="0" xfId="1" applyFont="1" applyFill="1" applyBorder="1"/>
    <xf numFmtId="2" fontId="11" fillId="0" borderId="0" xfId="1" applyNumberFormat="1" applyFont="1" applyFill="1" applyBorder="1"/>
    <xf numFmtId="0" fontId="3" fillId="4" borderId="1" xfId="1" applyFont="1" applyFill="1" applyBorder="1"/>
    <xf numFmtId="2" fontId="3" fillId="4" borderId="1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6" fillId="0" borderId="0" xfId="1" applyFont="1" applyBorder="1"/>
    <xf numFmtId="0" fontId="3" fillId="5" borderId="0" xfId="1" applyFont="1" applyFill="1"/>
    <xf numFmtId="0" fontId="3" fillId="5" borderId="1" xfId="1" applyFont="1" applyFill="1" applyBorder="1"/>
    <xf numFmtId="2" fontId="3" fillId="5" borderId="1" xfId="1" applyNumberFormat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10" fontId="3" fillId="5" borderId="0" xfId="2" applyNumberFormat="1" applyFont="1" applyFill="1" applyBorder="1"/>
    <xf numFmtId="164" fontId="3" fillId="5" borderId="0" xfId="0" applyNumberFormat="1" applyFont="1" applyFill="1" applyBorder="1"/>
    <xf numFmtId="167" fontId="3" fillId="5" borderId="0" xfId="0" applyNumberFormat="1" applyFont="1" applyFill="1" applyBorder="1"/>
    <xf numFmtId="164" fontId="3" fillId="5" borderId="1" xfId="1" applyNumberFormat="1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vertical="center"/>
    </xf>
    <xf numFmtId="2" fontId="3" fillId="5" borderId="1" xfId="1" applyNumberFormat="1" applyFont="1" applyFill="1" applyBorder="1"/>
    <xf numFmtId="0" fontId="3" fillId="5" borderId="0" xfId="1" applyFont="1" applyFill="1" applyAlignment="1">
      <alignment vertical="center"/>
    </xf>
    <xf numFmtId="0" fontId="3" fillId="4" borderId="0" xfId="0" applyFont="1" applyFill="1" applyBorder="1" applyAlignment="1">
      <alignment wrapText="1"/>
    </xf>
    <xf numFmtId="10" fontId="3" fillId="4" borderId="0" xfId="2" applyNumberFormat="1" applyFont="1" applyFill="1" applyBorder="1"/>
    <xf numFmtId="164" fontId="3" fillId="4" borderId="0" xfId="0" applyNumberFormat="1" applyFont="1" applyFill="1" applyBorder="1"/>
    <xf numFmtId="167" fontId="3" fillId="4" borderId="0" xfId="0" applyNumberFormat="1" applyFont="1" applyFill="1" applyBorder="1"/>
    <xf numFmtId="0" fontId="3" fillId="4" borderId="0" xfId="1" applyFont="1" applyFill="1"/>
    <xf numFmtId="0" fontId="3" fillId="4" borderId="0" xfId="0" applyFont="1" applyFill="1" applyBorder="1"/>
    <xf numFmtId="167" fontId="12" fillId="4" borderId="1" xfId="1" applyNumberFormat="1" applyFont="1" applyFill="1" applyBorder="1" applyAlignment="1">
      <alignment horizontal="center" vertical="center"/>
    </xf>
    <xf numFmtId="168" fontId="12" fillId="4" borderId="1" xfId="1" applyNumberFormat="1" applyFont="1" applyFill="1" applyBorder="1" applyAlignment="1">
      <alignment horizontal="center" vertical="center"/>
    </xf>
    <xf numFmtId="164" fontId="12" fillId="4" borderId="1" xfId="1" applyNumberFormat="1" applyFont="1" applyFill="1" applyBorder="1" applyAlignment="1">
      <alignment vertical="center"/>
    </xf>
    <xf numFmtId="2" fontId="12" fillId="4" borderId="1" xfId="3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vertical="center"/>
    </xf>
    <xf numFmtId="168" fontId="3" fillId="5" borderId="1" xfId="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0" fontId="6" fillId="0" borderId="0" xfId="1" applyFont="1" applyFill="1"/>
    <xf numFmtId="4" fontId="3" fillId="0" borderId="0" xfId="1" applyNumberFormat="1" applyFont="1" applyFill="1" applyBorder="1" applyAlignment="1">
      <alignment vertical="center"/>
    </xf>
    <xf numFmtId="0" fontId="6" fillId="0" borderId="0" xfId="1" applyFont="1" applyFill="1" applyAlignment="1">
      <alignment vertical="center"/>
    </xf>
    <xf numFmtId="164" fontId="6" fillId="0" borderId="0" xfId="1" applyNumberFormat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/>
    </xf>
    <xf numFmtId="0" fontId="3" fillId="0" borderId="0" xfId="1" applyFont="1" applyFill="1"/>
    <xf numFmtId="0" fontId="3" fillId="0" borderId="1" xfId="1" applyFont="1" applyFill="1" applyBorder="1"/>
    <xf numFmtId="0" fontId="6" fillId="0" borderId="1" xfId="1" applyFont="1" applyFill="1" applyBorder="1" applyAlignment="1">
      <alignment vertical="center"/>
    </xf>
    <xf numFmtId="4" fontId="3" fillId="0" borderId="1" xfId="1" applyNumberFormat="1" applyFont="1" applyFill="1" applyBorder="1" applyAlignment="1">
      <alignment vertical="center"/>
    </xf>
    <xf numFmtId="0" fontId="6" fillId="0" borderId="1" xfId="1" applyFont="1" applyFill="1" applyBorder="1"/>
    <xf numFmtId="2" fontId="6" fillId="0" borderId="1" xfId="1" applyNumberFormat="1" applyFont="1" applyFill="1" applyBorder="1"/>
    <xf numFmtId="9" fontId="3" fillId="0" borderId="0" xfId="1" applyNumberFormat="1" applyFont="1" applyFill="1"/>
    <xf numFmtId="0" fontId="6" fillId="6" borderId="1" xfId="1" applyFont="1" applyFill="1" applyBorder="1"/>
    <xf numFmtId="2" fontId="6" fillId="6" borderId="1" xfId="1" applyNumberFormat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166" fontId="6" fillId="6" borderId="1" xfId="1" applyNumberFormat="1" applyFont="1" applyFill="1" applyBorder="1"/>
    <xf numFmtId="2" fontId="6" fillId="6" borderId="1" xfId="1" applyNumberFormat="1" applyFont="1" applyFill="1" applyBorder="1"/>
    <xf numFmtId="2" fontId="6" fillId="6" borderId="2" xfId="1" applyNumberFormat="1" applyFont="1" applyFill="1" applyBorder="1"/>
    <xf numFmtId="0" fontId="3" fillId="6" borderId="0" xfId="0" applyFont="1" applyFill="1" applyBorder="1" applyAlignment="1">
      <alignment horizontal="center" vertical="center" wrapText="1"/>
    </xf>
    <xf numFmtId="2" fontId="3" fillId="6" borderId="0" xfId="0" applyNumberFormat="1" applyFont="1" applyFill="1" applyBorder="1" applyAlignment="1">
      <alignment horizontal="center" vertical="center"/>
    </xf>
    <xf numFmtId="9" fontId="3" fillId="6" borderId="0" xfId="2" applyFont="1" applyFill="1" applyBorder="1"/>
    <xf numFmtId="164" fontId="3" fillId="6" borderId="0" xfId="0" applyNumberFormat="1" applyFont="1" applyFill="1" applyBorder="1"/>
    <xf numFmtId="0" fontId="3" fillId="6" borderId="0" xfId="0" applyFont="1" applyFill="1" applyBorder="1"/>
    <xf numFmtId="0" fontId="6" fillId="6" borderId="0" xfId="1" applyFont="1" applyFill="1"/>
    <xf numFmtId="4" fontId="3" fillId="5" borderId="2" xfId="1" applyNumberFormat="1" applyFont="1" applyFill="1" applyBorder="1" applyAlignment="1">
      <alignment vertical="center"/>
    </xf>
    <xf numFmtId="4" fontId="12" fillId="4" borderId="2" xfId="1" applyNumberFormat="1" applyFont="1" applyFill="1" applyBorder="1" applyAlignment="1">
      <alignment vertical="center"/>
    </xf>
    <xf numFmtId="4" fontId="12" fillId="0" borderId="1" xfId="1" applyNumberFormat="1" applyFont="1" applyFill="1" applyBorder="1" applyAlignment="1">
      <alignment vertical="center"/>
    </xf>
    <xf numFmtId="2" fontId="11" fillId="0" borderId="1" xfId="1" applyNumberFormat="1" applyFont="1" applyFill="1" applyBorder="1"/>
    <xf numFmtId="0" fontId="6" fillId="0" borderId="1" xfId="1" applyFont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6" fillId="6" borderId="1" xfId="1" applyFont="1" applyFill="1" applyBorder="1" applyAlignment="1">
      <alignment horizontal="right"/>
    </xf>
    <xf numFmtId="4" fontId="12" fillId="4" borderId="7" xfId="1" applyNumberFormat="1" applyFont="1" applyFill="1" applyBorder="1" applyAlignment="1">
      <alignment horizontal="center" vertical="center"/>
    </xf>
    <xf numFmtId="4" fontId="12" fillId="4" borderId="8" xfId="1" applyNumberFormat="1" applyFont="1" applyFill="1" applyBorder="1" applyAlignment="1">
      <alignment horizontal="center" vertical="center"/>
    </xf>
    <xf numFmtId="4" fontId="12" fillId="4" borderId="9" xfId="1" applyNumberFormat="1" applyFont="1" applyFill="1" applyBorder="1" applyAlignment="1">
      <alignment horizontal="center" vertical="center"/>
    </xf>
    <xf numFmtId="4" fontId="12" fillId="4" borderId="10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left" wrapText="1"/>
    </xf>
    <xf numFmtId="0" fontId="5" fillId="0" borderId="4" xfId="1" applyFont="1" applyBorder="1" applyAlignment="1">
      <alignment horizontal="left" wrapText="1"/>
    </xf>
    <xf numFmtId="164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164" fontId="3" fillId="0" borderId="2" xfId="1" applyNumberFormat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5" fillId="0" borderId="1" xfId="1" applyFont="1" applyBorder="1" applyAlignment="1">
      <alignment horizontal="left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4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 wrapText="1"/>
    </xf>
    <xf numFmtId="164" fontId="3" fillId="4" borderId="1" xfId="1" applyNumberFormat="1" applyFont="1" applyFill="1" applyBorder="1" applyAlignment="1">
      <alignment vertical="center" wrapText="1"/>
    </xf>
    <xf numFmtId="167" fontId="3" fillId="4" borderId="1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166" fontId="3" fillId="4" borderId="1" xfId="1" applyNumberFormat="1" applyFont="1" applyFill="1" applyBorder="1" applyAlignment="1">
      <alignment vertical="center"/>
    </xf>
    <xf numFmtId="1" fontId="3" fillId="4" borderId="1" xfId="1" applyNumberFormat="1" applyFont="1" applyFill="1" applyBorder="1" applyAlignment="1">
      <alignment horizontal="center" vertical="center"/>
    </xf>
    <xf numFmtId="4" fontId="3" fillId="4" borderId="1" xfId="1" applyNumberFormat="1" applyFont="1" applyFill="1" applyBorder="1" applyAlignment="1">
      <alignment vertical="center"/>
    </xf>
    <xf numFmtId="4" fontId="3" fillId="4" borderId="0" xfId="1" applyNumberFormat="1" applyFont="1" applyFill="1" applyBorder="1" applyAlignment="1">
      <alignment vertical="center"/>
    </xf>
    <xf numFmtId="0" fontId="6" fillId="4" borderId="0" xfId="1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0" fontId="3" fillId="4" borderId="1" xfId="2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0" xfId="1" applyFont="1" applyFill="1" applyAlignment="1">
      <alignment vertical="center"/>
    </xf>
    <xf numFmtId="4" fontId="3" fillId="4" borderId="0" xfId="1" applyNumberFormat="1" applyFont="1" applyFill="1" applyBorder="1" applyAlignment="1">
      <alignment horizontal="center" vertical="center"/>
    </xf>
    <xf numFmtId="4" fontId="3" fillId="4" borderId="11" xfId="1" applyNumberFormat="1" applyFont="1" applyFill="1" applyBorder="1" applyAlignment="1">
      <alignment horizontal="center" vertical="center"/>
    </xf>
  </cellXfs>
  <cellStyles count="4">
    <cellStyle name="Обычный" xfId="0" builtinId="0"/>
    <cellStyle name="Обычный_Для Веры Мемуатон Визуалон Слим" xfId="1"/>
    <cellStyle name="Обычный_Для Веры Мемуатон Визуалон Слим 2" xfId="3"/>
    <cellStyle name="Процентный" xfId="2" builtinId="5"/>
  </cellStyles>
  <dxfs count="2">
    <dxf>
      <fill>
        <patternFill>
          <bgColor indexed="13"/>
        </patternFill>
      </fill>
    </dxf>
    <dxf>
      <fill>
        <patternFill>
          <bgColor indexed="5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0"/>
  <sheetViews>
    <sheetView tabSelected="1" topLeftCell="B4" workbookViewId="0">
      <selection activeCell="M15" sqref="M15"/>
    </sheetView>
  </sheetViews>
  <sheetFormatPr defaultRowHeight="12.75" x14ac:dyDescent="0.2"/>
  <cols>
    <col min="1" max="1" width="4.85546875" style="1" hidden="1" customWidth="1"/>
    <col min="2" max="2" width="3.85546875" style="1" customWidth="1"/>
    <col min="3" max="3" width="29.7109375" style="1" customWidth="1"/>
    <col min="4" max="4" width="7.85546875" style="1" customWidth="1"/>
    <col min="5" max="5" width="7.42578125" style="3" customWidth="1"/>
    <col min="6" max="6" width="6.5703125" style="3" customWidth="1"/>
    <col min="7" max="7" width="9" style="1" bestFit="1" customWidth="1"/>
    <col min="8" max="8" width="6.85546875" style="1" customWidth="1"/>
    <col min="9" max="9" width="10" style="1" customWidth="1"/>
    <col min="10" max="10" width="8.140625" style="1" bestFit="1" customWidth="1"/>
    <col min="11" max="11" width="9.28515625" style="1" customWidth="1"/>
    <col min="12" max="12" width="22.140625" style="1" customWidth="1"/>
    <col min="13" max="13" width="20.42578125" style="1" bestFit="1" customWidth="1"/>
    <col min="14" max="14" width="21" style="123" bestFit="1" customWidth="1"/>
    <col min="15" max="15" width="30.28515625" style="74" customWidth="1"/>
    <col min="16" max="16" width="27.140625" style="1" bestFit="1" customWidth="1"/>
    <col min="17" max="17" width="30.140625" style="1" bestFit="1" customWidth="1"/>
    <col min="18" max="18" width="16.42578125" style="1" bestFit="1" customWidth="1"/>
    <col min="19" max="19" width="9.5703125" style="1" bestFit="1" customWidth="1"/>
    <col min="20" max="20" width="16.42578125" style="1" bestFit="1" customWidth="1"/>
    <col min="21" max="21" width="14.85546875" style="1" customWidth="1"/>
    <col min="22" max="22" width="13.140625" style="1" customWidth="1"/>
    <col min="23" max="23" width="9.28515625" style="1" customWidth="1"/>
    <col min="24" max="16384" width="9.140625" style="1"/>
  </cols>
  <sheetData>
    <row r="1" spans="2:24" ht="14.25" x14ac:dyDescent="0.2">
      <c r="B1" s="2"/>
      <c r="P1" s="154" t="s">
        <v>45</v>
      </c>
      <c r="Q1" s="154"/>
    </row>
    <row r="2" spans="2:24" ht="14.25" x14ac:dyDescent="0.2">
      <c r="B2" s="2"/>
    </row>
    <row r="3" spans="2:24" ht="14.25" x14ac:dyDescent="0.2">
      <c r="B3" s="2"/>
      <c r="C3" s="168" t="s">
        <v>0</v>
      </c>
      <c r="D3" s="168"/>
      <c r="E3" s="168"/>
      <c r="F3" s="171" t="s">
        <v>59</v>
      </c>
      <c r="G3" s="171"/>
      <c r="H3" s="171"/>
      <c r="I3" s="171"/>
    </row>
    <row r="4" spans="2:24" x14ac:dyDescent="0.2">
      <c r="C4" s="168" t="s">
        <v>1</v>
      </c>
      <c r="D4" s="168"/>
      <c r="E4" s="168"/>
      <c r="F4" s="172">
        <v>60</v>
      </c>
      <c r="G4" s="172"/>
      <c r="H4" s="172"/>
      <c r="I4" s="172"/>
      <c r="P4" s="4" t="s">
        <v>3</v>
      </c>
      <c r="Q4" s="5">
        <f>$F$5*1000</f>
        <v>500</v>
      </c>
    </row>
    <row r="5" spans="2:24" ht="14.25" customHeight="1" x14ac:dyDescent="0.2">
      <c r="C5" s="168" t="s">
        <v>2</v>
      </c>
      <c r="D5" s="168"/>
      <c r="E5" s="168"/>
      <c r="F5" s="158">
        <v>0.5</v>
      </c>
      <c r="G5" s="158"/>
      <c r="H5" s="158"/>
      <c r="I5" s="158"/>
      <c r="P5" s="169" t="s">
        <v>5</v>
      </c>
      <c r="Q5" s="166">
        <v>2</v>
      </c>
      <c r="R5" s="6"/>
      <c r="S5" s="6"/>
      <c r="T5" s="6"/>
      <c r="U5" s="6"/>
      <c r="V5" s="6"/>
      <c r="W5" s="6"/>
    </row>
    <row r="6" spans="2:24" ht="14.25" customHeight="1" x14ac:dyDescent="0.2">
      <c r="C6" s="160" t="s">
        <v>46</v>
      </c>
      <c r="D6" s="161"/>
      <c r="E6" s="162"/>
      <c r="F6" s="163">
        <v>0.25</v>
      </c>
      <c r="G6" s="164"/>
      <c r="H6" s="164"/>
      <c r="I6" s="165"/>
      <c r="P6" s="170"/>
      <c r="Q6" s="167"/>
      <c r="R6" s="6"/>
      <c r="S6" s="6"/>
      <c r="T6" s="6"/>
      <c r="U6" s="6"/>
      <c r="V6" s="6"/>
      <c r="W6" s="6"/>
    </row>
    <row r="7" spans="2:24" ht="25.5" customHeight="1" x14ac:dyDescent="0.2">
      <c r="C7" s="155" t="s">
        <v>4</v>
      </c>
      <c r="D7" s="156"/>
      <c r="E7" s="157"/>
      <c r="F7" s="159">
        <v>20</v>
      </c>
      <c r="G7" s="159"/>
      <c r="H7" s="159"/>
      <c r="I7" s="159"/>
      <c r="P7" s="4" t="s">
        <v>6</v>
      </c>
      <c r="Q7" s="7">
        <f>Q4*Q5</f>
        <v>1000</v>
      </c>
      <c r="R7" s="6"/>
      <c r="S7" s="6"/>
      <c r="T7" s="6"/>
      <c r="U7" s="6"/>
      <c r="V7" s="6"/>
      <c r="W7" s="6"/>
    </row>
    <row r="8" spans="2:24" x14ac:dyDescent="0.2">
      <c r="R8" s="6"/>
      <c r="S8" s="6"/>
      <c r="T8" s="6"/>
      <c r="U8" s="6"/>
      <c r="V8" s="6"/>
      <c r="W8" s="6"/>
    </row>
    <row r="9" spans="2:24" s="9" customFormat="1" ht="40.5" customHeight="1" x14ac:dyDescent="0.2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14</v>
      </c>
      <c r="J9" s="8" t="s">
        <v>15</v>
      </c>
      <c r="K9" s="8" t="s">
        <v>16</v>
      </c>
      <c r="L9" s="116"/>
      <c r="M9" s="116"/>
      <c r="N9" s="116"/>
      <c r="O9" s="117"/>
      <c r="P9" s="10" t="s">
        <v>18</v>
      </c>
      <c r="Q9" s="10" t="s">
        <v>39</v>
      </c>
      <c r="R9" s="10" t="s">
        <v>38</v>
      </c>
      <c r="S9" s="10" t="s">
        <v>40</v>
      </c>
      <c r="T9" s="10" t="s">
        <v>19</v>
      </c>
      <c r="U9" s="10" t="s">
        <v>41</v>
      </c>
      <c r="V9" s="6"/>
      <c r="W9" s="6"/>
    </row>
    <row r="10" spans="2:24" x14ac:dyDescent="0.2">
      <c r="B10" s="11"/>
      <c r="C10" s="12" t="s">
        <v>17</v>
      </c>
      <c r="D10" s="13"/>
      <c r="E10" s="14"/>
      <c r="F10" s="14"/>
      <c r="G10" s="11"/>
      <c r="H10" s="11"/>
      <c r="I10" s="11"/>
      <c r="J10" s="11"/>
      <c r="K10" s="11"/>
      <c r="L10" s="80"/>
      <c r="M10" s="80"/>
      <c r="N10" s="80"/>
      <c r="O10" s="118"/>
      <c r="P10" s="15"/>
      <c r="Q10" s="15"/>
      <c r="R10" s="16"/>
      <c r="S10" s="7"/>
      <c r="T10" s="7"/>
      <c r="U10" s="17"/>
      <c r="V10" s="18"/>
      <c r="W10" s="18"/>
    </row>
    <row r="11" spans="2:24" s="188" customFormat="1" ht="20.25" customHeight="1" x14ac:dyDescent="0.2">
      <c r="B11" s="173">
        <v>1</v>
      </c>
      <c r="C11" s="174" t="s">
        <v>60</v>
      </c>
      <c r="D11" s="175">
        <v>98.8</v>
      </c>
      <c r="E11" s="176">
        <f>D11*F$5/100</f>
        <v>0.49399999999999999</v>
      </c>
      <c r="F11" s="177" t="s">
        <v>20</v>
      </c>
      <c r="G11" s="178">
        <f>E11*F$4/1000</f>
        <v>2.964E-2</v>
      </c>
      <c r="H11" s="179">
        <v>5</v>
      </c>
      <c r="I11" s="173">
        <f>ROUND(G11*(1+H11/100),6)</f>
        <v>3.1122E-2</v>
      </c>
      <c r="J11" s="180"/>
      <c r="K11" s="180">
        <f>ROUNDUP(I11*J11,2)</f>
        <v>0</v>
      </c>
      <c r="L11" s="190" t="s">
        <v>73</v>
      </c>
      <c r="M11" s="189"/>
      <c r="N11" s="181"/>
      <c r="O11" s="182"/>
      <c r="P11" s="183"/>
      <c r="Q11" s="184"/>
      <c r="R11" s="185"/>
      <c r="S11" s="186">
        <f>SUMIF(C$11:C$12,P11,G$11:G$12)*R11*1000*1000</f>
        <v>0</v>
      </c>
      <c r="T11" s="186">
        <f t="shared" ref="T11:T14" si="0">$Q$5/$F$4*S11</f>
        <v>0</v>
      </c>
      <c r="U11" s="186">
        <f t="shared" ref="U11:U14" si="1">S11/$F$4</f>
        <v>0</v>
      </c>
      <c r="V11" s="187"/>
      <c r="W11" s="187"/>
    </row>
    <row r="12" spans="2:24" s="27" customFormat="1" x14ac:dyDescent="0.2">
      <c r="B12" s="19">
        <v>2</v>
      </c>
      <c r="C12" s="19" t="s">
        <v>55</v>
      </c>
      <c r="D12" s="19">
        <v>0.8</v>
      </c>
      <c r="E12" s="23">
        <f>D12*F$5/100</f>
        <v>4.0000000000000001E-3</v>
      </c>
      <c r="F12" s="23" t="s">
        <v>20</v>
      </c>
      <c r="G12" s="19">
        <f>E12*F$4/1000</f>
        <v>2.3999999999999998E-4</v>
      </c>
      <c r="H12" s="23">
        <v>5</v>
      </c>
      <c r="I12" s="19">
        <f>ROUND(G12*(1+H12/100),6)</f>
        <v>2.52E-4</v>
      </c>
      <c r="J12" s="26">
        <v>4700</v>
      </c>
      <c r="K12" s="26">
        <f>ROUNDUP(I12*J12,2)</f>
        <v>1.19</v>
      </c>
      <c r="L12" s="119"/>
      <c r="M12" s="119"/>
      <c r="N12" s="119"/>
      <c r="O12" s="120"/>
      <c r="P12" s="28" t="s">
        <v>55</v>
      </c>
      <c r="Q12" s="29" t="s">
        <v>54</v>
      </c>
      <c r="R12" s="32">
        <v>0.96</v>
      </c>
      <c r="S12" s="30">
        <f>SUMIF(C$11:C$12,P12,G$11:G$12)*R12*1000*1000</f>
        <v>230.39999999999998</v>
      </c>
      <c r="T12" s="30">
        <f t="shared" si="0"/>
        <v>7.6799999999999988</v>
      </c>
      <c r="U12" s="30">
        <f t="shared" si="1"/>
        <v>3.8399999999999994</v>
      </c>
      <c r="V12" s="31"/>
      <c r="W12" s="31"/>
    </row>
    <row r="13" spans="2:24" s="27" customFormat="1" x14ac:dyDescent="0.2">
      <c r="B13" s="19"/>
      <c r="C13" s="33" t="s">
        <v>47</v>
      </c>
      <c r="D13" s="34">
        <f>SUM(D11:D12)</f>
        <v>99.6</v>
      </c>
      <c r="E13" s="35">
        <f>SUM(E11:E12)</f>
        <v>0.498</v>
      </c>
      <c r="F13" s="23" t="s">
        <v>20</v>
      </c>
      <c r="G13" s="34">
        <f>SUM(G11:G12)</f>
        <v>2.988E-2</v>
      </c>
      <c r="H13" s="25"/>
      <c r="I13" s="34">
        <f>SUM(I11:I12)</f>
        <v>3.1373999999999999E-2</v>
      </c>
      <c r="J13" s="26"/>
      <c r="K13" s="34">
        <f>SUM(K11:K12)</f>
        <v>1.19</v>
      </c>
      <c r="L13" s="121"/>
      <c r="M13" s="121"/>
      <c r="N13" s="121"/>
      <c r="O13" s="122"/>
      <c r="P13" s="28" t="s">
        <v>60</v>
      </c>
      <c r="Q13" s="29" t="s">
        <v>58</v>
      </c>
      <c r="R13" s="32">
        <v>0.3</v>
      </c>
      <c r="S13" s="30">
        <f>SUMIF(C$11:C$12,P13,G$11:G$12)*R13*1000*1000</f>
        <v>8892</v>
      </c>
      <c r="T13" s="30">
        <f t="shared" si="0"/>
        <v>296.39999999999998</v>
      </c>
      <c r="U13" s="30">
        <f t="shared" si="1"/>
        <v>148.19999999999999</v>
      </c>
      <c r="V13" s="31"/>
      <c r="W13" s="31"/>
    </row>
    <row r="14" spans="2:24" s="27" customFormat="1" x14ac:dyDescent="0.2">
      <c r="B14" s="19"/>
      <c r="C14" s="33" t="s">
        <v>49</v>
      </c>
      <c r="D14" s="21"/>
      <c r="E14" s="22"/>
      <c r="F14" s="23"/>
      <c r="G14" s="24"/>
      <c r="H14" s="25"/>
      <c r="I14" s="24"/>
      <c r="J14" s="26"/>
      <c r="K14" s="26"/>
      <c r="L14" s="119"/>
      <c r="M14" s="119"/>
      <c r="N14" s="119"/>
      <c r="O14" s="122"/>
      <c r="P14" s="28"/>
      <c r="Q14" s="29"/>
      <c r="R14" s="32"/>
      <c r="S14" s="30">
        <f>SUMIF(C$11:C$12,P14,G$11:G$12)*R14*1000*1000</f>
        <v>0</v>
      </c>
      <c r="T14" s="30">
        <f t="shared" si="0"/>
        <v>0</v>
      </c>
      <c r="U14" s="30">
        <f t="shared" si="1"/>
        <v>0</v>
      </c>
      <c r="V14" s="31"/>
      <c r="W14" s="31"/>
    </row>
    <row r="15" spans="2:24" s="27" customFormat="1" x14ac:dyDescent="0.2">
      <c r="B15" s="19">
        <f t="shared" ref="B15:B19" si="2">B14+1</f>
        <v>1</v>
      </c>
      <c r="C15" s="20" t="s">
        <v>52</v>
      </c>
      <c r="D15" s="21">
        <v>6.9</v>
      </c>
      <c r="E15" s="22">
        <f>D15*E$20/100</f>
        <v>1.7250000000000001E-2</v>
      </c>
      <c r="F15" s="23" t="s">
        <v>20</v>
      </c>
      <c r="G15" s="24">
        <f>E15*F$4*12.5/1000</f>
        <v>1.2937500000000001E-2</v>
      </c>
      <c r="H15" s="36">
        <v>5</v>
      </c>
      <c r="I15" s="24">
        <f t="shared" ref="I15:I19" si="3">ROUND(G15*(1+H15/100),6)</f>
        <v>1.3584000000000001E-2</v>
      </c>
      <c r="J15" s="26">
        <v>1.85</v>
      </c>
      <c r="K15" s="26">
        <f t="shared" ref="K15:K19" si="4">ROUNDUP(I15*J15,2)</f>
        <v>0.03</v>
      </c>
      <c r="L15" s="119"/>
      <c r="M15" s="119"/>
      <c r="N15" s="119"/>
      <c r="O15" s="122"/>
      <c r="P15" s="37"/>
      <c r="Q15" s="37"/>
      <c r="R15" s="38"/>
      <c r="S15" s="39"/>
      <c r="T15" s="40"/>
      <c r="U15" s="39"/>
      <c r="V15" s="31"/>
      <c r="W15" s="31"/>
    </row>
    <row r="16" spans="2:24" s="27" customFormat="1" ht="42" x14ac:dyDescent="0.2">
      <c r="B16" s="19">
        <f t="shared" si="2"/>
        <v>2</v>
      </c>
      <c r="C16" s="20" t="s">
        <v>50</v>
      </c>
      <c r="D16" s="21">
        <v>28.5</v>
      </c>
      <c r="E16" s="22">
        <f>D16*E$20/100</f>
        <v>7.1249999999999994E-2</v>
      </c>
      <c r="F16" s="23" t="s">
        <v>20</v>
      </c>
      <c r="G16" s="24">
        <f>E16*F$4*1.95/1000</f>
        <v>8.3362499999999982E-3</v>
      </c>
      <c r="H16" s="36">
        <v>5</v>
      </c>
      <c r="I16" s="24">
        <f t="shared" si="3"/>
        <v>8.7530000000000004E-3</v>
      </c>
      <c r="J16" s="26">
        <v>121.6</v>
      </c>
      <c r="K16" s="26">
        <f t="shared" si="4"/>
        <v>1.07</v>
      </c>
      <c r="L16" s="119"/>
      <c r="M16" s="119"/>
      <c r="N16" s="119"/>
      <c r="O16" s="122"/>
      <c r="P16" s="10" t="s">
        <v>28</v>
      </c>
      <c r="Q16" s="10" t="s">
        <v>29</v>
      </c>
      <c r="R16" s="10" t="s">
        <v>30</v>
      </c>
      <c r="S16" s="10" t="s">
        <v>31</v>
      </c>
      <c r="T16" s="10" t="s">
        <v>44</v>
      </c>
      <c r="U16" s="10" t="s">
        <v>42</v>
      </c>
      <c r="V16" s="10" t="s">
        <v>43</v>
      </c>
      <c r="W16" s="10" t="s">
        <v>32</v>
      </c>
      <c r="X16" s="1"/>
    </row>
    <row r="17" spans="2:24" s="27" customFormat="1" x14ac:dyDescent="0.2">
      <c r="B17" s="19">
        <f t="shared" si="2"/>
        <v>3</v>
      </c>
      <c r="C17" s="20" t="s">
        <v>56</v>
      </c>
      <c r="D17" s="21">
        <v>0.1</v>
      </c>
      <c r="E17" s="22">
        <f>D17*E$20/100</f>
        <v>2.5000000000000001E-4</v>
      </c>
      <c r="F17" s="23" t="s">
        <v>20</v>
      </c>
      <c r="G17" s="24">
        <f t="shared" ref="G17:G19" si="5">E17*F$4*1.95/1000</f>
        <v>2.9249999999999999E-5</v>
      </c>
      <c r="H17" s="36">
        <v>5</v>
      </c>
      <c r="I17" s="24">
        <f t="shared" si="3"/>
        <v>3.1000000000000001E-5</v>
      </c>
      <c r="J17" s="26">
        <v>214</v>
      </c>
      <c r="K17" s="26">
        <f t="shared" si="4"/>
        <v>0.01</v>
      </c>
      <c r="L17" s="119"/>
      <c r="M17" s="119"/>
      <c r="N17" s="119"/>
      <c r="O17" s="122"/>
      <c r="P17" s="41"/>
      <c r="Q17" s="15" t="s">
        <v>58</v>
      </c>
      <c r="R17" s="42"/>
      <c r="S17" s="16">
        <v>0.1</v>
      </c>
      <c r="T17" s="42">
        <f>SUMIF(Q$11:Q$24,Q17,S$11:S$24)/$F$4*(1-S17)</f>
        <v>133.38150000000002</v>
      </c>
      <c r="U17" s="7">
        <v>2000</v>
      </c>
      <c r="V17" s="7">
        <f>SUMIF(Q$11:Q$14,Q17,T$11:T$14)*(1-S17)</f>
        <v>266.76</v>
      </c>
      <c r="W17" s="43">
        <f>IF(U17=0,0,V17/U17)</f>
        <v>0.13338</v>
      </c>
      <c r="X17" s="1"/>
    </row>
    <row r="18" spans="2:24" s="27" customFormat="1" x14ac:dyDescent="0.2">
      <c r="B18" s="19">
        <f t="shared" si="2"/>
        <v>4</v>
      </c>
      <c r="C18" s="20" t="s">
        <v>51</v>
      </c>
      <c r="D18" s="21">
        <v>64.239999999999995</v>
      </c>
      <c r="E18" s="22">
        <f>D18*E$20/100</f>
        <v>0.16059999999999999</v>
      </c>
      <c r="F18" s="23" t="s">
        <v>20</v>
      </c>
      <c r="G18" s="24">
        <f t="shared" si="5"/>
        <v>1.87902E-2</v>
      </c>
      <c r="H18" s="36">
        <v>5</v>
      </c>
      <c r="I18" s="24">
        <f t="shared" si="3"/>
        <v>1.9730000000000001E-2</v>
      </c>
      <c r="J18" s="26">
        <v>780</v>
      </c>
      <c r="K18" s="26">
        <f t="shared" si="4"/>
        <v>15.39</v>
      </c>
      <c r="L18" s="119"/>
      <c r="M18" s="119"/>
      <c r="N18" s="119"/>
      <c r="O18" s="122"/>
      <c r="P18" s="41"/>
      <c r="Q18" s="15" t="s">
        <v>54</v>
      </c>
      <c r="R18" s="42"/>
      <c r="S18" s="16">
        <v>0.1</v>
      </c>
      <c r="T18" s="42">
        <f>SUMIF(Q$11:Q$24,Q18,S$11:S$24)/$F$4*(1-S18)</f>
        <v>3.4574999999999996</v>
      </c>
      <c r="U18" s="7">
        <v>10</v>
      </c>
      <c r="V18" s="7">
        <f>SUMIF(Q$11:Q$14,Q18,T$11:T$14)*(1-S18)</f>
        <v>6.911999999999999</v>
      </c>
      <c r="W18" s="43">
        <f>IF(U18=0,0,V18/U18)</f>
        <v>0.69119999999999993</v>
      </c>
      <c r="X18" s="1"/>
    </row>
    <row r="19" spans="2:24" s="27" customFormat="1" x14ac:dyDescent="0.2">
      <c r="B19" s="19">
        <f t="shared" si="2"/>
        <v>5</v>
      </c>
      <c r="C19" s="20" t="s">
        <v>57</v>
      </c>
      <c r="D19" s="21">
        <v>0.26</v>
      </c>
      <c r="E19" s="22">
        <f>D19*E$20/100</f>
        <v>6.4999999999999997E-4</v>
      </c>
      <c r="F19" s="23" t="s">
        <v>20</v>
      </c>
      <c r="G19" s="24">
        <f t="shared" si="5"/>
        <v>7.6049999999999992E-5</v>
      </c>
      <c r="H19" s="36">
        <v>5</v>
      </c>
      <c r="I19" s="24">
        <f t="shared" si="3"/>
        <v>8.0000000000000007E-5</v>
      </c>
      <c r="J19" s="26">
        <v>625.29999999999995</v>
      </c>
      <c r="K19" s="26">
        <f t="shared" si="4"/>
        <v>6.0000000000000005E-2</v>
      </c>
      <c r="L19" s="119"/>
      <c r="M19" s="119"/>
      <c r="N19" s="119"/>
      <c r="O19" s="122"/>
      <c r="P19" s="41"/>
      <c r="Q19" s="15"/>
      <c r="R19" s="42"/>
      <c r="S19" s="16"/>
      <c r="T19" s="42"/>
      <c r="U19" s="44"/>
      <c r="V19" s="7"/>
      <c r="W19" s="43"/>
      <c r="X19" s="1"/>
    </row>
    <row r="20" spans="2:24" s="27" customFormat="1" ht="17.25" customHeight="1" x14ac:dyDescent="0.2">
      <c r="B20" s="19"/>
      <c r="C20" s="33" t="s">
        <v>48</v>
      </c>
      <c r="D20" s="34">
        <f>SUM(D15:D19)</f>
        <v>100</v>
      </c>
      <c r="E20" s="34">
        <f>F6</f>
        <v>0.25</v>
      </c>
      <c r="F20" s="23"/>
      <c r="G20" s="34">
        <f>SUM(G15:G19)</f>
        <v>4.0169250000000004E-2</v>
      </c>
      <c r="H20" s="25"/>
      <c r="I20" s="34">
        <f>SUM(I15:I19)</f>
        <v>4.2178E-2</v>
      </c>
      <c r="J20" s="26"/>
      <c r="K20" s="34">
        <f>SUM(K15:K19)</f>
        <v>16.559999999999999</v>
      </c>
      <c r="L20" s="121"/>
      <c r="M20" s="121"/>
      <c r="N20" s="121"/>
      <c r="O20" s="122"/>
      <c r="P20" s="41"/>
      <c r="Q20" s="15"/>
      <c r="R20" s="42"/>
      <c r="S20" s="16"/>
      <c r="T20" s="42"/>
      <c r="U20" s="7"/>
      <c r="V20" s="7"/>
      <c r="W20" s="43"/>
      <c r="X20" s="1"/>
    </row>
    <row r="21" spans="2:24" s="27" customFormat="1" ht="17.25" customHeight="1" x14ac:dyDescent="0.2">
      <c r="B21" s="13"/>
      <c r="C21" s="45" t="s">
        <v>21</v>
      </c>
      <c r="D21" s="46">
        <f>D20+D13</f>
        <v>199.6</v>
      </c>
      <c r="E21" s="47"/>
      <c r="F21" s="12"/>
      <c r="G21" s="48"/>
      <c r="H21" s="49"/>
      <c r="I21" s="48"/>
      <c r="J21" s="50"/>
      <c r="K21" s="46">
        <f>K20+K13</f>
        <v>17.75</v>
      </c>
      <c r="L21" s="153" t="s">
        <v>63</v>
      </c>
      <c r="M21" s="153"/>
      <c r="N21" s="153"/>
      <c r="O21" s="153"/>
      <c r="X21" s="1"/>
    </row>
    <row r="22" spans="2:24" s="27" customFormat="1" x14ac:dyDescent="0.2">
      <c r="B22" s="11"/>
      <c r="C22" s="12" t="s">
        <v>22</v>
      </c>
      <c r="D22" s="13"/>
      <c r="E22" s="51"/>
      <c r="F22" s="14"/>
      <c r="G22" s="52"/>
      <c r="H22" s="53"/>
      <c r="I22" s="52"/>
      <c r="J22" s="54"/>
      <c r="K22" s="82"/>
      <c r="L22" s="127" t="s">
        <v>69</v>
      </c>
      <c r="M22" s="125" t="s">
        <v>67</v>
      </c>
      <c r="N22" s="125" t="s">
        <v>64</v>
      </c>
      <c r="O22" s="146" t="s">
        <v>70</v>
      </c>
      <c r="Q22" s="37"/>
      <c r="R22" s="39"/>
      <c r="S22" s="55"/>
      <c r="T22" s="39"/>
      <c r="U22" s="56"/>
      <c r="V22" s="1"/>
      <c r="W22" s="1"/>
      <c r="X22" s="57"/>
    </row>
    <row r="23" spans="2:24" s="103" customFormat="1" x14ac:dyDescent="0.2">
      <c r="B23" s="93">
        <v>1</v>
      </c>
      <c r="C23" s="93" t="s">
        <v>53</v>
      </c>
      <c r="D23" s="93"/>
      <c r="E23" s="94"/>
      <c r="F23" s="95" t="s">
        <v>23</v>
      </c>
      <c r="G23" s="100">
        <f>F4</f>
        <v>60</v>
      </c>
      <c r="H23" s="115">
        <v>0</v>
      </c>
      <c r="I23" s="101">
        <f>ROUND(G23*(1+H23/100),6)</f>
        <v>60</v>
      </c>
      <c r="J23" s="102">
        <v>0.5</v>
      </c>
      <c r="K23" s="142">
        <f t="shared" ref="K23:K30" si="6">ROUNDUP(I23*J23,2)</f>
        <v>30</v>
      </c>
      <c r="L23" s="126">
        <v>0.5</v>
      </c>
      <c r="M23" s="126">
        <v>0.4</v>
      </c>
      <c r="N23" s="126">
        <v>0.35</v>
      </c>
      <c r="O23" s="147">
        <v>0.3</v>
      </c>
      <c r="P23" s="96"/>
      <c r="Q23" s="96"/>
      <c r="R23" s="97"/>
      <c r="S23" s="98"/>
      <c r="T23" s="99"/>
      <c r="U23" s="98"/>
      <c r="V23" s="92"/>
      <c r="W23" s="92"/>
    </row>
    <row r="24" spans="2:24" s="108" customFormat="1" x14ac:dyDescent="0.2">
      <c r="B24" s="88">
        <v>2</v>
      </c>
      <c r="C24" s="88" t="s">
        <v>61</v>
      </c>
      <c r="D24" s="88"/>
      <c r="E24" s="89"/>
      <c r="F24" s="90" t="s">
        <v>23</v>
      </c>
      <c r="G24" s="110">
        <v>1</v>
      </c>
      <c r="H24" s="111">
        <v>1</v>
      </c>
      <c r="I24" s="112">
        <f>ROUND(G24*(1+H24/100),4)</f>
        <v>1.01</v>
      </c>
      <c r="J24" s="113">
        <v>20</v>
      </c>
      <c r="K24" s="143">
        <f t="shared" si="6"/>
        <v>20.2</v>
      </c>
      <c r="L24" s="149" t="s">
        <v>72</v>
      </c>
      <c r="M24" s="150"/>
      <c r="N24" s="144"/>
      <c r="O24" s="125"/>
      <c r="P24" s="104"/>
      <c r="Q24" s="104"/>
      <c r="R24" s="105"/>
      <c r="S24" s="106"/>
      <c r="T24" s="107"/>
      <c r="U24" s="114"/>
    </row>
    <row r="25" spans="2:24" s="108" customFormat="1" x14ac:dyDescent="0.2">
      <c r="B25" s="88">
        <v>3</v>
      </c>
      <c r="C25" s="88" t="s">
        <v>62</v>
      </c>
      <c r="D25" s="88"/>
      <c r="E25" s="89"/>
      <c r="F25" s="90" t="s">
        <v>23</v>
      </c>
      <c r="G25" s="110">
        <v>1</v>
      </c>
      <c r="H25" s="111">
        <v>2</v>
      </c>
      <c r="I25" s="112">
        <f>ROUND(G25*(1+H25/100),4)</f>
        <v>1.02</v>
      </c>
      <c r="J25" s="113">
        <v>8.5</v>
      </c>
      <c r="K25" s="143">
        <f t="shared" si="6"/>
        <v>8.67</v>
      </c>
      <c r="L25" s="151"/>
      <c r="M25" s="152"/>
      <c r="N25" s="144"/>
      <c r="O25" s="125"/>
      <c r="V25" s="106"/>
      <c r="W25" s="109"/>
    </row>
    <row r="26" spans="2:24" x14ac:dyDescent="0.2">
      <c r="B26" s="11">
        <v>7</v>
      </c>
      <c r="C26" s="11" t="s">
        <v>24</v>
      </c>
      <c r="D26" s="11"/>
      <c r="E26" s="51"/>
      <c r="F26" s="14" t="s">
        <v>23</v>
      </c>
      <c r="G26" s="58">
        <f>1/F7</f>
        <v>0.05</v>
      </c>
      <c r="H26" s="59">
        <v>0.5</v>
      </c>
      <c r="I26" s="60">
        <f t="shared" ref="I26:I27" si="7">ROUND(G26*(1+H26/100),4)</f>
        <v>5.0299999999999997E-2</v>
      </c>
      <c r="J26" s="54">
        <v>23</v>
      </c>
      <c r="K26" s="81">
        <f t="shared" si="6"/>
        <v>1.1599999999999999</v>
      </c>
      <c r="L26" s="126"/>
      <c r="M26" s="126"/>
      <c r="N26" s="126"/>
      <c r="O26" s="127"/>
      <c r="V26" s="62"/>
      <c r="W26" s="63"/>
    </row>
    <row r="27" spans="2:24" x14ac:dyDescent="0.2">
      <c r="B27" s="11">
        <v>8</v>
      </c>
      <c r="C27" s="11" t="s">
        <v>25</v>
      </c>
      <c r="D27" s="11"/>
      <c r="E27" s="51"/>
      <c r="F27" s="14" t="s">
        <v>23</v>
      </c>
      <c r="G27" s="58">
        <f>1/F7</f>
        <v>0.05</v>
      </c>
      <c r="H27" s="59">
        <v>0.5</v>
      </c>
      <c r="I27" s="60">
        <f t="shared" si="7"/>
        <v>5.0299999999999997E-2</v>
      </c>
      <c r="J27" s="54">
        <v>0.87</v>
      </c>
      <c r="K27" s="81">
        <f t="shared" si="6"/>
        <v>0.05</v>
      </c>
      <c r="L27" s="126"/>
      <c r="M27" s="126"/>
      <c r="N27" s="126"/>
      <c r="O27" s="127"/>
      <c r="V27" s="62"/>
      <c r="W27" s="63"/>
    </row>
    <row r="28" spans="2:24" x14ac:dyDescent="0.2">
      <c r="B28" s="11">
        <v>9</v>
      </c>
      <c r="C28" s="11" t="s">
        <v>26</v>
      </c>
      <c r="D28" s="11"/>
      <c r="E28" s="51"/>
      <c r="F28" s="14" t="s">
        <v>23</v>
      </c>
      <c r="G28" s="64">
        <v>2.5000000000000001E-4</v>
      </c>
      <c r="H28" s="59">
        <v>0.5</v>
      </c>
      <c r="I28" s="65">
        <f>ROUND(G28*(1+H28/100),6)</f>
        <v>2.5099999999999998E-4</v>
      </c>
      <c r="J28" s="54">
        <v>35</v>
      </c>
      <c r="K28" s="81">
        <f t="shared" si="6"/>
        <v>0.01</v>
      </c>
      <c r="L28" s="126"/>
      <c r="M28" s="126"/>
      <c r="N28" s="126"/>
      <c r="O28" s="127"/>
      <c r="V28" s="62"/>
      <c r="W28" s="63"/>
    </row>
    <row r="29" spans="2:24" x14ac:dyDescent="0.2">
      <c r="B29" s="11">
        <v>10</v>
      </c>
      <c r="C29" s="11" t="s">
        <v>27</v>
      </c>
      <c r="D29" s="11"/>
      <c r="E29" s="51"/>
      <c r="F29" s="14" t="s">
        <v>23</v>
      </c>
      <c r="G29" s="64">
        <v>1.0000000000000001E-5</v>
      </c>
      <c r="H29" s="59"/>
      <c r="I29" s="65">
        <f>ROUND(G29*(1+H29/100),6)</f>
        <v>1.0000000000000001E-5</v>
      </c>
      <c r="J29" s="54">
        <v>700</v>
      </c>
      <c r="K29" s="81">
        <f t="shared" si="6"/>
        <v>0.01</v>
      </c>
      <c r="L29" s="126"/>
      <c r="M29" s="126"/>
      <c r="N29" s="126"/>
      <c r="O29" s="127"/>
      <c r="V29" s="62"/>
      <c r="W29" s="63"/>
    </row>
    <row r="30" spans="2:24" x14ac:dyDescent="0.2">
      <c r="B30" s="11">
        <v>11</v>
      </c>
      <c r="C30" s="11" t="s">
        <v>33</v>
      </c>
      <c r="D30" s="11"/>
      <c r="E30" s="51"/>
      <c r="F30" s="14" t="s">
        <v>34</v>
      </c>
      <c r="G30" s="64">
        <v>1.0000000000000001E-5</v>
      </c>
      <c r="H30" s="53"/>
      <c r="I30" s="65">
        <f>ROUND(G30*(1+H30/100),6)</f>
        <v>1.0000000000000001E-5</v>
      </c>
      <c r="J30" s="54">
        <v>1700</v>
      </c>
      <c r="K30" s="81">
        <f t="shared" si="6"/>
        <v>0.02</v>
      </c>
      <c r="L30" s="126"/>
      <c r="M30" s="126"/>
      <c r="N30" s="126"/>
      <c r="O30" s="127"/>
      <c r="P30" s="61"/>
      <c r="Q30" s="61"/>
      <c r="R30" s="62"/>
      <c r="S30" s="66"/>
      <c r="T30" s="62"/>
      <c r="U30" s="63"/>
      <c r="V30" s="62"/>
      <c r="W30" s="63"/>
    </row>
    <row r="31" spans="2:24" x14ac:dyDescent="0.2">
      <c r="B31" s="11"/>
      <c r="C31" s="11"/>
      <c r="D31" s="11"/>
      <c r="E31" s="51"/>
      <c r="F31" s="14"/>
      <c r="G31" s="64"/>
      <c r="H31" s="59"/>
      <c r="I31" s="65"/>
      <c r="J31" s="54"/>
      <c r="K31" s="82">
        <f>ROUND(I31*J31,2)</f>
        <v>0</v>
      </c>
      <c r="L31" s="124"/>
      <c r="M31" s="124"/>
      <c r="N31" s="124"/>
      <c r="O31" s="127"/>
      <c r="P31" s="61"/>
      <c r="Q31" s="61"/>
      <c r="R31" s="62"/>
      <c r="S31" s="66"/>
      <c r="T31" s="62"/>
      <c r="U31" s="63"/>
      <c r="V31" s="62"/>
      <c r="W31" s="63"/>
    </row>
    <row r="32" spans="2:24" x14ac:dyDescent="0.2">
      <c r="B32" s="13"/>
      <c r="C32" s="45" t="s">
        <v>21</v>
      </c>
      <c r="D32" s="45"/>
      <c r="E32" s="67"/>
      <c r="F32" s="12"/>
      <c r="G32" s="48"/>
      <c r="H32" s="48"/>
      <c r="I32" s="48"/>
      <c r="J32" s="68"/>
      <c r="K32" s="83">
        <f>SUM(K23:K31)</f>
        <v>60.12</v>
      </c>
      <c r="L32" s="127"/>
      <c r="M32" s="127"/>
      <c r="N32" s="127"/>
      <c r="O32" s="127"/>
      <c r="P32" s="61"/>
      <c r="Q32" s="61"/>
      <c r="R32" s="62"/>
      <c r="S32" s="66"/>
      <c r="T32" s="62"/>
      <c r="U32" s="63"/>
      <c r="V32" s="62"/>
      <c r="W32" s="63"/>
    </row>
    <row r="33" spans="2:23" x14ac:dyDescent="0.2">
      <c r="B33" s="69"/>
      <c r="C33" s="70" t="s">
        <v>35</v>
      </c>
      <c r="D33" s="69"/>
      <c r="E33" s="71"/>
      <c r="F33" s="70"/>
      <c r="G33" s="72"/>
      <c r="H33" s="72"/>
      <c r="I33" s="72"/>
      <c r="J33" s="73"/>
      <c r="K33" s="84">
        <f>K21+K32</f>
        <v>77.87</v>
      </c>
      <c r="L33" s="128"/>
      <c r="M33" s="128"/>
      <c r="N33" s="128"/>
      <c r="O33" s="127"/>
      <c r="P33" s="61"/>
      <c r="Q33" s="61"/>
      <c r="R33" s="61"/>
      <c r="S33" s="66"/>
      <c r="T33" s="62"/>
      <c r="U33" s="63"/>
      <c r="V33" s="62"/>
      <c r="W33" s="63"/>
    </row>
    <row r="34" spans="2:23" x14ac:dyDescent="0.2">
      <c r="B34" s="11"/>
      <c r="C34" s="13"/>
      <c r="D34" s="13"/>
      <c r="E34" s="51"/>
      <c r="F34" s="14"/>
      <c r="G34" s="52"/>
      <c r="H34" s="52"/>
      <c r="I34" s="52"/>
      <c r="J34" s="54"/>
      <c r="K34" s="82"/>
      <c r="L34" s="124" t="s">
        <v>68</v>
      </c>
      <c r="M34" s="124" t="s">
        <v>66</v>
      </c>
      <c r="N34" s="124" t="s">
        <v>65</v>
      </c>
      <c r="O34" s="124" t="s">
        <v>71</v>
      </c>
      <c r="P34" s="61"/>
      <c r="Q34" s="61"/>
      <c r="R34" s="62"/>
      <c r="S34" s="66"/>
      <c r="T34" s="62"/>
      <c r="U34" s="63"/>
      <c r="V34" s="62"/>
      <c r="W34" s="63"/>
    </row>
    <row r="35" spans="2:23" s="141" customFormat="1" x14ac:dyDescent="0.2">
      <c r="B35" s="130"/>
      <c r="C35" s="130" t="s">
        <v>36</v>
      </c>
      <c r="D35" s="130"/>
      <c r="E35" s="131"/>
      <c r="F35" s="132"/>
      <c r="G35" s="133"/>
      <c r="H35" s="133"/>
      <c r="I35" s="133"/>
      <c r="J35" s="134"/>
      <c r="K35" s="135">
        <v>26</v>
      </c>
      <c r="L35" s="134">
        <v>26</v>
      </c>
      <c r="M35" s="134">
        <v>25.5</v>
      </c>
      <c r="N35" s="134">
        <v>25</v>
      </c>
      <c r="O35" s="148">
        <v>24.5</v>
      </c>
      <c r="P35" s="136"/>
      <c r="Q35" s="136"/>
      <c r="R35" s="137"/>
      <c r="S35" s="138"/>
      <c r="T35" s="139"/>
      <c r="U35" s="140"/>
      <c r="V35" s="139"/>
      <c r="W35" s="140"/>
    </row>
    <row r="36" spans="2:23" s="74" customFormat="1" x14ac:dyDescent="0.2">
      <c r="B36" s="11"/>
      <c r="C36" s="11"/>
      <c r="D36" s="11"/>
      <c r="E36" s="51"/>
      <c r="F36" s="14"/>
      <c r="G36" s="52"/>
      <c r="H36" s="52"/>
      <c r="I36" s="52"/>
      <c r="J36" s="54"/>
      <c r="K36" s="82"/>
      <c r="L36" s="124"/>
      <c r="M36" s="124"/>
      <c r="N36" s="124"/>
      <c r="O36" s="127"/>
      <c r="P36" s="61"/>
      <c r="Q36" s="61"/>
      <c r="R36" s="62"/>
      <c r="S36" s="66"/>
      <c r="T36" s="62"/>
      <c r="U36" s="63"/>
      <c r="V36" s="62"/>
      <c r="W36" s="63"/>
    </row>
    <row r="37" spans="2:23" ht="13.5" customHeight="1" x14ac:dyDescent="0.2">
      <c r="B37" s="75"/>
      <c r="C37" s="75" t="s">
        <v>37</v>
      </c>
      <c r="D37" s="75"/>
      <c r="E37" s="76"/>
      <c r="F37" s="77"/>
      <c r="G37" s="78"/>
      <c r="H37" s="78"/>
      <c r="I37" s="78"/>
      <c r="J37" s="79"/>
      <c r="K37" s="85">
        <f>K33+K35</f>
        <v>103.87</v>
      </c>
      <c r="L37" s="145"/>
      <c r="M37" s="145"/>
      <c r="N37" s="145"/>
      <c r="O37" s="145"/>
      <c r="P37" s="87"/>
      <c r="Q37" s="87"/>
      <c r="R37" s="87"/>
      <c r="S37" s="66"/>
      <c r="T37" s="62"/>
      <c r="U37" s="63"/>
      <c r="V37" s="62"/>
      <c r="W37" s="63"/>
    </row>
    <row r="38" spans="2:23" x14ac:dyDescent="0.2">
      <c r="L38" s="129"/>
      <c r="M38" s="123"/>
      <c r="O38" s="86"/>
      <c r="P38" s="61"/>
      <c r="Q38" s="61"/>
      <c r="R38" s="62"/>
      <c r="S38" s="66"/>
      <c r="T38" s="62"/>
      <c r="U38" s="63"/>
      <c r="V38" s="62"/>
      <c r="W38" s="63"/>
    </row>
    <row r="39" spans="2:23" x14ac:dyDescent="0.2">
      <c r="L39" s="123"/>
      <c r="M39" s="123"/>
      <c r="O39" s="86"/>
      <c r="P39" s="80"/>
      <c r="Q39" s="80"/>
      <c r="R39" s="80"/>
      <c r="S39" s="80"/>
      <c r="T39" s="80"/>
      <c r="U39" s="80"/>
      <c r="V39" s="62"/>
      <c r="W39" s="63"/>
    </row>
    <row r="40" spans="2:23" s="57" customFormat="1" ht="15" customHeight="1" x14ac:dyDescent="0.2">
      <c r="B40" s="1"/>
      <c r="C40" s="1"/>
      <c r="D40" s="1"/>
      <c r="E40" s="3"/>
      <c r="F40" s="3"/>
      <c r="G40" s="1"/>
      <c r="H40" s="1"/>
      <c r="I40" s="1"/>
      <c r="J40" s="1"/>
      <c r="K40" s="1"/>
      <c r="L40" s="1"/>
      <c r="M40" s="1"/>
      <c r="N40" s="123"/>
      <c r="O40" s="91"/>
      <c r="P40" s="1"/>
      <c r="Q40" s="1"/>
      <c r="R40" s="1"/>
      <c r="S40" s="1"/>
      <c r="T40" s="1"/>
      <c r="U40" s="1"/>
      <c r="V40" s="62"/>
      <c r="W40" s="63"/>
    </row>
  </sheetData>
  <mergeCells count="16">
    <mergeCell ref="L24:M25"/>
    <mergeCell ref="L21:O21"/>
    <mergeCell ref="P1:Q1"/>
    <mergeCell ref="C7:E7"/>
    <mergeCell ref="F5:I5"/>
    <mergeCell ref="F7:I7"/>
    <mergeCell ref="C6:E6"/>
    <mergeCell ref="F6:I6"/>
    <mergeCell ref="Q5:Q6"/>
    <mergeCell ref="C5:E5"/>
    <mergeCell ref="P5:P6"/>
    <mergeCell ref="F3:I3"/>
    <mergeCell ref="F4:I4"/>
    <mergeCell ref="C3:E3"/>
    <mergeCell ref="C4:E4"/>
    <mergeCell ref="L11:M11"/>
  </mergeCells>
  <phoneticPr fontId="2" type="noConversion"/>
  <conditionalFormatting sqref="T22 T17:T20 T30:T38 V25:V40">
    <cfRule type="cellIs" dxfId="1" priority="1" stopIfTrue="1" operator="lessThan">
      <formula>R17</formula>
    </cfRule>
  </conditionalFormatting>
  <conditionalFormatting sqref="W17:W20">
    <cfRule type="cellIs" dxfId="0" priority="2" stopIfTrue="1" operator="lessThan">
      <formula>0.1</formula>
    </cfRule>
  </conditionalFormatting>
  <dataValidations count="2">
    <dataValidation type="list" allowBlank="1" showInputMessage="1" showErrorMessage="1" sqref="P23:P24 P11:P15">
      <formula1>$C$11:$C$19</formula1>
    </dataValidation>
    <dataValidation type="list" allowBlank="1" showInputMessage="1" showErrorMessage="1" sqref="Q38 Q17:Q20 Q22:Q23 Q30:Q32 Q36">
      <formula1>$Q$9:$Q$24</formula1>
    </dataValidation>
  </dataValidations>
  <printOptions horizontalCentered="1"/>
  <pageMargins left="0.59055118110236227" right="0.19685039370078741" top="0.19685039370078741" bottom="0.19685039370078741" header="0" footer="0.39370078740157483"/>
  <pageSetup paperSize="9" scale="87" fitToWidth="2" orientation="landscape" horizontalDpi="200" verticalDpi="200" r:id="rId1"/>
  <headerFooter alignWithMargins="0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Банка 60</vt:lpstr>
    </vt:vector>
  </TitlesOfParts>
  <Company>Организация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volokitin</dc:creator>
  <cp:lastModifiedBy>Пащенко Дмитрий</cp:lastModifiedBy>
  <cp:lastPrinted>2017-06-05T07:43:25Z</cp:lastPrinted>
  <dcterms:created xsi:type="dcterms:W3CDTF">2009-04-10T05:00:52Z</dcterms:created>
  <dcterms:modified xsi:type="dcterms:W3CDTF">2020-03-11T05:34:28Z</dcterms:modified>
</cp:coreProperties>
</file>