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IMD" sheetId="1" r:id="rId4"/>
    <sheet state="visible" name="Chicago IMD" sheetId="2" r:id="rId5"/>
    <sheet state="visible" name="Denver IMD" sheetId="3" r:id="rId6"/>
    <sheet state="visible" name="Los Angeles IMD" sheetId="4" r:id="rId7"/>
    <sheet state="visible" name="Philadelphia IMD" sheetId="5" r:id="rId8"/>
    <sheet state="visible" name="Phoenix IMD" sheetId="6" r:id="rId9"/>
    <sheet state="visible" name="New York IMD" sheetId="7" r:id="rId10"/>
    <sheet state="visible" name="San Francisco IMD" sheetId="8" r:id="rId11"/>
    <sheet state="visible" name="Seattle IMD" sheetId="9" r:id="rId12"/>
    <sheet state="visible" name="Washington IMD" sheetId="10" r:id="rId13"/>
    <sheet state="visible" name="IMDpivot" sheetId="11" r:id="rId14"/>
    <sheet state="visible" name="IESE2014rawa" sheetId="12" r:id="rId15"/>
    <sheet state="visible" name="IESE2014a" sheetId="13" r:id="rId16"/>
    <sheet state="visible" name="IESE2014rawb" sheetId="14" r:id="rId17"/>
    <sheet state="visible" name="IESE2014b" sheetId="15" r:id="rId18"/>
    <sheet state="visible" name="IESE2014rawc" sheetId="16" r:id="rId19"/>
    <sheet state="visible" name="IESE2014c" sheetId="17" r:id="rId20"/>
    <sheet state="visible" name="IESE2014v1" sheetId="18" r:id="rId21"/>
    <sheet state="visible" name="IESE2014pivot" sheetId="19" r:id="rId22"/>
    <sheet state="visible" name="IESE2024a" sheetId="20" r:id="rId23"/>
    <sheet state="visible" name="IESE2024rawa" sheetId="21" r:id="rId24"/>
    <sheet state="visible" name="IESE2024rawb" sheetId="22" r:id="rId25"/>
    <sheet state="visible" name="IESE2024b" sheetId="23" r:id="rId26"/>
    <sheet state="visible" name="IESE2024rawc" sheetId="24" r:id="rId27"/>
    <sheet state="visible" name="IESE2024c" sheetId="25" r:id="rId28"/>
    <sheet state="visible" name="IESE2024v1" sheetId="26" r:id="rId29"/>
    <sheet state="visible" name="IESE2024pivot" sheetId="27" r:id="rId30"/>
    <sheet state="visible" name="Austin numbeo" sheetId="28" r:id="rId31"/>
    <sheet state="visible" name="Baltimore numbeo" sheetId="29" r:id="rId32"/>
    <sheet state="visible" name="Boston numbeo" sheetId="30" r:id="rId33"/>
    <sheet state="visible" name="Chicago numbeo" sheetId="31" r:id="rId34"/>
    <sheet state="visible" name="Dallas numbeo" sheetId="32" r:id="rId35"/>
    <sheet state="visible" name="Denver numbeo" sheetId="33" r:id="rId36"/>
    <sheet state="visible" name="Detroit numbeo" sheetId="34" r:id="rId37"/>
    <sheet state="visible" name="Houston numbeo" sheetId="35" r:id="rId38"/>
    <sheet state="visible" name="Las Vegas numbeo" sheetId="36" r:id="rId39"/>
    <sheet state="visible" name="Los Angeles numbeo" sheetId="37" r:id="rId40"/>
    <sheet state="visible" name="Miami numbeo" sheetId="38" r:id="rId41"/>
    <sheet state="visible" name="New York numbeo" sheetId="39" r:id="rId42"/>
    <sheet state="visible" name="Philadelphia numbeo" sheetId="40" r:id="rId43"/>
    <sheet state="visible" name="Phoenix numbeo" sheetId="41" r:id="rId44"/>
    <sheet state="visible" name="San Antonio numbeo" sheetId="42" r:id="rId45"/>
    <sheet state="visible" name="San Diego numbeo" sheetId="43" r:id="rId46"/>
    <sheet state="visible" name="San Francisco numbeo" sheetId="44" r:id="rId47"/>
    <sheet state="visible" name="Seattle numbeo" sheetId="45" r:id="rId48"/>
    <sheet state="visible" name="Washington numbeo" sheetId="46" r:id="rId49"/>
    <sheet state="visible" name="NumbeoPivot" sheetId="47" r:id="rId50"/>
    <sheet state="visible" name="USNews" sheetId="48" r:id="rId51"/>
    <sheet state="visible" name="Pivot" sheetId="49" r:id="rId52"/>
  </sheets>
  <definedNames/>
  <calcPr/>
</workbook>
</file>

<file path=xl/sharedStrings.xml><?xml version="1.0" encoding="utf-8"?>
<sst xmlns="http://schemas.openxmlformats.org/spreadsheetml/2006/main" count="2125" uniqueCount="1307">
  <si>
    <t>0% 20% 40% 60% 80% 100%</t>
  </si>
  <si>
    <t>affordable housing - 78.3%</t>
  </si>
  <si>
    <t>road congestion - 58.8%</t>
  </si>
  <si>
    <t>public transport - 44.3%</t>
  </si>
  <si>
    <t>security - 40.7%</t>
  </si>
  <si>
    <t>unemployment - 30.7%</t>
  </si>
  <si>
    <t>fulfilling employment - 29.3%</t>
  </si>
  <si>
    <t>health services - 28.3%</t>
  </si>
  <si>
    <t>school education - 27.5%</t>
  </si>
  <si>
    <t>corruption - 25.0%</t>
  </si>
  <si>
    <t>air pollution - 23.5%</t>
  </si>
  <si>
    <t>social mobility - 17.8%</t>
  </si>
  <si>
    <t>recycling - 15.1%</t>
  </si>
  <si>
    <t>basic amenities - 15.1%</t>
  </si>
  <si>
    <t>green spaces - 14.8%</t>
  </si>
  <si>
    <t>citizen engagement - 10.1%</t>
  </si>
  <si>
    <t>Health &amp; Safety 0 20 40 60 80 100</t>
  </si>
  <si>
    <t>Basic sanitation meets the needs of the poorest areas -.- _ 59.8</t>
  </si>
  <si>
    <t>Recycling services are satisfactory -._ 68.2</t>
  </si>
  <si>
    <t>Public safety is not a problem -.- - 41.2</t>
  </si>
  <si>
    <t>Air pollution is not a problem -.- 46.1</t>
  </si>
  <si>
    <t>Medical services provision is satisfactory _ ..- 74.0</t>
  </si>
  <si>
    <t>Finding housing with rent equal to 30% or less of a monthly salary is not a problem _ .- 27.6</t>
  </si>
  <si>
    <t>Mobility</t>
  </si>
  <si>
    <t>Traffic congestion is not a problem [.I - 21.2</t>
  </si>
  <si>
    <t>Public transport is satisfactory -.- _ 43.4</t>
  </si>
  <si>
    <t>Activities</t>
  </si>
  <si>
    <t>Green spaces are satisfactory -.- 67.7</t>
  </si>
  <si>
    <t>Cultural activities (shows, bars, and museums) are satisfactory _ [.] 81.5</t>
  </si>
  <si>
    <t>Opportunities (Work &amp; School)</t>
  </si>
  <si>
    <t>Employment finding services are readily available -.- 67.6</t>
  </si>
  <si>
    <t>Most children have access to a good school I.‘ - 61.1</t>
  </si>
  <si>
    <t>Lifelong learning opportunities are provided by local institutions -.- 66.4</t>
  </si>
  <si>
    <t>Businesses are creating new jobs _ ‘.] 70.1</t>
  </si>
  <si>
    <t>Minorities feel welcome - .- 60.9</t>
  </si>
  <si>
    <t>Governance</t>
  </si>
  <si>
    <t>Information on local government decisions are easily accessible , - t.) 67.0</t>
  </si>
  <si>
    <t>Corruption of city officials is not an issue of concern | _.J _ 43.7</t>
  </si>
  <si>
    <t>Residents contribute to decision making of local government --6- 52.0</t>
  </si>
  <si>
    <t>Residents provide feedback on local government projects _ [.I 62.1</t>
  </si>
  <si>
    <t>ki-Iealth &amp; Safety 0 20 4o 60 80 100</t>
  </si>
  <si>
    <t>Online reporting of city maintenance problems provides a speedy solution I.‘ - 41.5</t>
  </si>
  <si>
    <t>A website or App allows residents to easily give away unwanted items -.- 60.1</t>
  </si>
  <si>
    <t>Free public wifi has improved access to city services -._ 54.0</t>
  </si>
  <si>
    <t>CCTV cameras has made residents feel safer ‘.I - 43.9</t>
  </si>
  <si>
    <t>A website or App allows residents to effectively monitor air pollution ‘.I - 33.3</t>
  </si>
  <si>
    <t>Arranging medical appointments online has improved access - [.- 67.2</t>
  </si>
  <si>
    <t>Car-sharing Apps have reduced congestion _ 3. 40.7</t>
  </si>
  <si>
    <t>Apps that direct you to an available parking space have reduced journey time - [.- 46.5</t>
  </si>
  <si>
    <t>Bicycle hiring has reduced congestion -.- 44.7</t>
  </si>
  <si>
    <t>Online scheduling and ticket sales has made public transport easier to use l.- - 55.6</t>
  </si>
  <si>
    <t>The city provides information on traffic congestion through mobile phones - [.- 56.4</t>
  </si>
  <si>
    <t>Online purchasing of tickets to shows and museums has made it easier to attend -.- 76.0</t>
  </si>
  <si>
    <t>Online access to job listings has made it easier to find work -.- 69.7</t>
  </si>
  <si>
    <t>IT skills are taught well in schools -.] - 50.9</t>
  </si>
  <si>
    <t>Online services provided by the city has made it easier to start a new business -.- 47.9</t>
  </si>
  <si>
    <t>The current internet speed and reliability meet connectivity needs -.- 67.4</t>
  </si>
  <si>
    <t>Online public access to city finances has reduced corruption -.- 41.1</t>
  </si>
  <si>
    <t>Online voiing has increased participat‘ion - [.I 52.1</t>
  </si>
  <si>
    <t>An online platform whefe'residents cz‘an propose ideas has improved city life -.- 47.2</t>
  </si>
  <si>
    <t>Processing Identification Documents online has reduced waiting times I.) _ 54.9</t>
  </si>
  <si>
    <t>0% 20% 40% 60% 80% 1 00% i</t>
  </si>
  <si>
    <t>security - 61.7%</t>
  </si>
  <si>
    <t>affordable housing - 61.3%</t>
  </si>
  <si>
    <t>health services - 45.8%</t>
  </si>
  <si>
    <t>corruption - 41.4%</t>
  </si>
  <si>
    <t>school education - 37.8%</t>
  </si>
  <si>
    <t>unemployment - 37.5%</t>
  </si>
  <si>
    <t>fulfilling employment - 33.2%</t>
  </si>
  <si>
    <t>road congestion - 33.1%</t>
  </si>
  <si>
    <t>air pollution - 22.2%</t>
  </si>
  <si>
    <t>public transport - 21.5%</t>
  </si>
  <si>
    <t>basic amenities - 17.5%</t>
  </si>
  <si>
    <t>social mobility - 14.3%</t>
  </si>
  <si>
    <t>recycling - 12.9%</t>
  </si>
  <si>
    <t>green spaces - 12.2%</t>
  </si>
  <si>
    <t>citizen engagement - 11.5%</t>
  </si>
  <si>
    <t>9 Health &amp; Safety 0 20 4o 60 80 100</t>
  </si>
  <si>
    <t>Basic sanitation meets the needs of the poorest areas -.- _ 51.3</t>
  </si>
  <si>
    <t>Recycling services are satisfactory -.l _ 60.5</t>
  </si>
  <si>
    <t>Public safety is not a problem [._ - 28.7</t>
  </si>
  <si>
    <t>Air pollution is not a problem -.: - 34.8</t>
  </si>
  <si>
    <t>Medical services provision is satisfactory -.l - 55.6</t>
  </si>
  <si>
    <t>Finding housing with rent equal to 3096 or less of a monthly salary is not a problem - [.- 36.3</t>
  </si>
  <si>
    <t>Traffic congestion is not a problem -._ 27.9</t>
  </si>
  <si>
    <t>Public transport is satisfactory _.‘ - 54.0</t>
  </si>
  <si>
    <t>Green spaces are satisfactory -.- 63.0</t>
  </si>
  <si>
    <t>Cultural activities (shows. bars, and museums) are satisfactory -.- 77.1</t>
  </si>
  <si>
    <t>Employment finding services are readily available _.- 63.6</t>
  </si>
  <si>
    <t>Most children have access to a good school -.- - 50.1</t>
  </si>
  <si>
    <t>Lifelong learning opportunities are provided by local institutions -.I - 54.5</t>
  </si>
  <si>
    <t>Businesses are creating newjobs - ‘.I 62.8</t>
  </si>
  <si>
    <t>Minorities feel welcome _ I.‘ 60.4</t>
  </si>
  <si>
    <t>G ove rna nce</t>
  </si>
  <si>
    <t>Information on local government decisions are easily accessible _ .- 60.1</t>
  </si>
  <si>
    <t>Corruption of city of?cials is not an issue of concern -.- - |-28.1</t>
  </si>
  <si>
    <t>Residents contribute to decision making of local government - [.- 5 7 49.3</t>
  </si>
  <si>
    <t>Residents provide feedback on local government projects - [.- 55.3</t>
  </si>
  <si>
    <t>Online reporting of city maintenance problems provides a speedy solution -.1 - 43.8</t>
  </si>
  <si>
    <t>A website or App allows residents to easily give away unwanted items I.) - 54.1</t>
  </si>
  <si>
    <t>Free public wifi has improved access to city services -.‘ - 53.7</t>
  </si>
  <si>
    <t>CCTV cameras has made residents feel safer -.] - 49.4</t>
  </si>
  <si>
    <t>A website or App allows residents to effectively monitor air pollution -._ 44.7</t>
  </si>
  <si>
    <t>Arranging medical appointments online has improved access _ [.- 66.0</t>
  </si>
  <si>
    <t>Car-sharlng Apps have reduced congestion - I.‘ 48.7</t>
  </si>
  <si>
    <t>Apps that direct you to an available parking space have reduced journey time _ I.) 54.1</t>
  </si>
  <si>
    <t>Bicycle hiring has reduced congestion -.- 49.2</t>
  </si>
  <si>
    <t>Online scheduling and ticket sales has made public transport easier to use -.‘ - 60.8</t>
  </si>
  <si>
    <t>The city provides information on traffic congestion through mobile phones - ‘.- 61.5</t>
  </si>
  <si>
    <t>Online purchasing of tickets to shows and museums has made it easier to attend -.- 74.3</t>
  </si>
  <si>
    <t>Online access to job listings has made it easier to find work -.- 66.1</t>
  </si>
  <si>
    <t>IT skills are taught well in schools _. _ 50.8</t>
  </si>
  <si>
    <t>Online services provided by the city has made it easier to start a new business -.- 50.2</t>
  </si>
  <si>
    <t>The current internet speed and reliability meet connectivity needs -.] _ 63.8</t>
  </si>
  <si>
    <t>Online public access to city finances has reduced corruption -.- 39.1</t>
  </si>
  <si>
    <t>Online voting has increased participation _ -.- 58.6</t>
  </si>
  <si>
    <t>An online platform where residents can propose ideas has improved city life - [.- 51.6</t>
  </si>
  <si>
    <t>-Processing~lden‘tification Documents online has reduced waiting times -. _ 56.8</t>
  </si>
  <si>
    <t>affordable housing - 83.5%</t>
  </si>
  <si>
    <t>road congestion - 57.8%</t>
  </si>
  <si>
    <t>air pollution - 42.6%</t>
  </si>
  <si>
    <t>security - 39.7%</t>
  </si>
  <si>
    <t>school education - 33.5%</t>
  </si>
  <si>
    <t>unemployment - 31.7%</t>
  </si>
  <si>
    <t>health services - 28.8%</t>
  </si>
  <si>
    <t>fulfilling employment - 23.2%</t>
  </si>
  <si>
    <t>public transport - 22.1%</t>
  </si>
  <si>
    <t>corruption - 19.2%</t>
  </si>
  <si>
    <t>basic amenities - 16.1%</t>
  </si>
  <si>
    <t>recycling - 15.4%</t>
  </si>
  <si>
    <t>social mobility - 14.0%</t>
  </si>
  <si>
    <t>green spaces - 12.8%</t>
  </si>
  <si>
    <t>citizen engagement - 7.8%</t>
  </si>
  <si>
    <t>U Health &amp; Safety 0 20 40 60 80 100</t>
  </si>
  <si>
    <t>Basic sanitation meets the needs of the poorest areas .- - 49.6</t>
  </si>
  <si>
    <t>Recycling services are satisfactory -.. _ 62.0</t>
  </si>
  <si>
    <t>Public safety is not a problem [.- - 36.1</t>
  </si>
  <si>
    <t>Air pollution is not a problem -.- - 30.2</t>
  </si>
  <si>
    <t>Medical services provision is satisfactory _.1 - 61.7</t>
  </si>
  <si>
    <t>Finding housing with rent equal to 30% or less of a monthly salary is not a problem -.- _ 17.2</t>
  </si>
  <si>
    <t>Traffic congestion is not a problem [.- - 20.8</t>
  </si>
  <si>
    <t>Public transport is satisfactory _.- - 49.1</t>
  </si>
  <si>
    <t>* Green spaces are satisfactory _.- 66.8</t>
  </si>
  <si>
    <t>Cultural activities (shows. bars. and museums) are satisfactory -.I 78.9</t>
  </si>
  <si>
    <t>Employment ?nding services are readily available -.- 69.0</t>
  </si>
  <si>
    <t>Most children have access to a good school [.- - 57.8</t>
  </si>
  <si>
    <t>Lifelong learning opportunities are provided by local institutions I.) - 61.8</t>
  </si>
  <si>
    <t>Businesses are creating newjobs -.- 64.2</t>
  </si>
  <si>
    <t>Minorities feel welcome _.- 58.4</t>
  </si>
  <si>
    <t>Information on local government decisions are easily accessible -.- 59.2</t>
  </si>
  <si>
    <t>Corruption of city of?cials is not an issue of concern -.l - 42.1</t>
  </si>
  <si>
    <t>Residents contribute to decision making of local government - .- '-?53.6</t>
  </si>
  <si>
    <t>Residents provide feedback on local government projects - [.I | ’ 62.4</t>
  </si>
  <si>
    <t>Online reporting of city maintenance problems provides a speedy solution I.‘ - 40.9</t>
  </si>
  <si>
    <t>A website or App allows residents to easily give away unwanted items -.- 59.8</t>
  </si>
  <si>
    <t>Free public wifi has improved access to city services .- _ 42.1</t>
  </si>
  <si>
    <t>CCTV cameras has made residents feel safer .- - 38.0</t>
  </si>
  <si>
    <t>A website or App allows residents to effectively monitor air pollution _._ 43.8</t>
  </si>
  <si>
    <t>Arranging medical appointments online has improved access - [.- 66.3</t>
  </si>
  <si>
    <t>Car-sharing Apps have reduced congestion _ [.I 41.2</t>
  </si>
  <si>
    <t>Apps that direct you to an available parking space have reduced journey time I.) - 38.0</t>
  </si>
  <si>
    <t>Bicycle hiring has reduced congestion -.- - 37.6</t>
  </si>
  <si>
    <t>Online scheduling and ticket sales has made public transport easier to use [.I - 56.2</t>
  </si>
  <si>
    <t>The city provides information on traffic congestion through mobile phones - [.- 56.0</t>
  </si>
  <si>
    <t>Activities ' '</t>
  </si>
  <si>
    <t>Online purchasing of tickets to shows and museums has made it easier to attend -.- 75.4</t>
  </si>
  <si>
    <t>Online access to job listings has made it easier to find work -.- 69.8</t>
  </si>
  <si>
    <t>IT skills are taught well in schools -.- - 43.8</t>
  </si>
  <si>
    <t>Online services provided by the city has made it easier to start a new business I.) _ 44.8</t>
  </si>
  <si>
    <t>The current internet speed and reliability meet connectivity needs I.) - 63.4</t>
  </si>
  <si>
    <t>Online public access to city finances has reduced corruption -.- 38.8</t>
  </si>
  <si>
    <t>iOnIine votingrhas increased participation - I.) 54.2</t>
  </si>
  <si>
    <t>:7: An online platf‘orm where residents can propose ideas has improved city life I.) - 42.7</t>
  </si>
  <si>
    <t>iProCW?t?ldéntification Documents online has reduced waiting times I.) - 54.4</t>
  </si>
  <si>
    <t>0% 20% 40% 60% 80% 1 00%</t>
  </si>
  <si>
    <t>affordable housing - 66.2%</t>
  </si>
  <si>
    <t>security - 50.1%</t>
  </si>
  <si>
    <t>road congestion - 47.1%</t>
  </si>
  <si>
    <t>health services - 43.8%</t>
  </si>
  <si>
    <t>air pollution - 41.2%</t>
  </si>
  <si>
    <t>school education - 31.1%</t>
  </si>
  <si>
    <t>corruption - 30.5%</t>
  </si>
  <si>
    <t>unemployment - 30.1%</t>
  </si>
  <si>
    <t>fulfilling employment - 28.4%</t>
  </si>
  <si>
    <t>basic amenities - 21.4%</t>
  </si>
  <si>
    <t>public transport - 19.1%</t>
  </si>
  <si>
    <t>green spaces - 16.4%</t>
  </si>
  <si>
    <t>recycling - 15.3%</t>
  </si>
  <si>
    <t>social mobility - 13.1%</t>
  </si>
  <si>
    <t>citizen engagement - 8.7%</t>
  </si>
  <si>
    <t>:IJ Health &amp; Safety 0 20 40 50 80 100</t>
  </si>
  <si>
    <t>: Basic sanitation meets the needs of the poorest areas -.. _ 54.2</t>
  </si>
  <si>
    <t>: Recycling services are satisfactory -.- 64.3</t>
  </si>
  <si>
    <t>5 Public safety is not a problem -.- _ 36.5</t>
  </si>
  <si>
    <t>Air pollution is not a problem -.l _ 32.7</t>
  </si>
  <si>
    <t>Medical services provision is satisfactory -.l _ 56.2</t>
  </si>
  <si>
    <t>Finding housing with rent equal to 30% or less of a monthly salary is not a problem -.- 32.8</t>
  </si>
  <si>
    <t>E Mobility</t>
  </si>
  <si>
    <t>Traffic congestion is not a problem -.- 25.1</t>
  </si>
  <si>
    <t>i Public transport is satisfactory _.- - 47.7</t>
  </si>
  <si>
    <t>5 Activities</t>
  </si>
  <si>
    <t>.\ Green spaces are satisfactory -. _ 60.7</t>
  </si>
  <si>
    <t>Cultural activities (shows. bars, and museums) are satisfactory _.- 75.4</t>
  </si>
  <si>
    <t>Employment ?nding services are readily available -.- 63.0</t>
  </si>
  <si>
    <t>Most children have access to a good school -.' - 52.9</t>
  </si>
  <si>
    <t>: Lifelong learning opportunities are provided by local institutions _.: _ 58.2</t>
  </si>
  <si>
    <t xml:space="preserve"> Businesses are creating newjobs - I.) 64.7</t>
  </si>
  <si>
    <t>Minorities feel welcome - [.- 58.3</t>
  </si>
  <si>
    <t>Gove rnance</t>
  </si>
  <si>
    <t>Information on local government decisions are easily accessible - -.- 65.8</t>
  </si>
  <si>
    <t>Corruption of city of?cials is not an issue of concern -.) - 35.5</t>
  </si>
  <si>
    <t>Residents contribute to decision making of local government _ -.l '-?56.5</t>
  </si>
  <si>
    <t>Residents provide feedback on local government projects _ ..- | 7 ‘7’ 59.7</t>
  </si>
  <si>
    <t>Online reporting of city maintenance problems provides a speedy solution -.- 50.3</t>
  </si>
  <si>
    <t>A website or App allows residents to easily give away unwanted items - [.- 61.7</t>
  </si>
  <si>
    <t>Free public wifi has improved access to city services _ [.- 60.0</t>
  </si>
  <si>
    <t>CCTV cameras has made residents feel safer -.- 54.0</t>
  </si>
  <si>
    <t>A website or App allows residents to effectively monitor air pollution - -.- 53.8</t>
  </si>
  <si>
    <t>Arranging medical appointments online has improved access -.- 64.9</t>
  </si>
  <si>
    <t>Car-sharing Apps have reduced congestion - .‘l 53.1</t>
  </si>
  <si>
    <t>Apps that direct you to an available parking space have reduced journey time - I.' 53.6</t>
  </si>
  <si>
    <t>Bicycle hiring has reduced congestion -.- 49.1</t>
  </si>
  <si>
    <t>Online scheduling and ticket sales has made public transport easier to use -.‘ - 60.7</t>
  </si>
  <si>
    <t>The city provides information on traffic congestion through mobile phones _ -.- 65.5</t>
  </si>
  <si>
    <t>Activities 7</t>
  </si>
  <si>
    <t>Online purchasing of tickets to shows and museums has made it easier to attend -.- 76.2</t>
  </si>
  <si>
    <t>Online access to job listings has made it easier to find work _.- 68.0</t>
  </si>
  <si>
    <t>IT skills are taught well in schools -.- 54.1</t>
  </si>
  <si>
    <t>Online services provided by the city has made it easier to start a new business - l.- 55.8</t>
  </si>
  <si>
    <t>The current internet speed and reliability meet connectivity needs -.- 67.7</t>
  </si>
  <si>
    <t>Online public access to city finances has reduced corruption - -.- 49.0</t>
  </si>
  <si>
    <t>Online voting has increased participation _ -.. 65.3</t>
  </si>
  <si>
    <t>An online platform Where residents can propose ideas has improved city life - l.- 54.6</t>
  </si>
  <si>
    <t>7Pfecessing,ldentific‘ation Documents online has reduced waiting times - [.- 65.2</t>
  </si>
  <si>
    <t>affordable housing - 65.9%</t>
  </si>
  <si>
    <t>security - 62.5%</t>
  </si>
  <si>
    <t>school education - 45.9%</t>
  </si>
  <si>
    <t>road congestion - 37.8%</t>
  </si>
  <si>
    <t>unemployment - 34.9%</t>
  </si>
  <si>
    <t>health services - 33.9%</t>
  </si>
  <si>
    <t>corruption - 33.4%</t>
  </si>
  <si>
    <t>fulfilling employment - 26.8%</t>
  </si>
  <si>
    <t>air pollution - 25.1%</t>
  </si>
  <si>
    <t>basic amenities - 22.5%</t>
  </si>
  <si>
    <t>green spaces - 21.8%</t>
  </si>
  <si>
    <t>public transport - 19.9%</t>
  </si>
  <si>
    <t>recycling - 17.4%</t>
  </si>
  <si>
    <t>citizen engagement - 11.0%</t>
  </si>
  <si>
    <t>social mobility - 8.4%</t>
  </si>
  <si>
    <t>lHealth &amp; Safety 0 2° 40 50 80 100</t>
  </si>
  <si>
    <t>Basic sanitation meets the needs of the poorest areas [.- - 45.0</t>
  </si>
  <si>
    <t>Recycling services are satisfactory -.- - 54.0</t>
  </si>
  <si>
    <t>Public safety is not a problem .- - 23.6</t>
  </si>
  <si>
    <t>Air pollution is not a problem -.. _ 29.9</t>
  </si>
  <si>
    <t>Medical services provision is satisfactory -.- 60.7</t>
  </si>
  <si>
    <t>Finding housing with rent equal to 30% or less of a monthly salary is not a problem -.- 32.1</t>
  </si>
  <si>
    <t>M ob i lity</t>
  </si>
  <si>
    <t>Traffic congestion is not a problem .‘l _ 22.0</t>
  </si>
  <si>
    <t>Public transport is satisfactory _.I _ 49.8</t>
  </si>
  <si>
    <t>Afktivities</t>
  </si>
  <si>
    <t>Grgaspaces are satisfactory ‘.- - 51.4</t>
  </si>
  <si>
    <t>Cultural activities (shows, bars, and museums) are satisfactory -.- 74.8</t>
  </si>
  <si>
    <t>Employment ?nding services are readily available _.] _ 58.3</t>
  </si>
  <si>
    <t>Most children have access to a good school .- - 38.6</t>
  </si>
  <si>
    <t>Lifelong learning opportunities are provided by local institutions -.- - 50.1</t>
  </si>
  <si>
    <t>Businesses are creating newjobs _.- 54.4</t>
  </si>
  <si>
    <t>Minorities feel welcome - [.- 57.7</t>
  </si>
  <si>
    <t>Information on local government decisions are easily accessible _.- 55.0</t>
  </si>
  <si>
    <t>Corruption of city of?cials is not an issue of concern -.l - 34.2</t>
  </si>
  <si>
    <t>Residents contribute to decision making of local government _.- ’-45.2</t>
  </si>
  <si>
    <t>Residents provide feedback on local government projects -.- | : 51.3</t>
  </si>
  <si>
    <t>mHealth &amp; safety 0 20 4o 60 80 100</t>
  </si>
  <si>
    <t>Online reporting of city maintenance problems provides a speedy solution I.‘ - 39.7</t>
  </si>
  <si>
    <t>A website or App allows residents to easily give away unwanted items -.- 56.7</t>
  </si>
  <si>
    <t>Free public wifi has improved access to city services -.- _ 47.1</t>
  </si>
  <si>
    <t>CCTV cameras has made residents feel safer -., _ 46.5</t>
  </si>
  <si>
    <t>A website or App allows residents to effectively monitor air pollution l.‘ _ 35.2</t>
  </si>
  <si>
    <t>Arranging medical appointments online has improved access -.‘ - 60.3</t>
  </si>
  <si>
    <t>Car-sharing Apps have reduced congestion -.- 43.8</t>
  </si>
  <si>
    <t>Apps that direct you to an available parking space have reduced journey time -.- 46.7</t>
  </si>
  <si>
    <t>Bicycle hiring has reduced congestion -.: _ 44.1</t>
  </si>
  <si>
    <t>Online scheduling and ticket sales has made public transport easier to use -.I - 57.6</t>
  </si>
  <si>
    <t>The city provides information on traffic congestion through mobile phones _.- 54.2</t>
  </si>
  <si>
    <t>Online purchasing of tickets to shows and museums has made it easier to attend -.j - 73.3</t>
  </si>
  <si>
    <t>Online access to job listings has made it easier to find work -.- 65.4</t>
  </si>
  <si>
    <t>IT skills are taught well in schools -.- _ 43.9</t>
  </si>
  <si>
    <t>Online services provided by the city has made it easier to start a new business .‘l - 44.3</t>
  </si>
  <si>
    <t>The current internet speed and reliability meet connectivity needs -.I _ 61.4</t>
  </si>
  <si>
    <t>Online public access to city finances has reduced corruption -.- 36.9</t>
  </si>
  <si>
    <t>Online voting has increased participation - :.- 51.9</t>
  </si>
  <si>
    <t>‘An-mllmlitform where residents can propose ideas has improved city life -.] - 43.5</t>
  </si>
  <si>
    <t>Processing Identification Documents online has reduced waiting times -.- _ 52.4</t>
  </si>
  <si>
    <t>affordable housing - 77.8%</t>
  </si>
  <si>
    <t>road congestion - 47.2%</t>
  </si>
  <si>
    <t>air pollution - 45.2%</t>
  </si>
  <si>
    <t>school education - 38.3%</t>
  </si>
  <si>
    <t>unemployment - 38.1%</t>
  </si>
  <si>
    <t>security - 37.2%</t>
  </si>
  <si>
    <t>fulfilling employment - 26.6%</t>
  </si>
  <si>
    <t>basic amenities - 26.5%</t>
  </si>
  <si>
    <t>corruption - 25.7%</t>
  </si>
  <si>
    <t>recycling - 20.3%</t>
  </si>
  <si>
    <t>public transport - 18.9%</t>
  </si>
  <si>
    <t>citizen engagement - 12.0%</t>
  </si>
  <si>
    <t>green spaces - 9.7%</t>
  </si>
  <si>
    <t>social mobility - 8.3%</t>
  </si>
  <si>
    <t>Basic sanitation meets the needs of the poorest areas -.- _ 51.8</t>
  </si>
  <si>
    <t>Recycling services are satisfactory -.- 63.2</t>
  </si>
  <si>
    <t>Public safety is not a problem _.- - 38.8</t>
  </si>
  <si>
    <t>Air pollution is not a problem -.) - 30.6</t>
  </si>
  <si>
    <t>Medical services provision is satisfactory - [._ 65.9</t>
  </si>
  <si>
    <t>Finding housing with rent equal to 30% or less of a monthly salary is not a problem -.- - 27.6</t>
  </si>
  <si>
    <t>Traffic congestion is not a problem -.. - 21.5</t>
  </si>
  <si>
    <t>Public transport is satisfactory _.. - 44.6</t>
  </si>
  <si>
    <t>Green spaces are satisfactory _.- - 52.7</t>
  </si>
  <si>
    <t>Cultural activities (shows, bars, and museums) are satisfactory _.- 72.8</t>
  </si>
  <si>
    <t>Employment finding services are readily available - -.- 69.5</t>
  </si>
  <si>
    <t>Most children have access to a good school _.] _ 57.3</t>
  </si>
  <si>
    <t>Lifelong learning opportunities are provided by local institutions _.- 59.3</t>
  </si>
  <si>
    <t>Businesses are creating new jobs - I.- 64.6</t>
  </si>
  <si>
    <t>Minorities feel welcome _._ 57.2</t>
  </si>
  <si>
    <t>Information on local government decisions are easily accessible _.- 59.7</t>
  </si>
  <si>
    <t>Corruption of city officials is not an issue of concern _.- 37.9</t>
  </si>
  <si>
    <t>Residents contribute to decision making of local government - [._ 47.2</t>
  </si>
  <si>
    <t>Residents provide feedback on local government projects - l.|_ :7: 56.6</t>
  </si>
  <si>
    <t>!J Health &amp; Safety 0 20 4o 60 80 100</t>
  </si>
  <si>
    <t>Online reporting of city maintenance problems provides a speedy solution -.- - 43.8</t>
  </si>
  <si>
    <t>A website or App allows residents to easily give away unwanted items -.- 61.1</t>
  </si>
  <si>
    <t>Free public wifi has improved access to city services -.- _ 45.2</t>
  </si>
  <si>
    <t>CCTV cameras has made residents feel safer [.- - 40.0</t>
  </si>
  <si>
    <t>A website or App allows residents to effectively monitor air pollution -. - 45.5</t>
  </si>
  <si>
    <t>Arranging medical appointments online has improved access _.] - 64.1</t>
  </si>
  <si>
    <t>Car-sharing Apps have reduced congestion -.- - 39.7</t>
  </si>
  <si>
    <t>Apps that direct you to an available parking space have reduced journey time [.- - 32.7</t>
  </si>
  <si>
    <t>Bicycle hiring has reduced congestion [._ - 30.6</t>
  </si>
  <si>
    <t>Online scheduling and ticket sales has made public transport easier to use -.- - 48.2</t>
  </si>
  <si>
    <t>The city provides information on traffic congestion through mobile phones _. - 58.2</t>
  </si>
  <si>
    <t>Online purchasing of tickets to shows and museums has made it easier to attend I. - 76.0</t>
  </si>
  <si>
    <t>Online access to job listings has made it easier to find work -.- 71.3</t>
  </si>
  <si>
    <t>IT skills are taught well in schools -.- - 41.6</t>
  </si>
  <si>
    <t>Online services provided by the city has made it easier to start a new business .- _ 42.9</t>
  </si>
  <si>
    <t>The current internet speed and reliability meet connectivity needs -.] _ 66.6</t>
  </si>
  <si>
    <t>Online public access to city finances has reduced corruption -.- - 33.0</t>
  </si>
  <si>
    <t>Online voting has increased participation _.l _ 46.8</t>
  </si>
  <si>
    <t>An online platform where residents can propose ideas has improved city life -.- - 39.1</t>
  </si>
  <si>
    <t>iProcessingildentificatioln Documents online has reduced waiting times -.- - 54.0</t>
  </si>
  <si>
    <t>affordable housing - 61.9%</t>
  </si>
  <si>
    <t>security - 52.6%</t>
  </si>
  <si>
    <t>road congestion - 42.4%</t>
  </si>
  <si>
    <t>health services - 39.5%</t>
  </si>
  <si>
    <t>air pollution - 39.1%</t>
  </si>
  <si>
    <t>unemployment - 33.5%</t>
  </si>
  <si>
    <t>corruption - 32.2%</t>
  </si>
  <si>
    <t>public transport - 28.2%</t>
  </si>
  <si>
    <t>fulfilling employment - 26.1%</t>
  </si>
  <si>
    <t>basic amenities - 25.7%</t>
  </si>
  <si>
    <t>school education - 23.5%</t>
  </si>
  <si>
    <t>green spaces - 18.1%</t>
  </si>
  <si>
    <t>social mobility - 15.8%</t>
  </si>
  <si>
    <t>recycling - 14.3%</t>
  </si>
  <si>
    <t>citizen engagement - 8.8%</t>
  </si>
  <si>
    <t>Basic sanitation meets the needs of the poorest areas -.- 62.8</t>
  </si>
  <si>
    <t>Recycling services are satisfactory - [.- 69.8</t>
  </si>
  <si>
    <t>Public safety is not a problem -.- _ 42.3</t>
  </si>
  <si>
    <t>Air pollution is not a problem -.- 38.8</t>
  </si>
  <si>
    <t>Medical services provision is satisfactory - I.- 68.7</t>
  </si>
  <si>
    <t>Finding housing with rent equal to 3096 or less of a monthly salary is not a problem - -.- 43.4</t>
  </si>
  <si>
    <t>Traffic congestion is not a problem - -.- 35.0</t>
  </si>
  <si>
    <t>Public transport is satisfactory _.- 56.4</t>
  </si>
  <si>
    <t>Green spaces are satisfactory - ‘.- 69.6</t>
  </si>
  <si>
    <t>Cultural activities (shows. bars. and museums) are satisfactory - .I 77.5</t>
  </si>
  <si>
    <t>Employment finding services are readily available - I.‘ 69.5</t>
  </si>
  <si>
    <t>Most children have access to a good school _.- 61.6</t>
  </si>
  <si>
    <t>Lifelong learning opportunities are provided by local institutions - D- 64.2</t>
  </si>
  <si>
    <t>Businesses are creating new Jobs - I.) 65.0</t>
  </si>
  <si>
    <t>Minorities feel welcome - .‘l 64.0</t>
  </si>
  <si>
    <t>Gove ma nce</t>
  </si>
  <si>
    <t>Information on local government decisions are easily accessible _ -.- 67.0</t>
  </si>
  <si>
    <t>Corruption of city officials is not an issue of concern - [._ 42.5</t>
  </si>
  <si>
    <t>Residents contribute to decision making of local government - -.I 56.7</t>
  </si>
  <si>
    <t>Residents provide feedback on local government projects - -.] 63.6</t>
  </si>
  <si>
    <t>Online reporting of city maintenance problems provides a speedy solution - -.- 55.8</t>
  </si>
  <si>
    <t>A website or App allows residents to easily give away unwanted items - [.- 61.2</t>
  </si>
  <si>
    <t>Free public wifi has improved access to city services - -.] 69.0</t>
  </si>
  <si>
    <t>CCTV cameras has made residents feel safer - I._ 61.7</t>
  </si>
  <si>
    <t>A website or App allows residents to effectively monitor air pollution - ..- 53.0</t>
  </si>
  <si>
    <t>Arranging medical appointments online has improved access _ I.- 69.8</t>
  </si>
  <si>
    <t>Car-sharing Apps have reduced congestion _ -.: 55.6</t>
  </si>
  <si>
    <t>Apps that direct you to an available parking space have reduced journey time - -. 60.6</t>
  </si>
  <si>
    <t>Bicycle hiring has reduced congestion - -. 59.6</t>
  </si>
  <si>
    <t>Online scheduling and ticket sales has made public transport easier to use _ [.I 68.7</t>
  </si>
  <si>
    <t>The city provides information on traffic congestion through mobile phones - -.I 69.6</t>
  </si>
  <si>
    <t>Activities .,</t>
  </si>
  <si>
    <t>Online purchasing of tickets to shows and museums has made it easier to attend -.I 78.3</t>
  </si>
  <si>
    <t>Online access to job listings has made it easier to find work _ [.- 70.0</t>
  </si>
  <si>
    <t>IT skills are taught well in schools _ l.‘ 59.5</t>
  </si>
  <si>
    <t>Online services provided by the city has made it easier to start a new business _ -.- 60.2</t>
  </si>
  <si>
    <t>The current internet speed and reliability meet connectivity needs _ K.‘ 73.8</t>
  </si>
  <si>
    <t>Online public access to city finances has reduced corruption _ -.- 53.4</t>
  </si>
  <si>
    <t>Online voting has increased participation - -.- 64.2</t>
  </si>
  <si>
    <t>An online platform where residents can propose ideas has improved city life _ -.- 56.7</t>
  </si>
  <si>
    <t>-Processing~ldeqti?cation Documents online has reduced waiting times _ IO. 68.7</t>
  </si>
  <si>
    <t>affordable housing - 82.3%</t>
  </si>
  <si>
    <t>security - 53.7%</t>
  </si>
  <si>
    <t>road congestion - 49.7%</t>
  </si>
  <si>
    <t>health services - 41.2%</t>
  </si>
  <si>
    <t>unemployment - 35.0%</t>
  </si>
  <si>
    <t>school education - 28.8%</t>
  </si>
  <si>
    <t>corruption - 27.3%</t>
  </si>
  <si>
    <t>fulfilling employment - 23.3%</t>
  </si>
  <si>
    <t>air pollution - 22.3%</t>
  </si>
  <si>
    <t>public transport - 22.2%</t>
  </si>
  <si>
    <t>basic amenities - 21.3%</t>
  </si>
  <si>
    <t>social mobility - 18.1%</t>
  </si>
  <si>
    <t>recycling - 13.3%</t>
  </si>
  <si>
    <t>green spaces - 13.3%</t>
  </si>
  <si>
    <t>citizen engagement - 10.7%</t>
  </si>
  <si>
    <t>Basic sanitation meets the needs of the poorest areas .- _ 41.8</t>
  </si>
  <si>
    <t>I) Recycling services are satisfactory _.: _ 61.5</t>
  </si>
  <si>
    <t>Public safety is not a problem [._ _ 28.0</t>
  </si>
  <si>
    <t>Air pollution is not a problem - [._ 43.1</t>
  </si>
  <si>
    <t>Medical services provision is satisfactory -.- 58.5</t>
  </si>
  <si>
    <t>Finding housing with rent equal to 30% or less of a monthly salary is not a problem ‘.- - 21.7</t>
  </si>
  <si>
    <t>Traffic congestion is not a problem -.l - 20.5</t>
  </si>
  <si>
    <t>Public transport is satisfactory -.- - 49.1</t>
  </si>
  <si>
    <t>H‘gctivities</t>
  </si>
  <si>
    <t>Green spaces are satisfactory -.- 63.3</t>
  </si>
  <si>
    <t>Cultural activities (shows. bars. and museums) are satisfactory _.- 76.2</t>
  </si>
  <si>
    <t>Employment finding services are readily available -.] _ 59.2</t>
  </si>
  <si>
    <t>Most children have access to a good school -.- - 52.6</t>
  </si>
  <si>
    <t>Lifelong learning opportunities are provided by local institutions _.- 60.5</t>
  </si>
  <si>
    <t>Businesses are creating newjobs - [.- 60.0</t>
  </si>
  <si>
    <t>Minorities feel welcome - [.- 59.3</t>
  </si>
  <si>
    <t>Information on local government decisions are easily accessible _ I.- 63.5</t>
  </si>
  <si>
    <t>Corruption of city officials is not an issue of concern _.- v-38.1</t>
  </si>
  <si>
    <t>Residents contribute to decision making of local government - I.‘ | 7 52.9</t>
  </si>
  <si>
    <t>Residents provide feedback on local government projects _ .O' ‘-62.1</t>
  </si>
  <si>
    <t>Online reporting of city maintenance problems provides a speedy solution I.‘ - 39.6</t>
  </si>
  <si>
    <t>A website or App allows residents to easily give away unwanted items ..- 56.0</t>
  </si>
  <si>
    <t>Free public wifi has improved access to city services -.l - 51.0</t>
  </si>
  <si>
    <t>CCTV cameras has made residents feel safer -.- _ 43.5</t>
  </si>
  <si>
    <t>A website or App allows residents to effectively monitor air pollution - [.- 48.0</t>
  </si>
  <si>
    <t>Arranging medical appointments online has improved access -._ 64.9</t>
  </si>
  <si>
    <t>Car-sharing Apps have reduced congestion _ [.- 47.2</t>
  </si>
  <si>
    <t>Apps that direct you to an available parking space have reduced journey time - ‘.- 51.8</t>
  </si>
  <si>
    <t>Bicycle hiring has reduced congestion _.- 46.7</t>
  </si>
  <si>
    <t>Online scheduling and ticket sales has made public transport easier to use -.- 61.9</t>
  </si>
  <si>
    <t>The city provides information on traffic congestion through mobile phones - :.- 57.6</t>
  </si>
  <si>
    <t>Online purchasing of tickets to shows and museums has made it easier to attend -.] - 72.4</t>
  </si>
  <si>
    <t>Online access to job listings has made it easier to find work -.- 66.3</t>
  </si>
  <si>
    <t>IT skills are taught well in schools -.. - 45.6</t>
  </si>
  <si>
    <t>Online services provided by the city has made it easier to start a new business -.] _ 46.4</t>
  </si>
  <si>
    <t>The current internet speed and reliability meet connectivity needs -.: _ 64.6</t>
  </si>
  <si>
    <t>Online public access to city finances has reduced corruption -.- 39.5</t>
  </si>
  <si>
    <t>_0nline.votingvhas increased participation - [.- 53.4</t>
  </si>
  <si>
    <t>: An online platft‘yrm where residents can propose ideas has improved city life -.- 48.3</t>
  </si>
  <si>
    <t>*Pmcessingldet‘nification Documents online has reduced waiting times -.- - 51.2</t>
  </si>
  <si>
    <t>affordable housing - 81.2%</t>
  </si>
  <si>
    <t>road congestion - 60.2%</t>
  </si>
  <si>
    <t>security - 55.2%</t>
  </si>
  <si>
    <t>unemployment - 39.6%</t>
  </si>
  <si>
    <t>health services - 39.4%</t>
  </si>
  <si>
    <t>school education - 28.2%</t>
  </si>
  <si>
    <t>fulfilling employment - 26.2%</t>
  </si>
  <si>
    <t>public transport - 23.5%</t>
  </si>
  <si>
    <t>corruption - 23.3%</t>
  </si>
  <si>
    <t>basic amenities - 17.3%</t>
  </si>
  <si>
    <t>air pollution - 16.2%</t>
  </si>
  <si>
    <t>green spaces - 15.5%</t>
  </si>
  <si>
    <t>citizen engagement - 13.8%</t>
  </si>
  <si>
    <t>social mobility - 12.3%</t>
  </si>
  <si>
    <t>11 Health &amp; Safety 0 20 4o 60 80 100</t>
  </si>
  <si>
    <t>Basic sanitation meets the needs of the poorest areas ._ - 43.1</t>
  </si>
  <si>
    <t>Recycling services are satisfactory _ I.- 71.0</t>
  </si>
  <si>
    <t>Public safety is not a problem [._ - 27.0</t>
  </si>
  <si>
    <t>Air pollution is not a problem _ K.- 43.6</t>
  </si>
  <si>
    <t>Medical services provision is satisfactory _ [._ 64.1</t>
  </si>
  <si>
    <t>Finding housing with rent equal to 30% or less of a monthly salary Is not a problem 3- - 18.9</t>
  </si>
  <si>
    <t>Traffic congestion Is not a problem ‘.- - 15.8</t>
  </si>
  <si>
    <t>Public transport is satisfactory _. _ 54.4</t>
  </si>
  <si>
    <t>Green spaces are satisfactory -.- 64.3</t>
  </si>
  <si>
    <t>Cultural activities (shows, bars, and museums) are satisfactory - [.I 78.1</t>
  </si>
  <si>
    <t>Employment ?nding services are readily available - .- 64.9</t>
  </si>
  <si>
    <t>Most children have access to a good school -.- 61.2</t>
  </si>
  <si>
    <t>Lifelong learning opportunities are provided by local institutions -.- 63.1</t>
  </si>
  <si>
    <t>Businesses are creating newjobs - [.- 61.6</t>
  </si>
  <si>
    <t>Minorities feel welcome - ‘.- 61.2</t>
  </si>
  <si>
    <t>Information on local government decisions are easily accessible - I.- 63.8</t>
  </si>
  <si>
    <t>Corruption of city of?cials is not an issue of concern - .- ,-41.5</t>
  </si>
  <si>
    <t>Residents contribute to decision making of local government - l.- | 7 :7: 49.5</t>
  </si>
  <si>
    <t>Residents provide feedback on local government projects _ IO. ‘+61.1</t>
  </si>
  <si>
    <t>5 Health &amp; Safety 0 20 4o 60 80 100</t>
  </si>
  <si>
    <t>Online reporting of city maintenance problems provides a speedy solution I.) - 43.0</t>
  </si>
  <si>
    <t>A website or App allows residents to easily give away unwanted items - .- 60.5</t>
  </si>
  <si>
    <t>Free public wifi has improved access to city services l.- - 44.3</t>
  </si>
  <si>
    <t>CCTV cameras has made residents feel safer ‘.- - 37.8</t>
  </si>
  <si>
    <t>A website or App allows residents to effectively monitor air pollution -.- 43.0</t>
  </si>
  <si>
    <t>Arranging medical appointments online has improved access - [.- 67.6</t>
  </si>
  <si>
    <t>Car-sharing Apps have reduced congestion -.- 40.9</t>
  </si>
  <si>
    <t>Apps that direct you to an available parking space have reduced journey time -.l - 40.1</t>
  </si>
  <si>
    <t>Bicycle hiring has reduced congestion -.- - 37.8</t>
  </si>
  <si>
    <t>Online scheduling and ticket sales has made public transport easier to use -.. - 54.9</t>
  </si>
  <si>
    <t>The city provides information on traffic congestion through mobile phones _ [.- 57.8</t>
  </si>
  <si>
    <t>Activities 3;:</t>
  </si>
  <si>
    <t>Online purchasing of tickets to shows and museums has made it easier to attend -.I - 71.0</t>
  </si>
  <si>
    <t>Online access to job listings has made it easier to find work -.- 66.9</t>
  </si>
  <si>
    <t>IT skills are taught well in schools -.I _ 47.0</t>
  </si>
  <si>
    <t>Online services provided by the city has made it easier to start a new business I.‘ _ 40.9</t>
  </si>
  <si>
    <t>The current internet speed and reliability meet connectivity needs -.] _ 64.1</t>
  </si>
  <si>
    <t>Online public access to city finances has reduced corruption .‘l - 34.3</t>
  </si>
  <si>
    <t>Online voting has increased participation _ [._ 52.8</t>
  </si>
  <si>
    <t>An online platforn? where residents can propose ideas has improved city life -.] - 43.9</t>
  </si>
  <si>
    <t>PfecesslngMication Documents online has reduced waiting times -.. - 51.9</t>
  </si>
  <si>
    <t>affordable housing - 69.0%</t>
  </si>
  <si>
    <t>security - 47.6%</t>
  </si>
  <si>
    <t>road congestion - 47.4%</t>
  </si>
  <si>
    <t>health services - 47.4%</t>
  </si>
  <si>
    <t>unemployment - 37.9%</t>
  </si>
  <si>
    <t>school education - 33.6%</t>
  </si>
  <si>
    <t>fulfilling employment - 28.8%</t>
  </si>
  <si>
    <t>public transport - 28.5%</t>
  </si>
  <si>
    <t>air pollution - 26.1%</t>
  </si>
  <si>
    <t>corruption - 22.6%</t>
  </si>
  <si>
    <t>basic amenities - 19.6%</t>
  </si>
  <si>
    <t>recycling - 14.4%</t>
  </si>
  <si>
    <t>citizen engagement - 12.1%</t>
  </si>
  <si>
    <t>U Health &amp; Safety 0 20 4o 60 80 100</t>
  </si>
  <si>
    <t>Basic sanitation meets the needs of the poorest areas -.l _ 57.3</t>
  </si>
  <si>
    <t>Recycling services are satisfactory -._ 64.0</t>
  </si>
  <si>
    <t>Public safety is not a problem -.- _ 39.5</t>
  </si>
  <si>
    <t>Air pollution is not a problem _ I.- 46.6</t>
  </si>
  <si>
    <t>Medical services provision is satisfactory _.- 59.0</t>
  </si>
  <si>
    <t>Finding housing with rent equal to 3096 or less of a monthly salary is not a problem -.- 32.9</t>
  </si>
  <si>
    <t>Traffic congestion is not a problem - [.- 29.3</t>
  </si>
  <si>
    <t>Public transport ls satisfactory -.- 56.7</t>
  </si>
  <si>
    <t>Q'Activities</t>
  </si>
  <si>
    <t>;\\\Green spaces are satisfactory -.- 64.8</t>
  </si>
  <si>
    <t>Cultural activities (shows. bars. and museums) are satisfactory - (.j 81.7</t>
  </si>
  <si>
    <t>Employment finding services are readily available -.- 63.1</t>
  </si>
  <si>
    <t>Most children have access to a good school -.- _ 53.2</t>
  </si>
  <si>
    <t>Lifelong learning opportunities are provided by local institutions -.- 61.5</t>
  </si>
  <si>
    <t>Businesses are creating new Jobs - I.) 64.6</t>
  </si>
  <si>
    <t>Minorities feel welcome - I.‘ 62.9</t>
  </si>
  <si>
    <t>Gove rna nce</t>
  </si>
  <si>
    <t>Information on local government decisions are easily accessible _ ..- 66.2</t>
  </si>
  <si>
    <t>Corruption of city of?cials is not an issue of concern _.- 38.8</t>
  </si>
  <si>
    <t>Residents contribute to decision making of local government - -.- , 54.3</t>
  </si>
  <si>
    <t>Residents provide feedback on local government projects - -.- I i 17:60.5</t>
  </si>
  <si>
    <t>U Health &amp; safety 0 20 4o 60 80 100</t>
  </si>
  <si>
    <t>Online reporting of city maintenance problems provides a speedy solution -.- 46.5</t>
  </si>
  <si>
    <t>A website or App allows residents to easily give away unwanted items - [.- 63.4</t>
  </si>
  <si>
    <t>Free public wifi has improved access to city services -.- 56.8</t>
  </si>
  <si>
    <t>CCTV cameras has made residents feel safer -.: _ 50.3</t>
  </si>
  <si>
    <t>A website or App allows residents to effectively monitor air pollution -.- 43.3</t>
  </si>
  <si>
    <t>Arranging medical appointments online has improved access - [.- 68.1</t>
  </si>
  <si>
    <t>Car-sharing Apps have reduced congestion _ I.‘ 50.2</t>
  </si>
  <si>
    <t>Apps that direct you to an available parking space have reduced journey time - ..- 53.3</t>
  </si>
  <si>
    <t>Bicycle hiring has reduced congestion _.- 48.6</t>
  </si>
  <si>
    <t>Online scheduling and ticket sales has made public transport easier to use -.- - 56.7</t>
  </si>
  <si>
    <t>The city provides information on traffic congestion through mobile phones - -.- 61.4</t>
  </si>
  <si>
    <t>Online purchasing of tickets to shows and museums has made it easier to attend -.- 74.7</t>
  </si>
  <si>
    <t>Online access to job listings has made it easier to find work _ .- 69.7</t>
  </si>
  <si>
    <t>IT skills are taught well in schools -.] _ 49.4</t>
  </si>
  <si>
    <t>Online services provided by the city has made it easier to start a new business -.- 50.7</t>
  </si>
  <si>
    <t>The current internet speed and reliability meet connectivity needs _._ 66.0</t>
  </si>
  <si>
    <t>Online public access to city finances has reduced corruption _ [.- 43.3</t>
  </si>
  <si>
    <t>_Online.voting.has increased participation - -.- 59.4</t>
  </si>
  <si>
    <t>An online platforr‘n where residents can propose ideas has improved city life _ I.- 50.6</t>
  </si>
  <si>
    <t>iProcess!ngldenti‘fication Documents online has reduced waiting times -._ 59.2</t>
  </si>
  <si>
    <t>City</t>
  </si>
  <si>
    <t>HDI</t>
  </si>
  <si>
    <t>IMD Rank 2019</t>
  </si>
  <si>
    <t>IMD Rank 2020</t>
  </si>
  <si>
    <t>IMD Rank 2021</t>
  </si>
  <si>
    <t>IMD Rank 2023</t>
  </si>
  <si>
    <t>Basic sanitation meets the needs of the poorest areas</t>
  </si>
  <si>
    <t>Recycling services are satisfactory</t>
  </si>
  <si>
    <t>Public safety is not a problem</t>
  </si>
  <si>
    <t>Air pollution is not a problem</t>
  </si>
  <si>
    <t>Medical services provision is satisfactory</t>
  </si>
  <si>
    <t>Finding housing with rent equal to 30% or less of a monthly salary is not a problem</t>
  </si>
  <si>
    <t>Traffic congestion is not a problem</t>
  </si>
  <si>
    <t>Public transport is satisfactory</t>
  </si>
  <si>
    <t>Green spaces are satisfactory</t>
  </si>
  <si>
    <t>Cultural activities (shows, bars, and museums) are satisfactory</t>
  </si>
  <si>
    <t>Employment finding services are readily available</t>
  </si>
  <si>
    <t>Most children have access to a good school</t>
  </si>
  <si>
    <t>Lifelong learning opportunities are provided by local institutions</t>
  </si>
  <si>
    <t>Businesses are creating new jobs</t>
  </si>
  <si>
    <t>Minorities feel welcome</t>
  </si>
  <si>
    <t>Information on local government decisions are easily accessible</t>
  </si>
  <si>
    <t>Corruption of city officials is not an issue of concern</t>
  </si>
  <si>
    <t>Residents contribute to decision making of local government</t>
  </si>
  <si>
    <t>Residents provide feedback on local government projects</t>
  </si>
  <si>
    <t>Online reporting of city maintenance problems provides a speedy solution</t>
  </si>
  <si>
    <t>A website or App allows residents to easily give away unwanted items</t>
  </si>
  <si>
    <t>Free public wifi has improved access to city services</t>
  </si>
  <si>
    <t>CCTV cameras has made residents feel safer</t>
  </si>
  <si>
    <t>A website or App allows residents to effectively monitor air pollution</t>
  </si>
  <si>
    <t>Arranging medical appointments online has improved access</t>
  </si>
  <si>
    <t>Car-sharing Apps have reduced congestion</t>
  </si>
  <si>
    <t>Apps that direct you to an available parking space have reduced journey time</t>
  </si>
  <si>
    <t>Bicycle hiring has reduced congestion</t>
  </si>
  <si>
    <t>Online scheduling and ticket sales has made public transport easier to use</t>
  </si>
  <si>
    <t>The city provides information on traffic congestion through mobile phones</t>
  </si>
  <si>
    <t>Online purchasing of tickets to shows and museums has made it easier to attend</t>
  </si>
  <si>
    <t>Online access to job listings has made it easier to find work</t>
  </si>
  <si>
    <t>IT skills are taught well in schools</t>
  </si>
  <si>
    <t>Online services provided by the city has made it easier to start a new business</t>
  </si>
  <si>
    <t>The current internet speed and reliability meet connectivity needs</t>
  </si>
  <si>
    <t>Online public access to city finances has reduced corruption</t>
  </si>
  <si>
    <t>Online voting has increased participation</t>
  </si>
  <si>
    <t>An online platform where residents can propose ideas has improved city life</t>
  </si>
  <si>
    <t>Processing Identification Documents online has reduced waiting times</t>
  </si>
  <si>
    <t>affordable housing</t>
  </si>
  <si>
    <t>air pollution</t>
  </si>
  <si>
    <t>basic amenities</t>
  </si>
  <si>
    <t>citizen engagement</t>
  </si>
  <si>
    <t>corruption</t>
  </si>
  <si>
    <t>fulfilling employment</t>
  </si>
  <si>
    <t>green spaces</t>
  </si>
  <si>
    <t>health services</t>
  </si>
  <si>
    <t>public transport</t>
  </si>
  <si>
    <t>recycling</t>
  </si>
  <si>
    <t>road congestion</t>
  </si>
  <si>
    <t>school education</t>
  </si>
  <si>
    <t>security</t>
  </si>
  <si>
    <t>social mobility</t>
  </si>
  <si>
    <t>unemployment</t>
  </si>
  <si>
    <t>New York</t>
  </si>
  <si>
    <t>Boston</t>
  </si>
  <si>
    <t>Washington</t>
  </si>
  <si>
    <t>Los Angeles</t>
  </si>
  <si>
    <t>Denver</t>
  </si>
  <si>
    <t>Seattle</t>
  </si>
  <si>
    <t>Chicago</t>
  </si>
  <si>
    <t>San Francisco</t>
  </si>
  <si>
    <t>Philadelphia</t>
  </si>
  <si>
    <t>Phoenix</t>
  </si>
  <si>
    <t>Ranking</t>
  </si>
  <si>
    <t>Performance</t>
  </si>
  <si>
    <t>CIMI</t>
  </si>
  <si>
    <t>Japan-Tokyo</t>
  </si>
  <si>
    <t>A</t>
  </si>
  <si>
    <t>100,00</t>
  </si>
  <si>
    <t>Sweden-Gothenburg</t>
  </si>
  <si>
    <t>M</t>
  </si>
  <si>
    <t>54,78</t>
  </si>
  <si>
    <t>United Kingdom-London</t>
  </si>
  <si>
    <t>RA</t>
  </si>
  <si>
    <t>84,36</t>
  </si>
  <si>
    <t>France-Lille</t>
  </si>
  <si>
    <t>54,43</t>
  </si>
  <si>
    <t>USA-New York</t>
  </si>
  <si>
    <t>81,25</t>
  </si>
  <si>
    <t>Germany-Frankfurt am Main</t>
  </si>
  <si>
    <t>54,30</t>
  </si>
  <si>
    <t>Switzerland-Zurich</t>
  </si>
  <si>
    <t>79,94</t>
  </si>
  <si>
    <t>France-Nice</t>
  </si>
  <si>
    <t>54,29</t>
  </si>
  <si>
    <t>France-Paris</t>
  </si>
  <si>
    <t>79,11</t>
  </si>
  <si>
    <t>Germany-Hamburg</t>
  </si>
  <si>
    <t>53,65</t>
  </si>
  <si>
    <t>Switzerland-Geneva</t>
  </si>
  <si>
    <t>75,61</t>
  </si>
  <si>
    <t>United Kingdom-Manchester</t>
  </si>
  <si>
    <t>53,62</t>
  </si>
  <si>
    <t>Switzerland-Basel</t>
  </si>
  <si>
    <t>70,91</t>
  </si>
  <si>
    <t>Ireland-Dublin</t>
  </si>
  <si>
    <t>53,15</t>
  </si>
  <si>
    <t>Japan-Osaka</t>
  </si>
  <si>
    <t>68,76</t>
  </si>
  <si>
    <t>Canada-Vancouver</t>
  </si>
  <si>
    <t>53,14</t>
  </si>
  <si>
    <t>South Korea-Seoul</t>
  </si>
  <si>
    <t>68,27</t>
  </si>
  <si>
    <t>Belgium-Brussels</t>
  </si>
  <si>
    <t>52,89</t>
  </si>
  <si>
    <t>Norway-Oslo</t>
  </si>
  <si>
    <t>68,00</t>
  </si>
  <si>
    <t>United Kingdom-Glasgow</t>
  </si>
  <si>
    <t>52,67</t>
  </si>
  <si>
    <t>USA-Philadelphia</t>
  </si>
  <si>
    <t>67,06</t>
  </si>
  <si>
    <t>Canada-Montreal</t>
  </si>
  <si>
    <t>52,40</t>
  </si>
  <si>
    <t>USA-Los Angeles</t>
  </si>
  <si>
    <t>67,05</t>
  </si>
  <si>
    <t>United Kingdom-Birmingham</t>
  </si>
  <si>
    <t>52,33</t>
  </si>
  <si>
    <t>USA-Dallas</t>
  </si>
  <si>
    <t>65,82</t>
  </si>
  <si>
    <t>United Kingdom-Leeds</t>
  </si>
  <si>
    <t>51,85</t>
  </si>
  <si>
    <t>Denmark-Copenhagen</t>
  </si>
  <si>
    <t>65,00</t>
  </si>
  <si>
    <t>Germany-Duisburg</t>
  </si>
  <si>
    <t>51,81</t>
  </si>
  <si>
    <t>Netherlands-Eindhoven</t>
  </si>
  <si>
    <t>64,21</t>
  </si>
  <si>
    <t>Spain-Barcelona</t>
  </si>
  <si>
    <t>51,18</t>
  </si>
  <si>
    <t>Netherlands-Amsterdam</t>
  </si>
  <si>
    <t>64,02</t>
  </si>
  <si>
    <t>Spain-Madrid</t>
  </si>
  <si>
    <t>51,08</t>
  </si>
  <si>
    <t>Australia-Sydney</t>
  </si>
  <si>
    <t>63,81</t>
  </si>
  <si>
    <t>Saudi Arabia-Riyadh</t>
  </si>
  <si>
    <t>50,74</t>
  </si>
  <si>
    <t>Sweden-Stockholm</t>
  </si>
  <si>
    <t>63,26</t>
  </si>
  <si>
    <t>Italy-Rome</t>
  </si>
  <si>
    <t>USA-Chicago</t>
  </si>
  <si>
    <t>63,23</t>
  </si>
  <si>
    <t>New Zealand-Auckland</t>
  </si>
  <si>
    <t>50,22</t>
  </si>
  <si>
    <t>USA-Baltimore</t>
  </si>
  <si>
    <t>61,95</t>
  </si>
  <si>
    <t>Malaysia-Kuala Lumpur</t>
  </si>
  <si>
    <t>50,19</t>
  </si>
  <si>
    <t>Australia-Melbourne</t>
  </si>
  <si>
    <t>60,80</t>
  </si>
  <si>
    <t>Italy-Florence</t>
  </si>
  <si>
    <t>49,76</t>
  </si>
  <si>
    <t>USA-Minneapolis-Saint Paul</t>
  </si>
  <si>
    <t>60,72</t>
  </si>
  <si>
    <t>Italy-Milan</t>
  </si>
  <si>
    <t>49,68</t>
  </si>
  <si>
    <t>Austria-Linz</t>
  </si>
  <si>
    <t>60,42</t>
  </si>
  <si>
    <t>France-Lyon</t>
  </si>
  <si>
    <t>49,38</t>
  </si>
  <si>
    <t>Israel-Haifa</t>
  </si>
  <si>
    <t>59,31</t>
  </si>
  <si>
    <t>Qatar-Doha</t>
  </si>
  <si>
    <t>49,36</t>
  </si>
  <si>
    <t>USA-Houston</t>
  </si>
  <si>
    <t>58,81</t>
  </si>
  <si>
    <t>France-Marseille</t>
  </si>
  <si>
    <t>48,49</t>
  </si>
  <si>
    <t>Germany-Munich</t>
  </si>
  <si>
    <t>58,73</t>
  </si>
  <si>
    <t>China-Beijing</t>
  </si>
  <si>
    <t>48,44</t>
  </si>
  <si>
    <t>Austria-Vienna</t>
  </si>
  <si>
    <t>58,52</t>
  </si>
  <si>
    <t>United Arab Emirates-Dubai</t>
  </si>
  <si>
    <t>48,09</t>
  </si>
  <si>
    <t>Germany-Berlin</t>
  </si>
  <si>
    <t>58,51</t>
  </si>
  <si>
    <t>South Korea-Daejeon</t>
  </si>
  <si>
    <t>48,07</t>
  </si>
  <si>
    <t>Canada-Toronto</t>
  </si>
  <si>
    <t>58,05</t>
  </si>
  <si>
    <t>Czech Republic-Prague</t>
  </si>
  <si>
    <t>48,05</t>
  </si>
  <si>
    <t>Canada-Ottawa - Gatineau</t>
  </si>
  <si>
    <t>57,76</t>
  </si>
  <si>
    <t>Thailand-Bangkok</t>
  </si>
  <si>
    <t>47,65</t>
  </si>
  <si>
    <t>Finland-Helsinki</t>
  </si>
  <si>
    <t>57,64</t>
  </si>
  <si>
    <t>Portugal-Porto</t>
  </si>
  <si>
    <t>47,63</t>
  </si>
  <si>
    <t>United Kingdom-Nottingham</t>
  </si>
  <si>
    <t>56,59</t>
  </si>
  <si>
    <t>South Korea-Daegu</t>
  </si>
  <si>
    <t>47,24</t>
  </si>
  <si>
    <t>Germany-Cologne</t>
  </si>
  <si>
    <t>55,65</t>
  </si>
  <si>
    <t>Italy-Turin</t>
  </si>
  <si>
    <t>46,59</t>
  </si>
  <si>
    <t>Israel-Tel Aviv</t>
  </si>
  <si>
    <t>55,59</t>
  </si>
  <si>
    <t>United Arab Emirates-Abu Dhabi</t>
  </si>
  <si>
    <t>46,08</t>
  </si>
  <si>
    <t>Germany-Stuttgart</t>
  </si>
  <si>
    <t>55,45</t>
  </si>
  <si>
    <t>Spain-Valencia</t>
  </si>
  <si>
    <t>45,87</t>
  </si>
  <si>
    <t>United Kingdom-Liverpool</t>
  </si>
  <si>
    <t>54,87</t>
  </si>
  <si>
    <t>South Korea-Busan</t>
  </si>
  <si>
    <t>B</t>
  </si>
  <si>
    <t>44,98</t>
  </si>
  <si>
    <t>China-Shanghai</t>
  </si>
  <si>
    <t>44,74</t>
  </si>
  <si>
    <t>Peru-Lima</t>
  </si>
  <si>
    <t>25,95</t>
  </si>
  <si>
    <t>Hungary-Budapest</t>
  </si>
  <si>
    <t>44,02</t>
  </si>
  <si>
    <t>China-Shenyang</t>
  </si>
  <si>
    <t>25,36</t>
  </si>
  <si>
    <t>Turkey-Istanbul</t>
  </si>
  <si>
    <t>43,50</t>
  </si>
  <si>
    <t>Russia-St Petersburg</t>
  </si>
  <si>
    <t>25,23</t>
  </si>
  <si>
    <t>Poland-Warsaw</t>
  </si>
  <si>
    <t>43,33</t>
  </si>
  <si>
    <t>China-Wuhan</t>
  </si>
  <si>
    <t>25,17</t>
  </si>
  <si>
    <t>Spain-Seville</t>
  </si>
  <si>
    <t>43,21</t>
  </si>
  <si>
    <t>China-Harbin</t>
  </si>
  <si>
    <t>24,94</t>
  </si>
  <si>
    <t>Italy-Naples</t>
  </si>
  <si>
    <t>42,20</t>
  </si>
  <si>
    <t>China-Chongqing</t>
  </si>
  <si>
    <t>24,93</t>
  </si>
  <si>
    <t>Portugal-Lisbon</t>
  </si>
  <si>
    <t>41,73</t>
  </si>
  <si>
    <t>Egypt-Alexandria</t>
  </si>
  <si>
    <t>24,51</t>
  </si>
  <si>
    <t>Saudi Arabia-Jeddah</t>
  </si>
  <si>
    <t>41,26</t>
  </si>
  <si>
    <t>Brazil-Rio de Janeiro</t>
  </si>
  <si>
    <t>23,69</t>
  </si>
  <si>
    <t>Taiwan-Taipei</t>
  </si>
  <si>
    <t>40,98</t>
  </si>
  <si>
    <t>South Africa-Pretoria</t>
  </si>
  <si>
    <t>22,17</t>
  </si>
  <si>
    <t>Poland-Wroclaw</t>
  </si>
  <si>
    <t>40,32</t>
  </si>
  <si>
    <t>South Africa-Johannesburg</t>
  </si>
  <si>
    <t>22,16</t>
  </si>
  <si>
    <t>Chile-Santiago</t>
  </si>
  <si>
    <t>40,00</t>
  </si>
  <si>
    <t>South Africa-Cape Town</t>
  </si>
  <si>
    <t>21,95</t>
  </si>
  <si>
    <t>Russia-Moscow</t>
  </si>
  <si>
    <t>38,18</t>
  </si>
  <si>
    <t>Philippines-Manila</t>
  </si>
  <si>
    <t>21,15</t>
  </si>
  <si>
    <t>Turkey-Bursa</t>
  </si>
  <si>
    <t>37,39</t>
  </si>
  <si>
    <t>Ecuador-Quito</t>
  </si>
  <si>
    <t>20,79</t>
  </si>
  <si>
    <t>Slovenia-Ljubljana</t>
  </si>
  <si>
    <t>36,65</t>
  </si>
  <si>
    <t>Egypt-Cairo</t>
  </si>
  <si>
    <t>20,64</t>
  </si>
  <si>
    <t>Latvia-Riga</t>
  </si>
  <si>
    <t>36,25</t>
  </si>
  <si>
    <t>China-Shenzhen</t>
  </si>
  <si>
    <t>19,42</t>
  </si>
  <si>
    <t>China-Guangzhou</t>
  </si>
  <si>
    <t>36,10</t>
  </si>
  <si>
    <t>China-Suzhou</t>
  </si>
  <si>
    <t>18,05</t>
  </si>
  <si>
    <t>Greece-Athens</t>
  </si>
  <si>
    <t>35,36</t>
  </si>
  <si>
    <t>Indonesia-Jakarta</t>
  </si>
  <si>
    <t>17,82</t>
  </si>
  <si>
    <t>Bulgaria-Sofia</t>
  </si>
  <si>
    <t>34,86</t>
  </si>
  <si>
    <t>Venezuela-Caracas</t>
  </si>
  <si>
    <t>17,37</t>
  </si>
  <si>
    <t>Turkey-Ankara</t>
  </si>
  <si>
    <t>34,34</t>
  </si>
  <si>
    <t>Brazil-Salvador</t>
  </si>
  <si>
    <t>15,64</t>
  </si>
  <si>
    <t>Mexico-Monterrey</t>
  </si>
  <si>
    <t>33,22</t>
  </si>
  <si>
    <t>Brazil-Porto Alegre</t>
  </si>
  <si>
    <t>15,02</t>
  </si>
  <si>
    <t>Taiwan-Tainan</t>
  </si>
  <si>
    <t>32,59</t>
  </si>
  <si>
    <t>Brazil-Belo Horizonte</t>
  </si>
  <si>
    <t>14,97</t>
  </si>
  <si>
    <t>Brazil-S∆o Paulo</t>
  </si>
  <si>
    <t>31,98</t>
  </si>
  <si>
    <t>Bolivia-La Paz</t>
  </si>
  <si>
    <t>Taiwan-Kaohsiung</t>
  </si>
  <si>
    <t>31,27</t>
  </si>
  <si>
    <t>Brazil-Bras°lia</t>
  </si>
  <si>
    <t>14,23</t>
  </si>
  <si>
    <t>Taiwan-Taichung</t>
  </si>
  <si>
    <t>31,11</t>
  </si>
  <si>
    <t>Brazil-Recife</t>
  </si>
  <si>
    <t>14,14</t>
  </si>
  <si>
    <t>Brazil-Curitiba</t>
  </si>
  <si>
    <t>31,04</t>
  </si>
  <si>
    <t>Brazil-Fortaleza</t>
  </si>
  <si>
    <t>13,96</t>
  </si>
  <si>
    <t>Colombia-Cali</t>
  </si>
  <si>
    <t>30,77</t>
  </si>
  <si>
    <t>Bosnia-Herzegovina-Sarajevo</t>
  </si>
  <si>
    <t>MB</t>
  </si>
  <si>
    <t>7,32</t>
  </si>
  <si>
    <t>China-Tianjin</t>
  </si>
  <si>
    <t>30,49</t>
  </si>
  <si>
    <t>Dominican Republic-Santo Domingo</t>
  </si>
  <si>
    <t>0,00</t>
  </si>
  <si>
    <t>Argentina-Rosario</t>
  </si>
  <si>
    <t>30,42</t>
  </si>
  <si>
    <t>Mexico-Mexico City</t>
  </si>
  <si>
    <t>29,86</t>
  </si>
  <si>
    <t>Mexico-Guadalajara</t>
  </si>
  <si>
    <t>29,85</t>
  </si>
  <si>
    <t>Argentina-C¢rdoba</t>
  </si>
  <si>
    <t>29,59</t>
  </si>
  <si>
    <t>South Africa-Durban</t>
  </si>
  <si>
    <t>29,33</t>
  </si>
  <si>
    <t>Colombia-Medell°n</t>
  </si>
  <si>
    <t>29,06</t>
  </si>
  <si>
    <t>Argentina-Buenos Aires</t>
  </si>
  <si>
    <t>28,63</t>
  </si>
  <si>
    <t>Colombia-Bogota</t>
  </si>
  <si>
    <t>28,47</t>
  </si>
  <si>
    <t>Uruguay-Montevideo</t>
  </si>
  <si>
    <t>26,84</t>
  </si>
  <si>
    <t>ICIM</t>
  </si>
  <si>
    <t>London ‐ United Kingdom</t>
  </si>
  <si>
    <t>Liverpool ‐ United Kingdom</t>
  </si>
  <si>
    <t>57,49</t>
  </si>
  <si>
    <t>New York ‐ USA</t>
  </si>
  <si>
    <t>97,11</t>
  </si>
  <si>
    <t>Warsaw ‐ Poland</t>
  </si>
  <si>
    <t>57,44</t>
  </si>
  <si>
    <t>Paris ‐ France</t>
  </si>
  <si>
    <t>84,29</t>
  </si>
  <si>
    <t>Milan ‐ Italy</t>
  </si>
  <si>
    <t>57,42</t>
  </si>
  <si>
    <t>Tokyo ‐ Japan</t>
  </si>
  <si>
    <t>77,74</t>
  </si>
  <si>
    <t>Nottingham ‐ United Kingdom</t>
  </si>
  <si>
    <t>56,93</t>
  </si>
  <si>
    <t>Berlin ‐ Germany</t>
  </si>
  <si>
    <t>75,66</t>
  </si>
  <si>
    <t>Glasgow ‐ United Kingdom</t>
  </si>
  <si>
    <t>56,62</t>
  </si>
  <si>
    <t>Singapore ‐ Singapore</t>
  </si>
  <si>
    <t>72,65</t>
  </si>
  <si>
    <t>Quebec City ‐ Canada</t>
  </si>
  <si>
    <t>56,22</t>
  </si>
  <si>
    <t>Oslo ‐ Norway</t>
  </si>
  <si>
    <t>72,55</t>
  </si>
  <si>
    <t>Brussels ‐ Belgium</t>
  </si>
  <si>
    <t>56,04</t>
  </si>
  <si>
    <t>Amsterdam ‐ Netherlands</t>
  </si>
  <si>
    <t>72,21</t>
  </si>
  <si>
    <t>Rome ‐ Italy</t>
  </si>
  <si>
    <t>55,81</t>
  </si>
  <si>
    <t>San Francisco ‐ USA</t>
  </si>
  <si>
    <t>70,77</t>
  </si>
  <si>
    <t>Phoenix ‐ USA</t>
  </si>
  <si>
    <t>55,75</t>
  </si>
  <si>
    <t>Chicago ‐ USA</t>
  </si>
  <si>
    <t>70,76</t>
  </si>
  <si>
    <t>Leeds ‐ United Kingdom</t>
  </si>
  <si>
    <t>55,72</t>
  </si>
  <si>
    <t>Copenhagen ‐ Denmark</t>
  </si>
  <si>
    <t>70,68</t>
  </si>
  <si>
    <t>Tallinn ‐ Estonia</t>
  </si>
  <si>
    <t>55,04</t>
  </si>
  <si>
    <t>Zurich ‐ Switzerland</t>
  </si>
  <si>
    <t>69,45</t>
  </si>
  <si>
    <t>Baltimore ‐ USA</t>
  </si>
  <si>
    <t>54,73</t>
  </si>
  <si>
    <t>Seoul ‐ South Korea</t>
  </si>
  <si>
    <t>69,21</t>
  </si>
  <si>
    <t>San Antonio ‐ USA</t>
  </si>
  <si>
    <t>54,61</t>
  </si>
  <si>
    <t>Munich ‐ Germany</t>
  </si>
  <si>
    <t>68,91</t>
  </si>
  <si>
    <t>Detroit ‐ USA</t>
  </si>
  <si>
    <t>54,53</t>
  </si>
  <si>
    <t>Boston ‐ USA</t>
  </si>
  <si>
    <t>68,28</t>
  </si>
  <si>
    <t>Lisbon ‐ Portugal</t>
  </si>
  <si>
    <t>54,44</t>
  </si>
  <si>
    <t>Hamburg ‐ Germany</t>
  </si>
  <si>
    <t>67,92</t>
  </si>
  <si>
    <t>Valencia ‐ Spain</t>
  </si>
  <si>
    <t>54,37</t>
  </si>
  <si>
    <t>Washington ‐ USA</t>
  </si>
  <si>
    <t>67,30</t>
  </si>
  <si>
    <t>Las Vegas ‐ USA</t>
  </si>
  <si>
    <t>53,91</t>
  </si>
  <si>
    <t>Stockholm ‐ Sweden</t>
  </si>
  <si>
    <t>66,64</t>
  </si>
  <si>
    <t>Marseille ‐ France</t>
  </si>
  <si>
    <t>53,79</t>
  </si>
  <si>
    <t>Melbourne ‐ Australia</t>
  </si>
  <si>
    <t>66,31</t>
  </si>
  <si>
    <t>Tel Aviv ‐ Israel</t>
  </si>
  <si>
    <t>53,29</t>
  </si>
  <si>
    <t>Madrid ‐ Spain</t>
  </si>
  <si>
    <t>66,06</t>
  </si>
  <si>
    <t>Dubai ‐ United Arab Emirates</t>
  </si>
  <si>
    <t>53,28</t>
  </si>
  <si>
    <t>Beijing ‐ China</t>
  </si>
  <si>
    <t>65,88</t>
  </si>
  <si>
    <t>Antwerp ‐ Belgium</t>
  </si>
  <si>
    <t>53,03</t>
  </si>
  <si>
    <t>Vienna ‐ Austria</t>
  </si>
  <si>
    <t>65,86</t>
  </si>
  <si>
    <t>Nice ‐ France</t>
  </si>
  <si>
    <t>52,69</t>
  </si>
  <si>
    <t>Reykjavik ‐ Iceland</t>
  </si>
  <si>
    <t>65,43</t>
  </si>
  <si>
    <t>Osaka ‐ Japan</t>
  </si>
  <si>
    <t>52,39</t>
  </si>
  <si>
    <t>Basel ‐ Switzerland</t>
  </si>
  <si>
    <t>65,14</t>
  </si>
  <si>
    <t>Linz ‐ Austria</t>
  </si>
  <si>
    <t>Rotterdam ‐ Netherlands</t>
  </si>
  <si>
    <t>65,09</t>
  </si>
  <si>
    <t>Nagoya ‐ Japan</t>
  </si>
  <si>
    <t>51,80</t>
  </si>
  <si>
    <t>Helsinki ‐ Finland</t>
  </si>
  <si>
    <t>64,68</t>
  </si>
  <si>
    <t>Budapest ‐ Hungary</t>
  </si>
  <si>
    <t>51,22</t>
  </si>
  <si>
    <t>Taipei ‐ Taiwan</t>
  </si>
  <si>
    <t>64,60</t>
  </si>
  <si>
    <t>Lille ‐ France</t>
  </si>
  <si>
    <t>50,96</t>
  </si>
  <si>
    <t>Sydney ‐ Australia</t>
  </si>
  <si>
    <t>64,32</t>
  </si>
  <si>
    <t>Duisburg ‐ Germany</t>
  </si>
  <si>
    <t>50,85</t>
  </si>
  <si>
    <t>Barcelona ‐ Spain</t>
  </si>
  <si>
    <t>64,17</t>
  </si>
  <si>
    <t>Málaga ‐ Spain</t>
  </si>
  <si>
    <t>50,27</t>
  </si>
  <si>
    <t>Bern ‐ Switzerland</t>
  </si>
  <si>
    <t>64,01</t>
  </si>
  <si>
    <t>Santiago ‐ Chile</t>
  </si>
  <si>
    <t>49,96</t>
  </si>
  <si>
    <t>Seattle ‐ USA</t>
  </si>
  <si>
    <t>63,28</t>
  </si>
  <si>
    <t>Riga ‐ Latvia</t>
  </si>
  <si>
    <t>49,73</t>
  </si>
  <si>
    <t>Edinburgh ‐ United Kingdom</t>
  </si>
  <si>
    <t>63,17</t>
  </si>
  <si>
    <t>Istanbul ‐ Turkey</t>
  </si>
  <si>
    <t>49,71</t>
  </si>
  <si>
    <t>Toronto ‐ Canada</t>
  </si>
  <si>
    <t>62,90</t>
  </si>
  <si>
    <t>Seville ‐ Spain</t>
  </si>
  <si>
    <t>49,62</t>
  </si>
  <si>
    <t>Dublin ‐ Ireland</t>
  </si>
  <si>
    <t>62,49</t>
  </si>
  <si>
    <t>Vilnius ‐ Lithuania</t>
  </si>
  <si>
    <t>49,43</t>
  </si>
  <si>
    <t>Frankfurt ‐ Germany</t>
  </si>
  <si>
    <t>62,43</t>
  </si>
  <si>
    <t>Zaragoza ‐ Spain</t>
  </si>
  <si>
    <t>49,42</t>
  </si>
  <si>
    <t>Manchester ‐ United Kingdom</t>
  </si>
  <si>
    <t>61,35</t>
  </si>
  <si>
    <t>Moscow ‐ Russia</t>
  </si>
  <si>
    <t>49,14</t>
  </si>
  <si>
    <t>Hong Kong ‐ China</t>
  </si>
  <si>
    <t>61,30</t>
  </si>
  <si>
    <t>Palma de Mallorca ‐ Spain</t>
  </si>
  <si>
    <t>48,59</t>
  </si>
  <si>
    <t>Canberra ‐ Australia</t>
  </si>
  <si>
    <t>61,12</t>
  </si>
  <si>
    <t>Wroclaw ‐ Poland</t>
  </si>
  <si>
    <t>48,57</t>
  </si>
  <si>
    <t>Los Angeles ‐ USA</t>
  </si>
  <si>
    <t>61,08</t>
  </si>
  <si>
    <t>Turin ‐ Italy</t>
  </si>
  <si>
    <t>Geneva ‐ Switzerland</t>
  </si>
  <si>
    <t>61,03</t>
  </si>
  <si>
    <t>Bratislava ‐ Slovakia</t>
  </si>
  <si>
    <t>48,01</t>
  </si>
  <si>
    <t>Eindhoven ‐ Netherlands</t>
  </si>
  <si>
    <t>Ljubljana ‐ Slovenia</t>
  </si>
  <si>
    <t>47,91</t>
  </si>
  <si>
    <t>Ottawa ‐ Canada</t>
  </si>
  <si>
    <t>60,37</t>
  </si>
  <si>
    <t>Bilbao ‐ Spain</t>
  </si>
  <si>
    <t>47,66</t>
  </si>
  <si>
    <t>Dallas ‐ USA</t>
  </si>
  <si>
    <t>60,36</t>
  </si>
  <si>
    <t>A Coruña ‐ Spain</t>
  </si>
  <si>
    <t>47,41</t>
  </si>
  <si>
    <t>Shanghai ‐ China</t>
  </si>
  <si>
    <t>60,18</t>
  </si>
  <si>
    <t>Porto ‐ Portugal</t>
  </si>
  <si>
    <t>46,85</t>
  </si>
  <si>
    <t>Austin ‐ USA</t>
  </si>
  <si>
    <t>59,99</t>
  </si>
  <si>
    <t>Zagreb ‐ Croatia</t>
  </si>
  <si>
    <t>46,82</t>
  </si>
  <si>
    <t>Gothenburg ‐ Sweden</t>
  </si>
  <si>
    <t>59,95</t>
  </si>
  <si>
    <t>Kuala Lumpur ‐ Malaysia</t>
  </si>
  <si>
    <t>46,81</t>
  </si>
  <si>
    <t>San Diego ‐ USA</t>
  </si>
  <si>
    <t>59,83</t>
  </si>
  <si>
    <t>Shenzhen ‐ China</t>
  </si>
  <si>
    <t>45,92</t>
  </si>
  <si>
    <t>Houston ‐ USA</t>
  </si>
  <si>
    <t>59,73</t>
  </si>
  <si>
    <t>Florence ‐ Italy</t>
  </si>
  <si>
    <t>45,72</t>
  </si>
  <si>
    <t>Miami ‐ USA</t>
  </si>
  <si>
    <t>59,46</t>
  </si>
  <si>
    <t>Murcia ‐ Spain</t>
  </si>
  <si>
    <t>45,27</t>
  </si>
  <si>
    <t>Prague ‐ Czech Republic</t>
  </si>
  <si>
    <t>59,23</t>
  </si>
  <si>
    <t>Athens ‐ Greece</t>
  </si>
  <si>
    <t>45,06</t>
  </si>
  <si>
    <t>Denver ‐ USA</t>
  </si>
  <si>
    <t>59,16</t>
  </si>
  <si>
    <t>Jerusalem ‐ Israel</t>
  </si>
  <si>
    <t>44,90</t>
  </si>
  <si>
    <t>Cologne ‐ Germany</t>
  </si>
  <si>
    <t>59,15</t>
  </si>
  <si>
    <t>Sofia ‐ Bulgaria</t>
  </si>
  <si>
    <t>44,70</t>
  </si>
  <si>
    <t>Montreal ‐ Canada</t>
  </si>
  <si>
    <t>59,10</t>
  </si>
  <si>
    <t>Bucharest ‐ Romania</t>
  </si>
  <si>
    <t>44,38</t>
  </si>
  <si>
    <t>Wellington ‐ New Zealand</t>
  </si>
  <si>
    <t>59,06</t>
  </si>
  <si>
    <t>Buenos Aires ‐ Argentina</t>
  </si>
  <si>
    <t>43,67</t>
  </si>
  <si>
    <t>Lyon ‐ France</t>
  </si>
  <si>
    <t>59,00</t>
  </si>
  <si>
    <t>Abu Dhabi ‐ United Arab Emirates</t>
  </si>
  <si>
    <t>43,64</t>
  </si>
  <si>
    <t>Vancouver ‐ Canada</t>
  </si>
  <si>
    <t>58,80</t>
  </si>
  <si>
    <t>Guangzhou ‐ China</t>
  </si>
  <si>
    <t>Düsseldorf ‐ Germany</t>
  </si>
  <si>
    <t>58,74</t>
  </si>
  <si>
    <t>Kyiv ‐ Ukraine</t>
  </si>
  <si>
    <t>42,09</t>
  </si>
  <si>
    <t>Stuttgart ‐ Germany</t>
  </si>
  <si>
    <t>58,70</t>
  </si>
  <si>
    <t>Montevideo ‐ Uruguay</t>
  </si>
  <si>
    <t>40,78</t>
  </si>
  <si>
    <t>Birmingham ‐ United Kingdom</t>
  </si>
  <si>
    <t>58,13</t>
  </si>
  <si>
    <t>Mexico City ‐ Mexico</t>
  </si>
  <si>
    <t>40,72</t>
  </si>
  <si>
    <t>Auckland ‐ New Zealand</t>
  </si>
  <si>
    <t>57,93</t>
  </si>
  <si>
    <t>Doha ‐ Qatar</t>
  </si>
  <si>
    <t>40,20</t>
  </si>
  <si>
    <t>Philadelphia ‐ USA</t>
  </si>
  <si>
    <t>57,81</t>
  </si>
  <si>
    <t>Bangkok ‐ Thailand</t>
  </si>
  <si>
    <t>40,02</t>
  </si>
  <si>
    <t>Naples ‐ Italy</t>
  </si>
  <si>
    <t>Brasilia ‐ Brazil</t>
  </si>
  <si>
    <t>27,47</t>
  </si>
  <si>
    <t>Ankara ‐ Turkey</t>
  </si>
  <si>
    <t>39,16</t>
  </si>
  <si>
    <t>Quito ‐ Ecuador</t>
  </si>
  <si>
    <t>27,02</t>
  </si>
  <si>
    <t>Saint Petersburg ‐ Russia</t>
  </si>
  <si>
    <t>39,11</t>
  </si>
  <si>
    <t>Johannesburg ‐ South Africa</t>
  </si>
  <si>
    <t>26,67</t>
  </si>
  <si>
    <t>Tbilisi ‐ Georgia</t>
  </si>
  <si>
    <t>39,01</t>
  </si>
  <si>
    <t>Sarajevo ‐ Bosnia‐Herzegovina</t>
  </si>
  <si>
    <t>25,73</t>
  </si>
  <si>
    <t>Panama ‐ Panama</t>
  </si>
  <si>
    <t>38,31</t>
  </si>
  <si>
    <t>San Jose ‐ Costa Rica</t>
  </si>
  <si>
    <t>25,47</t>
  </si>
  <si>
    <t>São Paulo ‐ Brazil</t>
  </si>
  <si>
    <t>37,81</t>
  </si>
  <si>
    <t>Belo Horizonte ‐ Brazil</t>
  </si>
  <si>
    <t>25,16</t>
  </si>
  <si>
    <t>Belgrade ‐ Serbia</t>
  </si>
  <si>
    <t>37,66</t>
  </si>
  <si>
    <t>Cairo ‐ Egypt</t>
  </si>
  <si>
    <t>24,19</t>
  </si>
  <si>
    <t>Ho Chi Minh City ‐ Vietnam</t>
  </si>
  <si>
    <t>36,58</t>
  </si>
  <si>
    <t>Santo Domingo ‐ Dominican Republi</t>
  </si>
  <si>
    <t>23,90</t>
  </si>
  <si>
    <t>Bogota ‐ Colombia</t>
  </si>
  <si>
    <t>35,62</t>
  </si>
  <si>
    <t>Salvador ‐ Brazil</t>
  </si>
  <si>
    <t>23,89</t>
  </si>
  <si>
    <t>Minsk ‐ Belarus</t>
  </si>
  <si>
    <t>35,19</t>
  </si>
  <si>
    <t>San Salvador ‐ El Salvador</t>
  </si>
  <si>
    <t>23,52</t>
  </si>
  <si>
    <t>Riyadh ‐ Saudi Arabia</t>
  </si>
  <si>
    <t>34,74</t>
  </si>
  <si>
    <t>Asuncion ‐ Paraguay</t>
  </si>
  <si>
    <t>23,26</t>
  </si>
  <si>
    <t>Rio de Janeiro ‐ Brazil</t>
  </si>
  <si>
    <t>33,82</t>
  </si>
  <si>
    <t>Casablanca ‐ Morocco</t>
  </si>
  <si>
    <t>23,05</t>
  </si>
  <si>
    <t>Jakarta ‐ Indonesia</t>
  </si>
  <si>
    <t>33,37</t>
  </si>
  <si>
    <t>Tehran ‐ Iran</t>
  </si>
  <si>
    <t>23,02</t>
  </si>
  <si>
    <t>Almaty ‐ Kazakhstan</t>
  </si>
  <si>
    <t>33,31</t>
  </si>
  <si>
    <t>Guayaquil ‐ Ecuador</t>
  </si>
  <si>
    <t>22,61</t>
  </si>
  <si>
    <t>Medellin ‐ Colombia</t>
  </si>
  <si>
    <t>33,21</t>
  </si>
  <si>
    <t>La Paz ‐ Bolivia</t>
  </si>
  <si>
    <t>22,12</t>
  </si>
  <si>
    <t>Kuwait City ‐ Kuwait</t>
  </si>
  <si>
    <t>32,93</t>
  </si>
  <si>
    <t>Rabat ‐ Morocco</t>
  </si>
  <si>
    <t>22,09</t>
  </si>
  <si>
    <t>Rosario ‐ Argentina</t>
  </si>
  <si>
    <t>32,47</t>
  </si>
  <si>
    <t>Santa Cruz ‐ Bolivia</t>
  </si>
  <si>
    <t>22,04</t>
  </si>
  <si>
    <t>Baku ‐ Azerbaijan</t>
  </si>
  <si>
    <t>31,92</t>
  </si>
  <si>
    <t>Nairobi ‐ Kenya</t>
  </si>
  <si>
    <t>22,01</t>
  </si>
  <si>
    <t>Cape Town ‐ South Africa</t>
  </si>
  <si>
    <t>31,12</t>
  </si>
  <si>
    <t>Kolkata ‐ India</t>
  </si>
  <si>
    <t>21,13</t>
  </si>
  <si>
    <t>Manama ‐ Bahrain</t>
  </si>
  <si>
    <t>31,00</t>
  </si>
  <si>
    <t>Manila ‐ Philippines</t>
  </si>
  <si>
    <t>20,36</t>
  </si>
  <si>
    <t>Astana ‐ Kazakhstan</t>
  </si>
  <si>
    <t>30,86</t>
  </si>
  <si>
    <t>Guatemala City ‐ Guatemala</t>
  </si>
  <si>
    <t>18,12</t>
  </si>
  <si>
    <t>Lima ‐ Peru</t>
  </si>
  <si>
    <t>30,33</t>
  </si>
  <si>
    <t>Douala ‐ Cameroon</t>
  </si>
  <si>
    <t>17,02</t>
  </si>
  <si>
    <t>Bangalore ‐ India</t>
  </si>
  <si>
    <t>Accra ‐ Ghana</t>
  </si>
  <si>
    <t>14,75</t>
  </si>
  <si>
    <t>Tianjin ‐ China</t>
  </si>
  <si>
    <t>29,83</t>
  </si>
  <si>
    <t>Kampala ‐ Uganda</t>
  </si>
  <si>
    <t>13,65</t>
  </si>
  <si>
    <t>Cordoba ‐ Argentina</t>
  </si>
  <si>
    <t>29,78</t>
  </si>
  <si>
    <t>Lahore ‐ Pakistan</t>
  </si>
  <si>
    <t>13,18</t>
  </si>
  <si>
    <t>Curitiba ‐ Brazil</t>
  </si>
  <si>
    <t>29,52</t>
  </si>
  <si>
    <t>Karachi ‐ Pakistan</t>
  </si>
  <si>
    <t>10,90</t>
  </si>
  <si>
    <t>Delhi ‐ India</t>
  </si>
  <si>
    <t>29,12</t>
  </si>
  <si>
    <t>Caracas ‐ Venezuela</t>
  </si>
  <si>
    <t>10,61</t>
  </si>
  <si>
    <t>Skopje ‐ Macedonia</t>
  </si>
  <si>
    <t>29,02</t>
  </si>
  <si>
    <t>Lagos ‐ Nigeria</t>
  </si>
  <si>
    <t>4,77</t>
  </si>
  <si>
    <t>Cali ‐ Colombia</t>
  </si>
  <si>
    <t>28,99</t>
  </si>
  <si>
    <t>Mumbai ‐ India</t>
  </si>
  <si>
    <t>28,90</t>
  </si>
  <si>
    <t>Novosibirsk ‐ Russia</t>
  </si>
  <si>
    <t>28,55</t>
  </si>
  <si>
    <t>Tunis ‐ Tunisia</t>
  </si>
  <si>
    <t>27,76</t>
  </si>
  <si>
    <t>Amman ‐ Jordan</t>
  </si>
  <si>
    <t>Purchasing Power Index</t>
  </si>
  <si>
    <t>Very High</t>
  </si>
  <si>
    <t>Safety Index</t>
  </si>
  <si>
    <t>Moderate</t>
  </si>
  <si>
    <t>Health Care Index</t>
  </si>
  <si>
    <t>High</t>
  </si>
  <si>
    <t>Climate Index</t>
  </si>
  <si>
    <t>Cost of Living Index</t>
  </si>
  <si>
    <t>Property Price to Income Ratio</t>
  </si>
  <si>
    <t>Very Low</t>
  </si>
  <si>
    <t>Traffic Commute Time Index</t>
  </si>
  <si>
    <t>Pollution Index</t>
  </si>
  <si>
    <t>ƒ Quality of Life Index:</t>
  </si>
  <si>
    <t>Low</t>
  </si>
  <si>
    <t>Numbeo Quality of Life Index</t>
  </si>
  <si>
    <t>Dallas</t>
  </si>
  <si>
    <t>Austin</t>
  </si>
  <si>
    <t>San Diego</t>
  </si>
  <si>
    <t>Houston</t>
  </si>
  <si>
    <t>Miami</t>
  </si>
  <si>
    <t>Baltimore</t>
  </si>
  <si>
    <t>San Antonio</t>
  </si>
  <si>
    <t>Detroit</t>
  </si>
  <si>
    <t>Las Vegas</t>
  </si>
  <si>
    <t>USNews Rank</t>
  </si>
  <si>
    <t>USNews overall</t>
  </si>
  <si>
    <t>USNews QoL</t>
  </si>
  <si>
    <t>Numbeo QoL Score</t>
  </si>
  <si>
    <t>IESE Rank 2014</t>
  </si>
  <si>
    <t>IESE Score 2014</t>
  </si>
  <si>
    <t>IESE Rank 2024</t>
  </si>
  <si>
    <t>IESE Score 2024</t>
  </si>
  <si>
    <t>USNews QoL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</si>
</sst>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#,##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F7981D"/>
      <name val="Arial"/>
      <scheme val="minor"/>
    </font>
    <font>
      <i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1" xfId="0" applyAlignment="1" applyFont="1" applyNumberFormat="1">
      <alignment readingOrder="0" shrinkToFit="0" wrapText="1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</cellXfs>
  <cellStyles count="1">
    <cellStyle xfId="0" name="Normal" builtinId="0"/>
  </cellStyles>
  <dxfs count="2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2" width="18.88"/>
  </cols>
  <sheetData>
    <row r="1">
      <c r="A1" s="1" t="s">
        <v>0</v>
      </c>
    </row>
    <row r="2">
      <c r="A2" s="1" t="s">
        <v>1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78.3</v>
      </c>
    </row>
    <row r="3">
      <c r="A3" s="1" t="s">
        <v>2</v>
      </c>
      <c r="B3" s="2" t="str">
        <f t="shared" si="1"/>
        <v>road congestion</v>
      </c>
      <c r="C3" s="2" t="str">
        <f t="shared" si="2"/>
        <v>58.8</v>
      </c>
    </row>
    <row r="4">
      <c r="A4" s="1" t="s">
        <v>3</v>
      </c>
      <c r="B4" s="2" t="str">
        <f t="shared" si="1"/>
        <v>public transport</v>
      </c>
      <c r="C4" s="2" t="str">
        <f t="shared" si="2"/>
        <v>44.3</v>
      </c>
    </row>
    <row r="5">
      <c r="A5" s="1" t="s">
        <v>4</v>
      </c>
      <c r="B5" s="2" t="str">
        <f t="shared" si="1"/>
        <v>security</v>
      </c>
      <c r="C5" s="2" t="str">
        <f t="shared" si="2"/>
        <v>40.7</v>
      </c>
    </row>
    <row r="6">
      <c r="A6" s="1" t="s">
        <v>5</v>
      </c>
      <c r="B6" s="2" t="str">
        <f t="shared" si="1"/>
        <v>unemployment</v>
      </c>
      <c r="C6" s="2" t="str">
        <f t="shared" si="2"/>
        <v>30.7</v>
      </c>
    </row>
    <row r="7">
      <c r="A7" s="1" t="s">
        <v>6</v>
      </c>
      <c r="B7" s="2" t="str">
        <f t="shared" si="1"/>
        <v>fulfilling employment</v>
      </c>
      <c r="C7" s="2" t="str">
        <f t="shared" si="2"/>
        <v>29.3</v>
      </c>
    </row>
    <row r="8">
      <c r="A8" s="1" t="s">
        <v>7</v>
      </c>
      <c r="B8" s="2" t="str">
        <f t="shared" si="1"/>
        <v>health services</v>
      </c>
      <c r="C8" s="2" t="str">
        <f t="shared" si="2"/>
        <v>28.3</v>
      </c>
    </row>
    <row r="9">
      <c r="A9" s="1" t="s">
        <v>8</v>
      </c>
      <c r="B9" s="2" t="str">
        <f t="shared" si="1"/>
        <v>school education</v>
      </c>
      <c r="C9" s="2" t="str">
        <f t="shared" si="2"/>
        <v>27.5</v>
      </c>
    </row>
    <row r="10">
      <c r="A10" s="1" t="s">
        <v>9</v>
      </c>
      <c r="B10" s="2" t="str">
        <f t="shared" si="1"/>
        <v>corruption</v>
      </c>
      <c r="C10" s="2" t="str">
        <f t="shared" si="2"/>
        <v>25.0</v>
      </c>
    </row>
    <row r="11">
      <c r="A11" s="1" t="s">
        <v>10</v>
      </c>
      <c r="B11" s="2" t="str">
        <f t="shared" si="1"/>
        <v>air pollution</v>
      </c>
      <c r="C11" s="2" t="str">
        <f t="shared" si="2"/>
        <v>23.5</v>
      </c>
    </row>
    <row r="12">
      <c r="A12" s="1" t="s">
        <v>11</v>
      </c>
      <c r="B12" s="2" t="str">
        <f t="shared" si="1"/>
        <v>social mobility</v>
      </c>
      <c r="C12" s="2" t="str">
        <f t="shared" si="2"/>
        <v>17.8</v>
      </c>
    </row>
    <row r="13">
      <c r="A13" s="1" t="s">
        <v>12</v>
      </c>
      <c r="B13" s="2" t="str">
        <f t="shared" si="1"/>
        <v>recycling</v>
      </c>
      <c r="C13" s="2" t="str">
        <f t="shared" si="2"/>
        <v>15.1</v>
      </c>
    </row>
    <row r="14">
      <c r="A14" s="1" t="s">
        <v>13</v>
      </c>
      <c r="B14" s="2" t="str">
        <f t="shared" si="1"/>
        <v>basic amenities</v>
      </c>
      <c r="C14" s="2" t="str">
        <f t="shared" si="2"/>
        <v>15.1</v>
      </c>
    </row>
    <row r="15">
      <c r="A15" s="1" t="s">
        <v>14</v>
      </c>
      <c r="B15" s="2" t="str">
        <f t="shared" si="1"/>
        <v>green spaces</v>
      </c>
      <c r="C15" s="2" t="str">
        <f t="shared" si="2"/>
        <v>14.8</v>
      </c>
    </row>
    <row r="16">
      <c r="A16" s="1" t="s">
        <v>15</v>
      </c>
      <c r="B16" s="2" t="str">
        <f t="shared" si="1"/>
        <v>citizen engagement</v>
      </c>
      <c r="C16" s="2" t="str">
        <f t="shared" si="2"/>
        <v>10.1</v>
      </c>
    </row>
    <row r="17">
      <c r="A17" s="1" t="s">
        <v>16</v>
      </c>
    </row>
    <row r="18">
      <c r="A18" s="1" t="s">
        <v>17</v>
      </c>
      <c r="B18" s="2" t="str">
        <f>IFERROR(__xludf.DUMMYFUNCTION("REGEXEXTRACT(A18, ""\d{1,2}\.\d"")"),"59.8")</f>
        <v>59.8</v>
      </c>
    </row>
    <row r="19">
      <c r="A19" s="1" t="s">
        <v>18</v>
      </c>
      <c r="B19" s="2" t="str">
        <f>IFERROR(__xludf.DUMMYFUNCTION("REGEXEXTRACT(A19, ""\d{1,2}\.\d"")"),"68.2")</f>
        <v>68.2</v>
      </c>
    </row>
    <row r="20">
      <c r="A20" s="1" t="s">
        <v>19</v>
      </c>
      <c r="B20" s="2" t="str">
        <f>IFERROR(__xludf.DUMMYFUNCTION("REGEXEXTRACT(A20, ""\d{1,2}\.\d"")"),"41.2")</f>
        <v>41.2</v>
      </c>
    </row>
    <row r="21">
      <c r="A21" s="1" t="s">
        <v>20</v>
      </c>
      <c r="B21" s="2" t="str">
        <f>IFERROR(__xludf.DUMMYFUNCTION("REGEXEXTRACT(A21, ""\d{1,2}\.\d"")"),"46.1")</f>
        <v>46.1</v>
      </c>
    </row>
    <row r="22">
      <c r="A22" s="1" t="s">
        <v>21</v>
      </c>
      <c r="B22" s="2" t="str">
        <f>IFERROR(__xludf.DUMMYFUNCTION("REGEXEXTRACT(A22, ""\d{1,2}\.\d"")"),"74.0")</f>
        <v>74.0</v>
      </c>
    </row>
    <row r="23">
      <c r="A23" s="1" t="s">
        <v>22</v>
      </c>
      <c r="B23" s="2" t="str">
        <f>IFERROR(__xludf.DUMMYFUNCTION("REGEXEXTRACT(A23, ""\d{1,2}\.\d"")"),"27.6")</f>
        <v>27.6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24</v>
      </c>
      <c r="B25" s="2" t="str">
        <f>IFERROR(__xludf.DUMMYFUNCTION("REGEXEXTRACT(A25, ""\d{1,2}\.\d"")"),"21.2")</f>
        <v>21.2</v>
      </c>
    </row>
    <row r="26">
      <c r="A26" s="1" t="s">
        <v>25</v>
      </c>
      <c r="B26" s="2" t="str">
        <f>IFERROR(__xludf.DUMMYFUNCTION("REGEXEXTRACT(A26, ""\d{1,2}\.\d"")"),"43.4")</f>
        <v>43.4</v>
      </c>
    </row>
    <row r="27">
      <c r="A27" s="1" t="s">
        <v>26</v>
      </c>
      <c r="B27" s="2" t="str">
        <f>IFERROR(__xludf.DUMMYFUNCTION("REGEXEXTRACT(A27, ""\d{1,2}\.\d"")"),"#N/A")</f>
        <v>#N/A</v>
      </c>
    </row>
    <row r="28">
      <c r="A28" s="1" t="s">
        <v>27</v>
      </c>
      <c r="B28" s="2" t="str">
        <f>IFERROR(__xludf.DUMMYFUNCTION("REGEXEXTRACT(A28, ""\d{1,2}\.\d"")"),"67.7")</f>
        <v>67.7</v>
      </c>
    </row>
    <row r="29">
      <c r="A29" s="1" t="s">
        <v>28</v>
      </c>
      <c r="B29" s="2" t="str">
        <f>IFERROR(__xludf.DUMMYFUNCTION("REGEXEXTRACT(A29, ""\d{1,2}\.\d"")"),"81.5")</f>
        <v>81.5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30</v>
      </c>
      <c r="B31" s="2" t="str">
        <f>IFERROR(__xludf.DUMMYFUNCTION("REGEXEXTRACT(A31, ""\d{1,2}\.\d"")"),"67.6")</f>
        <v>67.6</v>
      </c>
    </row>
    <row r="32">
      <c r="A32" s="1" t="s">
        <v>31</v>
      </c>
      <c r="B32" s="2" t="str">
        <f>IFERROR(__xludf.DUMMYFUNCTION("REGEXEXTRACT(A32, ""\d{1,2}\.\d"")"),"61.1")</f>
        <v>61.1</v>
      </c>
    </row>
    <row r="33">
      <c r="A33" s="1" t="s">
        <v>32</v>
      </c>
      <c r="B33" s="2" t="str">
        <f>IFERROR(__xludf.DUMMYFUNCTION("REGEXEXTRACT(A33, ""\d{1,2}\.\d"")"),"66.4")</f>
        <v>66.4</v>
      </c>
    </row>
    <row r="34">
      <c r="A34" s="1" t="s">
        <v>33</v>
      </c>
      <c r="B34" s="2" t="str">
        <f>IFERROR(__xludf.DUMMYFUNCTION("REGEXEXTRACT(A34, ""\d{1,2}\.\d"")"),"70.1")</f>
        <v>70.1</v>
      </c>
    </row>
    <row r="35">
      <c r="A35" s="1" t="s">
        <v>34</v>
      </c>
      <c r="B35" s="2" t="str">
        <f>IFERROR(__xludf.DUMMYFUNCTION("REGEXEXTRACT(A35, ""\d{1,2}\.\d"")"),"60.9")</f>
        <v>60.9</v>
      </c>
    </row>
    <row r="36">
      <c r="A36" s="1" t="s">
        <v>35</v>
      </c>
      <c r="B36" s="2" t="str">
        <f>IFERROR(__xludf.DUMMYFUNCTION("REGEXEXTRACT(A36, ""\d{1,2}\.\d"")"),"#N/A")</f>
        <v>#N/A</v>
      </c>
    </row>
    <row r="37">
      <c r="A37" s="1" t="s">
        <v>36</v>
      </c>
      <c r="B37" s="2" t="str">
        <f>IFERROR(__xludf.DUMMYFUNCTION("REGEXEXTRACT(A37, ""\d{1,2}\.\d"")"),"67.0")</f>
        <v>67.0</v>
      </c>
    </row>
    <row r="38">
      <c r="A38" s="1" t="s">
        <v>37</v>
      </c>
      <c r="B38" s="2" t="str">
        <f>IFERROR(__xludf.DUMMYFUNCTION("REGEXEXTRACT(A38, ""\d{1,2}\.\d"")"),"43.7")</f>
        <v>43.7</v>
      </c>
    </row>
    <row r="39">
      <c r="A39" s="1" t="s">
        <v>38</v>
      </c>
      <c r="B39" s="2" t="str">
        <f>IFERROR(__xludf.DUMMYFUNCTION("REGEXEXTRACT(A39, ""\d{1,2}\.\d"")"),"52.0")</f>
        <v>52.0</v>
      </c>
    </row>
    <row r="40">
      <c r="A40" s="1" t="s">
        <v>39</v>
      </c>
      <c r="B40" s="2" t="str">
        <f>IFERROR(__xludf.DUMMYFUNCTION("REGEXEXTRACT(A40, ""\d{1,2}\.\d"")"),"62.1")</f>
        <v>62.1</v>
      </c>
    </row>
    <row r="41">
      <c r="A41" s="1" t="s">
        <v>40</v>
      </c>
      <c r="B41" s="2" t="str">
        <f>IFERROR(__xludf.DUMMYFUNCTION("REGEXEXTRACT(A41, ""\d{1,2}\.\d"")"),"#N/A")</f>
        <v>#N/A</v>
      </c>
    </row>
    <row r="42">
      <c r="A42" s="1" t="s">
        <v>41</v>
      </c>
      <c r="B42" s="2" t="str">
        <f>IFERROR(__xludf.DUMMYFUNCTION("REGEXEXTRACT(A42, ""\d{1,2}\.\d"")"),"41.5")</f>
        <v>41.5</v>
      </c>
    </row>
    <row r="43">
      <c r="A43" s="1" t="s">
        <v>42</v>
      </c>
      <c r="B43" s="2" t="str">
        <f>IFERROR(__xludf.DUMMYFUNCTION("REGEXEXTRACT(A43, ""\d{1,2}\.\d"")"),"60.1")</f>
        <v>60.1</v>
      </c>
    </row>
    <row r="44">
      <c r="A44" s="1" t="s">
        <v>43</v>
      </c>
      <c r="B44" s="2" t="str">
        <f>IFERROR(__xludf.DUMMYFUNCTION("REGEXEXTRACT(A44, ""\d{1,2}\.\d"")"),"54.0")</f>
        <v>54.0</v>
      </c>
    </row>
    <row r="45">
      <c r="A45" s="1" t="s">
        <v>44</v>
      </c>
      <c r="B45" s="2" t="str">
        <f>IFERROR(__xludf.DUMMYFUNCTION("REGEXEXTRACT(A45, ""\d{1,2}\.\d"")"),"43.9")</f>
        <v>43.9</v>
      </c>
    </row>
    <row r="46">
      <c r="A46" s="1" t="s">
        <v>45</v>
      </c>
      <c r="B46" s="2" t="str">
        <f>IFERROR(__xludf.DUMMYFUNCTION("REGEXEXTRACT(A46, ""\d{1,2}\.\d"")"),"33.3")</f>
        <v>33.3</v>
      </c>
    </row>
    <row r="47">
      <c r="A47" s="1" t="s">
        <v>46</v>
      </c>
      <c r="B47" s="2" t="str">
        <f>IFERROR(__xludf.DUMMYFUNCTION("REGEXEXTRACT(A47, ""\d{1,2}\.\d"")"),"67.2")</f>
        <v>67.2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47</v>
      </c>
      <c r="B49" s="2" t="str">
        <f>IFERROR(__xludf.DUMMYFUNCTION("REGEXEXTRACT(A49, ""\d{1,2}\.\d"")"),"40.7")</f>
        <v>40.7</v>
      </c>
    </row>
    <row r="50">
      <c r="A50" s="1" t="s">
        <v>48</v>
      </c>
      <c r="B50" s="2" t="str">
        <f>IFERROR(__xludf.DUMMYFUNCTION("REGEXEXTRACT(A50, ""\d{1,2}\.\d"")"),"46.5")</f>
        <v>46.5</v>
      </c>
    </row>
    <row r="51">
      <c r="A51" s="1" t="s">
        <v>49</v>
      </c>
      <c r="B51" s="2" t="str">
        <f>IFERROR(__xludf.DUMMYFUNCTION("REGEXEXTRACT(A51, ""\d{1,2}\.\d"")"),"44.7")</f>
        <v>44.7</v>
      </c>
    </row>
    <row r="52">
      <c r="A52" s="1" t="s">
        <v>50</v>
      </c>
      <c r="B52" s="2" t="str">
        <f>IFERROR(__xludf.DUMMYFUNCTION("REGEXEXTRACT(A52, ""\d{1,2}\.\d"")"),"55.6")</f>
        <v>55.6</v>
      </c>
    </row>
    <row r="53">
      <c r="A53" s="1" t="s">
        <v>51</v>
      </c>
      <c r="B53" s="2" t="str">
        <f>IFERROR(__xludf.DUMMYFUNCTION("REGEXEXTRACT(A53, ""\d{1,2}\.\d"")"),"56.4")</f>
        <v>56.4</v>
      </c>
    </row>
    <row r="54">
      <c r="A54" s="1" t="s">
        <v>26</v>
      </c>
      <c r="B54" s="2" t="str">
        <f>IFERROR(__xludf.DUMMYFUNCTION("REGEXEXTRACT(A54, ""\d{1,2}\.\d"")"),"#N/A")</f>
        <v>#N/A</v>
      </c>
    </row>
    <row r="55">
      <c r="A55" s="1" t="s">
        <v>52</v>
      </c>
      <c r="B55" s="2" t="str">
        <f>IFERROR(__xludf.DUMMYFUNCTION("REGEXEXTRACT(A55, ""\d{1,2}\.\d"")"),"76.0")</f>
        <v>76.0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53</v>
      </c>
      <c r="B57" s="2" t="str">
        <f>IFERROR(__xludf.DUMMYFUNCTION("REGEXEXTRACT(A57, ""\d{1,2}\.\d"")"),"69.7")</f>
        <v>69.7</v>
      </c>
    </row>
    <row r="58">
      <c r="A58" s="1" t="s">
        <v>54</v>
      </c>
      <c r="B58" s="2" t="str">
        <f>IFERROR(__xludf.DUMMYFUNCTION("REGEXEXTRACT(A58, ""\d{1,2}\.\d"")"),"50.9")</f>
        <v>50.9</v>
      </c>
    </row>
    <row r="59">
      <c r="A59" s="1" t="s">
        <v>55</v>
      </c>
      <c r="B59" s="2" t="str">
        <f>IFERROR(__xludf.DUMMYFUNCTION("REGEXEXTRACT(A59, ""\d{1,2}\.\d"")"),"47.9")</f>
        <v>47.9</v>
      </c>
    </row>
    <row r="60">
      <c r="A60" s="1" t="s">
        <v>56</v>
      </c>
      <c r="B60" s="2" t="str">
        <f>IFERROR(__xludf.DUMMYFUNCTION("REGEXEXTRACT(A60, ""\d{1,2}\.\d"")"),"67.4")</f>
        <v>67.4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57</v>
      </c>
      <c r="B62" s="2" t="str">
        <f>IFERROR(__xludf.DUMMYFUNCTION("REGEXEXTRACT(A62, ""\d{1,2}\.\d"")"),"41.1")</f>
        <v>41.1</v>
      </c>
    </row>
    <row r="63">
      <c r="A63" s="1" t="s">
        <v>58</v>
      </c>
      <c r="B63" s="2" t="str">
        <f>IFERROR(__xludf.DUMMYFUNCTION("REGEXEXTRACT(A63, ""\d{1,2}\.\d"")"),"52.1")</f>
        <v>52.1</v>
      </c>
    </row>
    <row r="64">
      <c r="A64" s="1" t="s">
        <v>59</v>
      </c>
      <c r="B64" s="2" t="str">
        <f>IFERROR(__xludf.DUMMYFUNCTION("REGEXEXTRACT(A64, ""\d{1,2}\.\d"")"),"47.2")</f>
        <v>47.2</v>
      </c>
    </row>
    <row r="65">
      <c r="A65" s="1" t="s">
        <v>60</v>
      </c>
      <c r="B65" s="2" t="str">
        <f>IFERROR(__xludf.DUMMYFUNCTION("REGEXEXTRACT(A65, ""\d{1,2}\.\d"")"),"54.9")</f>
        <v>54.9</v>
      </c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conditionalFormatting sqref="A1:A1000">
    <cfRule type="expression" dxfId="0" priority="1">
      <formula>NOT(REGEXMATCH(TO_TEXT(A1), "\d+\.\d$|\d+\.\d%$"))</formula>
    </cfRule>
  </conditionalFormatting>
  <conditionalFormatting sqref="A1:A1000">
    <cfRule type="expression" dxfId="1" priority="2">
      <formula>AND(NOT(REGEXMATCH(TO_TEXT(A1), " - \d+\.\d%$")),REGEXMATCH(TO_TEXT(A1), "%$"))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2" max="2" width="16.13"/>
  </cols>
  <sheetData>
    <row r="1">
      <c r="A1" s="1" t="s">
        <v>61</v>
      </c>
    </row>
    <row r="2">
      <c r="A2" s="1" t="s">
        <v>62</v>
      </c>
      <c r="B2" s="2" t="str">
        <f t="shared" ref="B2:B16" si="1">mid(A2, 1, find(" - ", A2)-1)</f>
        <v>security</v>
      </c>
      <c r="C2" s="2" t="str">
        <f t="shared" ref="C2:C16" si="2">mid(A2, find(" - ", A2) + 3, len(A2) - find(" - ", A2) - 3)</f>
        <v>61.7</v>
      </c>
    </row>
    <row r="3">
      <c r="A3" s="1" t="s">
        <v>63</v>
      </c>
      <c r="B3" s="2" t="str">
        <f t="shared" si="1"/>
        <v>affordable housing</v>
      </c>
      <c r="C3" s="2" t="str">
        <f t="shared" si="2"/>
        <v>61.3</v>
      </c>
    </row>
    <row r="4">
      <c r="A4" s="1" t="s">
        <v>64</v>
      </c>
      <c r="B4" s="2" t="str">
        <f t="shared" si="1"/>
        <v>health services</v>
      </c>
      <c r="C4" s="2" t="str">
        <f t="shared" si="2"/>
        <v>45.8</v>
      </c>
    </row>
    <row r="5">
      <c r="A5" s="1" t="s">
        <v>65</v>
      </c>
      <c r="B5" s="2" t="str">
        <f t="shared" si="1"/>
        <v>corruption</v>
      </c>
      <c r="C5" s="2" t="str">
        <f t="shared" si="2"/>
        <v>41.4</v>
      </c>
    </row>
    <row r="6">
      <c r="A6" s="1" t="s">
        <v>66</v>
      </c>
      <c r="B6" s="2" t="str">
        <f t="shared" si="1"/>
        <v>school education</v>
      </c>
      <c r="C6" s="2" t="str">
        <f t="shared" si="2"/>
        <v>37.8</v>
      </c>
    </row>
    <row r="7">
      <c r="A7" s="1" t="s">
        <v>67</v>
      </c>
      <c r="B7" s="2" t="str">
        <f t="shared" si="1"/>
        <v>unemployment</v>
      </c>
      <c r="C7" s="2" t="str">
        <f t="shared" si="2"/>
        <v>37.5</v>
      </c>
    </row>
    <row r="8">
      <c r="A8" s="1" t="s">
        <v>68</v>
      </c>
      <c r="B8" s="2" t="str">
        <f t="shared" si="1"/>
        <v>fulfilling employment</v>
      </c>
      <c r="C8" s="2" t="str">
        <f t="shared" si="2"/>
        <v>33.2</v>
      </c>
    </row>
    <row r="9">
      <c r="A9" s="1" t="s">
        <v>69</v>
      </c>
      <c r="B9" s="2" t="str">
        <f t="shared" si="1"/>
        <v>road congestion</v>
      </c>
      <c r="C9" s="2" t="str">
        <f t="shared" si="2"/>
        <v>33.1</v>
      </c>
    </row>
    <row r="10">
      <c r="A10" s="1" t="s">
        <v>70</v>
      </c>
      <c r="B10" s="2" t="str">
        <f t="shared" si="1"/>
        <v>air pollution</v>
      </c>
      <c r="C10" s="2" t="str">
        <f t="shared" si="2"/>
        <v>22.2</v>
      </c>
    </row>
    <row r="11">
      <c r="A11" s="1" t="s">
        <v>71</v>
      </c>
      <c r="B11" s="2" t="str">
        <f t="shared" si="1"/>
        <v>public transport</v>
      </c>
      <c r="C11" s="2" t="str">
        <f t="shared" si="2"/>
        <v>21.5</v>
      </c>
    </row>
    <row r="12">
      <c r="A12" s="1" t="s">
        <v>72</v>
      </c>
      <c r="B12" s="2" t="str">
        <f t="shared" si="1"/>
        <v>basic amenities</v>
      </c>
      <c r="C12" s="2" t="str">
        <f t="shared" si="2"/>
        <v>17.5</v>
      </c>
    </row>
    <row r="13">
      <c r="A13" s="1" t="s">
        <v>73</v>
      </c>
      <c r="B13" s="2" t="str">
        <f t="shared" si="1"/>
        <v>social mobility</v>
      </c>
      <c r="C13" s="2" t="str">
        <f t="shared" si="2"/>
        <v>14.3</v>
      </c>
    </row>
    <row r="14">
      <c r="A14" s="1" t="s">
        <v>74</v>
      </c>
      <c r="B14" s="2" t="str">
        <f t="shared" si="1"/>
        <v>recycling</v>
      </c>
      <c r="C14" s="2" t="str">
        <f t="shared" si="2"/>
        <v>12.9</v>
      </c>
    </row>
    <row r="15">
      <c r="A15" s="1" t="s">
        <v>75</v>
      </c>
      <c r="B15" s="2" t="str">
        <f t="shared" si="1"/>
        <v>green spaces</v>
      </c>
      <c r="C15" s="2" t="str">
        <f t="shared" si="2"/>
        <v>12.2</v>
      </c>
    </row>
    <row r="16">
      <c r="A16" s="1" t="s">
        <v>76</v>
      </c>
      <c r="B16" s="2" t="str">
        <f t="shared" si="1"/>
        <v>citizen engagement</v>
      </c>
      <c r="C16" s="2" t="str">
        <f t="shared" si="2"/>
        <v>11.5</v>
      </c>
    </row>
    <row r="17">
      <c r="A17" s="1" t="s">
        <v>77</v>
      </c>
    </row>
    <row r="18">
      <c r="A18" s="1" t="s">
        <v>78</v>
      </c>
      <c r="B18" s="2" t="str">
        <f>IFERROR(__xludf.DUMMYFUNCTION("REGEXEXTRACT(A18, ""\d{1,2}\.\d"")"),"51.3")</f>
        <v>51.3</v>
      </c>
    </row>
    <row r="19">
      <c r="A19" s="1" t="s">
        <v>79</v>
      </c>
      <c r="B19" s="2" t="str">
        <f>IFERROR(__xludf.DUMMYFUNCTION("REGEXEXTRACT(A19, ""\d{1,2}\.\d"")"),"60.5")</f>
        <v>60.5</v>
      </c>
    </row>
    <row r="20">
      <c r="A20" s="1" t="s">
        <v>80</v>
      </c>
      <c r="B20" s="2" t="str">
        <f>IFERROR(__xludf.DUMMYFUNCTION("REGEXEXTRACT(A20, ""\d{1,2}\.\d"")"),"28.7")</f>
        <v>28.7</v>
      </c>
    </row>
    <row r="21">
      <c r="A21" s="1" t="s">
        <v>81</v>
      </c>
      <c r="B21" s="2" t="str">
        <f>IFERROR(__xludf.DUMMYFUNCTION("REGEXEXTRACT(A21, ""\d{1,2}\.\d"")"),"34.8")</f>
        <v>34.8</v>
      </c>
    </row>
    <row r="22">
      <c r="A22" s="1" t="s">
        <v>82</v>
      </c>
      <c r="B22" s="2" t="str">
        <f>IFERROR(__xludf.DUMMYFUNCTION("REGEXEXTRACT(A22, ""\d{1,2}\.\d"")"),"55.6")</f>
        <v>55.6</v>
      </c>
    </row>
    <row r="23">
      <c r="A23" s="1" t="s">
        <v>83</v>
      </c>
      <c r="B23" s="2" t="str">
        <f>IFERROR(__xludf.DUMMYFUNCTION("REGEXEXTRACT(A23, ""\d{1,2}\.\d"")"),"36.3")</f>
        <v>36.3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84</v>
      </c>
      <c r="B25" s="2" t="str">
        <f>IFERROR(__xludf.DUMMYFUNCTION("REGEXEXTRACT(A25, ""\d{1,2}\.\d"")"),"27.9")</f>
        <v>27.9</v>
      </c>
    </row>
    <row r="26">
      <c r="A26" s="1" t="s">
        <v>85</v>
      </c>
      <c r="B26" s="2" t="str">
        <f>IFERROR(__xludf.DUMMYFUNCTION("REGEXEXTRACT(A26, ""\d{1,2}\.\d"")"),"54.0")</f>
        <v>54.0</v>
      </c>
    </row>
    <row r="27">
      <c r="A27" s="1" t="s">
        <v>26</v>
      </c>
      <c r="B27" s="2" t="str">
        <f>IFERROR(__xludf.DUMMYFUNCTION("REGEXEXTRACT(A27, ""\d{1,2}\.\d"")"),"#N/A")</f>
        <v>#N/A</v>
      </c>
    </row>
    <row r="28">
      <c r="A28" s="1" t="s">
        <v>86</v>
      </c>
      <c r="B28" s="2" t="str">
        <f>IFERROR(__xludf.DUMMYFUNCTION("REGEXEXTRACT(A28, ""\d{1,2}\.\d"")"),"63.0")</f>
        <v>63.0</v>
      </c>
    </row>
    <row r="29">
      <c r="A29" s="1" t="s">
        <v>87</v>
      </c>
      <c r="B29" s="2" t="str">
        <f>IFERROR(__xludf.DUMMYFUNCTION("REGEXEXTRACT(A29, ""\d{1,2}\.\d"")"),"77.1")</f>
        <v>77.1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88</v>
      </c>
      <c r="B31" s="2" t="str">
        <f>IFERROR(__xludf.DUMMYFUNCTION("REGEXEXTRACT(A31, ""\d{1,2}\.\d"")"),"63.6")</f>
        <v>63.6</v>
      </c>
    </row>
    <row r="32">
      <c r="A32" s="1" t="s">
        <v>89</v>
      </c>
      <c r="B32" s="2" t="str">
        <f>IFERROR(__xludf.DUMMYFUNCTION("REGEXEXTRACT(A32, ""\d{1,2}\.\d"")"),"50.1")</f>
        <v>50.1</v>
      </c>
    </row>
    <row r="33">
      <c r="A33" s="1" t="s">
        <v>90</v>
      </c>
      <c r="B33" s="2" t="str">
        <f>IFERROR(__xludf.DUMMYFUNCTION("REGEXEXTRACT(A33, ""\d{1,2}\.\d"")"),"54.5")</f>
        <v>54.5</v>
      </c>
    </row>
    <row r="34">
      <c r="A34" s="1" t="s">
        <v>91</v>
      </c>
      <c r="B34" s="2" t="str">
        <f>IFERROR(__xludf.DUMMYFUNCTION("REGEXEXTRACT(A34, ""\d{1,2}\.\d"")"),"62.8")</f>
        <v>62.8</v>
      </c>
    </row>
    <row r="35">
      <c r="A35" s="1" t="s">
        <v>92</v>
      </c>
      <c r="B35" s="2" t="str">
        <f>IFERROR(__xludf.DUMMYFUNCTION("REGEXEXTRACT(A35, ""\d{1,2}\.\d"")"),"60.4")</f>
        <v>60.4</v>
      </c>
    </row>
    <row r="36">
      <c r="A36" s="1" t="s">
        <v>93</v>
      </c>
      <c r="B36" s="2" t="str">
        <f>IFERROR(__xludf.DUMMYFUNCTION("REGEXEXTRACT(A36, ""\d{1,2}\.\d"")"),"#N/A")</f>
        <v>#N/A</v>
      </c>
    </row>
    <row r="37">
      <c r="A37" s="1" t="s">
        <v>94</v>
      </c>
      <c r="B37" s="2" t="str">
        <f>IFERROR(__xludf.DUMMYFUNCTION("REGEXEXTRACT(A37, ""\d{1,2}\.\d"")"),"60.1")</f>
        <v>60.1</v>
      </c>
    </row>
    <row r="38">
      <c r="A38" s="1" t="s">
        <v>95</v>
      </c>
      <c r="B38" s="2" t="str">
        <f>IFERROR(__xludf.DUMMYFUNCTION("REGEXEXTRACT(A38, ""\d{1,2}\.\d"")"),"28.1")</f>
        <v>28.1</v>
      </c>
    </row>
    <row r="39">
      <c r="A39" s="1" t="s">
        <v>96</v>
      </c>
      <c r="B39" s="2" t="str">
        <f>IFERROR(__xludf.DUMMYFUNCTION("REGEXEXTRACT(A39, ""\d{1,2}\.\d"")"),"49.3")</f>
        <v>49.3</v>
      </c>
    </row>
    <row r="40">
      <c r="A40" s="1" t="s">
        <v>97</v>
      </c>
      <c r="B40" s="2" t="str">
        <f>IFERROR(__xludf.DUMMYFUNCTION("REGEXEXTRACT(A40, ""\d{1,2}\.\d"")"),"55.3")</f>
        <v>55.3</v>
      </c>
    </row>
    <row r="41">
      <c r="A41" s="1" t="s">
        <v>40</v>
      </c>
      <c r="B41" s="2" t="str">
        <f>IFERROR(__xludf.DUMMYFUNCTION("REGEXEXTRACT(A41, ""\d{1,2}\.\d"")"),"#N/A")</f>
        <v>#N/A</v>
      </c>
    </row>
    <row r="42">
      <c r="A42" s="1" t="s">
        <v>98</v>
      </c>
      <c r="B42" s="2" t="str">
        <f>IFERROR(__xludf.DUMMYFUNCTION("REGEXEXTRACT(A42, ""\d{1,2}\.\d"")"),"43.8")</f>
        <v>43.8</v>
      </c>
    </row>
    <row r="43">
      <c r="A43" s="1" t="s">
        <v>99</v>
      </c>
      <c r="B43" s="2" t="str">
        <f>IFERROR(__xludf.DUMMYFUNCTION("REGEXEXTRACT(A43, ""\d{1,2}\.\d"")"),"54.1")</f>
        <v>54.1</v>
      </c>
    </row>
    <row r="44">
      <c r="A44" s="1" t="s">
        <v>100</v>
      </c>
      <c r="B44" s="2" t="str">
        <f>IFERROR(__xludf.DUMMYFUNCTION("REGEXEXTRACT(A44, ""\d{1,2}\.\d"")"),"53.7")</f>
        <v>53.7</v>
      </c>
    </row>
    <row r="45">
      <c r="A45" s="1" t="s">
        <v>101</v>
      </c>
      <c r="B45" s="2" t="str">
        <f>IFERROR(__xludf.DUMMYFUNCTION("REGEXEXTRACT(A45, ""\d{1,2}\.\d"")"),"49.4")</f>
        <v>49.4</v>
      </c>
    </row>
    <row r="46">
      <c r="A46" s="1" t="s">
        <v>102</v>
      </c>
      <c r="B46" s="2" t="str">
        <f>IFERROR(__xludf.DUMMYFUNCTION("REGEXEXTRACT(A46, ""\d{1,2}\.\d"")"),"44.7")</f>
        <v>44.7</v>
      </c>
    </row>
    <row r="47">
      <c r="A47" s="1" t="s">
        <v>103</v>
      </c>
      <c r="B47" s="2" t="str">
        <f>IFERROR(__xludf.DUMMYFUNCTION("REGEXEXTRACT(A47, ""\d{1,2}\.\d"")"),"66.0")</f>
        <v>66.0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104</v>
      </c>
      <c r="B49" s="2" t="str">
        <f>IFERROR(__xludf.DUMMYFUNCTION("REGEXEXTRACT(A49, ""\d{1,2}\.\d"")"),"48.7")</f>
        <v>48.7</v>
      </c>
    </row>
    <row r="50">
      <c r="A50" s="1" t="s">
        <v>105</v>
      </c>
      <c r="B50" s="2" t="str">
        <f>IFERROR(__xludf.DUMMYFUNCTION("REGEXEXTRACT(A50, ""\d{1,2}\.\d"")"),"54.1")</f>
        <v>54.1</v>
      </c>
    </row>
    <row r="51">
      <c r="A51" s="1" t="s">
        <v>106</v>
      </c>
      <c r="B51" s="2" t="str">
        <f>IFERROR(__xludf.DUMMYFUNCTION("REGEXEXTRACT(A51, ""\d{1,2}\.\d"")"),"49.2")</f>
        <v>49.2</v>
      </c>
    </row>
    <row r="52">
      <c r="A52" s="1" t="s">
        <v>107</v>
      </c>
      <c r="B52" s="2" t="str">
        <f>IFERROR(__xludf.DUMMYFUNCTION("REGEXEXTRACT(A52, ""\d{1,2}\.\d"")"),"60.8")</f>
        <v>60.8</v>
      </c>
    </row>
    <row r="53">
      <c r="A53" s="1" t="s">
        <v>108</v>
      </c>
      <c r="B53" s="2" t="str">
        <f>IFERROR(__xludf.DUMMYFUNCTION("REGEXEXTRACT(A53, ""\d{1,2}\.\d"")"),"61.5")</f>
        <v>61.5</v>
      </c>
    </row>
    <row r="54">
      <c r="A54" s="1" t="s">
        <v>26</v>
      </c>
      <c r="B54" s="2" t="str">
        <f>IFERROR(__xludf.DUMMYFUNCTION("REGEXEXTRACT(A54, ""\d{1,2}\.\d"")"),"#N/A")</f>
        <v>#N/A</v>
      </c>
    </row>
    <row r="55">
      <c r="A55" s="1" t="s">
        <v>109</v>
      </c>
      <c r="B55" s="2" t="str">
        <f>IFERROR(__xludf.DUMMYFUNCTION("REGEXEXTRACT(A55, ""\d{1,2}\.\d"")"),"74.3")</f>
        <v>74.3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110</v>
      </c>
      <c r="B57" s="2" t="str">
        <f>IFERROR(__xludf.DUMMYFUNCTION("REGEXEXTRACT(A57, ""\d{1,2}\.\d"")"),"66.1")</f>
        <v>66.1</v>
      </c>
    </row>
    <row r="58">
      <c r="A58" s="1" t="s">
        <v>111</v>
      </c>
      <c r="B58" s="2" t="str">
        <f>IFERROR(__xludf.DUMMYFUNCTION("REGEXEXTRACT(A58, ""\d{1,2}\.\d"")"),"50.8")</f>
        <v>50.8</v>
      </c>
    </row>
    <row r="59">
      <c r="A59" s="1" t="s">
        <v>112</v>
      </c>
      <c r="B59" s="2" t="str">
        <f>IFERROR(__xludf.DUMMYFUNCTION("REGEXEXTRACT(A59, ""\d{1,2}\.\d"")"),"50.2")</f>
        <v>50.2</v>
      </c>
    </row>
    <row r="60">
      <c r="A60" s="1" t="s">
        <v>113</v>
      </c>
      <c r="B60" s="2" t="str">
        <f>IFERROR(__xludf.DUMMYFUNCTION("REGEXEXTRACT(A60, ""\d{1,2}\.\d"")"),"63.8")</f>
        <v>63.8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114</v>
      </c>
      <c r="B62" s="2" t="str">
        <f>IFERROR(__xludf.DUMMYFUNCTION("REGEXEXTRACT(A62, ""\d{1,2}\.\d"")"),"39.1")</f>
        <v>39.1</v>
      </c>
    </row>
    <row r="63">
      <c r="A63" s="1" t="s">
        <v>115</v>
      </c>
      <c r="B63" s="2" t="str">
        <f>IFERROR(__xludf.DUMMYFUNCTION("REGEXEXTRACT(A63, ""\d{1,2}\.\d"")"),"58.6")</f>
        <v>58.6</v>
      </c>
    </row>
    <row r="64">
      <c r="A64" s="1" t="s">
        <v>116</v>
      </c>
      <c r="B64" s="2" t="str">
        <f>IFERROR(__xludf.DUMMYFUNCTION("REGEXEXTRACT(A64, ""\d{1,2}\.\d"")"),"51.6")</f>
        <v>51.6</v>
      </c>
    </row>
    <row r="65">
      <c r="A65" s="1" t="s">
        <v>117</v>
      </c>
      <c r="B65" s="2" t="str">
        <f>IFERROR(__xludf.DUMMYFUNCTION("REGEXEXTRACT(A65, ""\d{1,2}\.\d"")"),"56.8")</f>
        <v>56.8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999">
    <cfRule type="expression" dxfId="0" priority="2">
      <formula>NOT(REGEXMATCH(TO_TEXT(A1), "\d+\.\d$|\d+\.\d%$"))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2" max="2" width="15.63"/>
  </cols>
  <sheetData>
    <row r="1">
      <c r="A1" s="1" t="s">
        <v>0</v>
      </c>
    </row>
    <row r="2">
      <c r="A2" s="1" t="s">
        <v>118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83.5</v>
      </c>
    </row>
    <row r="3">
      <c r="A3" s="1" t="s">
        <v>119</v>
      </c>
      <c r="B3" s="2" t="str">
        <f t="shared" si="1"/>
        <v>road congestion</v>
      </c>
      <c r="C3" s="2" t="str">
        <f t="shared" si="2"/>
        <v>57.8</v>
      </c>
    </row>
    <row r="4">
      <c r="A4" s="1" t="s">
        <v>120</v>
      </c>
      <c r="B4" s="2" t="str">
        <f t="shared" si="1"/>
        <v>air pollution</v>
      </c>
      <c r="C4" s="2" t="str">
        <f t="shared" si="2"/>
        <v>42.6</v>
      </c>
    </row>
    <row r="5">
      <c r="A5" s="1" t="s">
        <v>121</v>
      </c>
      <c r="B5" s="2" t="str">
        <f t="shared" si="1"/>
        <v>security</v>
      </c>
      <c r="C5" s="2" t="str">
        <f t="shared" si="2"/>
        <v>39.7</v>
      </c>
    </row>
    <row r="6">
      <c r="A6" s="1" t="s">
        <v>122</v>
      </c>
      <c r="B6" s="2" t="str">
        <f t="shared" si="1"/>
        <v>school education</v>
      </c>
      <c r="C6" s="2" t="str">
        <f t="shared" si="2"/>
        <v>33.5</v>
      </c>
    </row>
    <row r="7">
      <c r="A7" s="1" t="s">
        <v>123</v>
      </c>
      <c r="B7" s="2" t="str">
        <f t="shared" si="1"/>
        <v>unemployment</v>
      </c>
      <c r="C7" s="2" t="str">
        <f t="shared" si="2"/>
        <v>31.7</v>
      </c>
    </row>
    <row r="8">
      <c r="A8" s="1" t="s">
        <v>124</v>
      </c>
      <c r="B8" s="2" t="str">
        <f t="shared" si="1"/>
        <v>health services</v>
      </c>
      <c r="C8" s="2" t="str">
        <f t="shared" si="2"/>
        <v>28.8</v>
      </c>
    </row>
    <row r="9">
      <c r="A9" s="1" t="s">
        <v>125</v>
      </c>
      <c r="B9" s="2" t="str">
        <f t="shared" si="1"/>
        <v>fulfilling employment</v>
      </c>
      <c r="C9" s="2" t="str">
        <f t="shared" si="2"/>
        <v>23.2</v>
      </c>
    </row>
    <row r="10">
      <c r="A10" s="1" t="s">
        <v>126</v>
      </c>
      <c r="B10" s="2" t="str">
        <f t="shared" si="1"/>
        <v>public transport</v>
      </c>
      <c r="C10" s="2" t="str">
        <f t="shared" si="2"/>
        <v>22.1</v>
      </c>
    </row>
    <row r="11">
      <c r="A11" s="1" t="s">
        <v>127</v>
      </c>
      <c r="B11" s="2" t="str">
        <f t="shared" si="1"/>
        <v>corruption</v>
      </c>
      <c r="C11" s="2" t="str">
        <f t="shared" si="2"/>
        <v>19.2</v>
      </c>
    </row>
    <row r="12">
      <c r="A12" s="1" t="s">
        <v>128</v>
      </c>
      <c r="B12" s="2" t="str">
        <f t="shared" si="1"/>
        <v>basic amenities</v>
      </c>
      <c r="C12" s="2" t="str">
        <f t="shared" si="2"/>
        <v>16.1</v>
      </c>
    </row>
    <row r="13">
      <c r="A13" s="1" t="s">
        <v>129</v>
      </c>
      <c r="B13" s="2" t="str">
        <f t="shared" si="1"/>
        <v>recycling</v>
      </c>
      <c r="C13" s="2" t="str">
        <f t="shared" si="2"/>
        <v>15.4</v>
      </c>
    </row>
    <row r="14">
      <c r="A14" s="1" t="s">
        <v>130</v>
      </c>
      <c r="B14" s="2" t="str">
        <f t="shared" si="1"/>
        <v>social mobility</v>
      </c>
      <c r="C14" s="2" t="str">
        <f t="shared" si="2"/>
        <v>14.0</v>
      </c>
    </row>
    <row r="15">
      <c r="A15" s="1" t="s">
        <v>131</v>
      </c>
      <c r="B15" s="2" t="str">
        <f t="shared" si="1"/>
        <v>green spaces</v>
      </c>
      <c r="C15" s="2" t="str">
        <f t="shared" si="2"/>
        <v>12.8</v>
      </c>
    </row>
    <row r="16">
      <c r="A16" s="1" t="s">
        <v>132</v>
      </c>
      <c r="B16" s="2" t="str">
        <f t="shared" si="1"/>
        <v>citizen engagement</v>
      </c>
      <c r="C16" s="2" t="str">
        <f t="shared" si="2"/>
        <v>7.8</v>
      </c>
    </row>
    <row r="17">
      <c r="A17" s="1" t="s">
        <v>133</v>
      </c>
    </row>
    <row r="18">
      <c r="A18" s="1" t="s">
        <v>134</v>
      </c>
      <c r="B18" s="2" t="str">
        <f>IFERROR(__xludf.DUMMYFUNCTION("REGEXEXTRACT(A18, ""\d{1,2}\.\d"")"),"49.6")</f>
        <v>49.6</v>
      </c>
    </row>
    <row r="19">
      <c r="A19" s="1" t="s">
        <v>135</v>
      </c>
      <c r="B19" s="2" t="str">
        <f>IFERROR(__xludf.DUMMYFUNCTION("REGEXEXTRACT(A19, ""\d{1,2}\.\d"")"),"62.0")</f>
        <v>62.0</v>
      </c>
    </row>
    <row r="20">
      <c r="A20" s="1" t="s">
        <v>136</v>
      </c>
      <c r="B20" s="2" t="str">
        <f>IFERROR(__xludf.DUMMYFUNCTION("REGEXEXTRACT(A20, ""\d{1,2}\.\d"")"),"36.1")</f>
        <v>36.1</v>
      </c>
    </row>
    <row r="21">
      <c r="A21" s="1" t="s">
        <v>137</v>
      </c>
      <c r="B21" s="2" t="str">
        <f>IFERROR(__xludf.DUMMYFUNCTION("REGEXEXTRACT(A21, ""\d{1,2}\.\d"")"),"30.2")</f>
        <v>30.2</v>
      </c>
    </row>
    <row r="22">
      <c r="A22" s="1" t="s">
        <v>138</v>
      </c>
      <c r="B22" s="2" t="str">
        <f>IFERROR(__xludf.DUMMYFUNCTION("REGEXEXTRACT(A22, ""\d{1,2}\.\d"")"),"61.7")</f>
        <v>61.7</v>
      </c>
    </row>
    <row r="23">
      <c r="A23" s="1" t="s">
        <v>139</v>
      </c>
      <c r="B23" s="2" t="str">
        <f>IFERROR(__xludf.DUMMYFUNCTION("REGEXEXTRACT(A23, ""\d{1,2}\.\d"")"),"17.2")</f>
        <v>17.2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140</v>
      </c>
      <c r="B25" s="2" t="str">
        <f>IFERROR(__xludf.DUMMYFUNCTION("REGEXEXTRACT(A25, ""\d{1,2}\.\d"")"),"20.8")</f>
        <v>20.8</v>
      </c>
    </row>
    <row r="26">
      <c r="A26" s="1" t="s">
        <v>141</v>
      </c>
      <c r="B26" s="2" t="str">
        <f>IFERROR(__xludf.DUMMYFUNCTION("REGEXEXTRACT(A26, ""\d{1,2}\.\d"")"),"49.1")</f>
        <v>49.1</v>
      </c>
    </row>
    <row r="27">
      <c r="A27" s="1" t="s">
        <v>26</v>
      </c>
      <c r="B27" s="2" t="str">
        <f>IFERROR(__xludf.DUMMYFUNCTION("REGEXEXTRACT(A27, ""\d{1,2}\.\d"")"),"#N/A")</f>
        <v>#N/A</v>
      </c>
    </row>
    <row r="28">
      <c r="A28" s="1" t="s">
        <v>142</v>
      </c>
      <c r="B28" s="2" t="str">
        <f>IFERROR(__xludf.DUMMYFUNCTION("REGEXEXTRACT(A28, ""\d{1,2}\.\d"")"),"66.8")</f>
        <v>66.8</v>
      </c>
    </row>
    <row r="29">
      <c r="A29" s="1" t="s">
        <v>143</v>
      </c>
      <c r="B29" s="2" t="str">
        <f>IFERROR(__xludf.DUMMYFUNCTION("REGEXEXTRACT(A29, ""\d{1,2}\.\d"")"),"78.9")</f>
        <v>78.9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144</v>
      </c>
      <c r="B31" s="2" t="str">
        <f>IFERROR(__xludf.DUMMYFUNCTION("REGEXEXTRACT(A31, ""\d{1,2}\.\d"")"),"69.0")</f>
        <v>69.0</v>
      </c>
    </row>
    <row r="32">
      <c r="A32" s="1" t="s">
        <v>145</v>
      </c>
      <c r="B32" s="2" t="str">
        <f>IFERROR(__xludf.DUMMYFUNCTION("REGEXEXTRACT(A32, ""\d{1,2}\.\d"")"),"57.8")</f>
        <v>57.8</v>
      </c>
    </row>
    <row r="33">
      <c r="A33" s="1" t="s">
        <v>146</v>
      </c>
      <c r="B33" s="2" t="str">
        <f>IFERROR(__xludf.DUMMYFUNCTION("REGEXEXTRACT(A33, ""\d{1,2}\.\d"")"),"61.8")</f>
        <v>61.8</v>
      </c>
    </row>
    <row r="34">
      <c r="A34" s="1" t="s">
        <v>147</v>
      </c>
      <c r="B34" s="2" t="str">
        <f>IFERROR(__xludf.DUMMYFUNCTION("REGEXEXTRACT(A34, ""\d{1,2}\.\d"")"),"64.2")</f>
        <v>64.2</v>
      </c>
    </row>
    <row r="35">
      <c r="A35" s="1" t="s">
        <v>148</v>
      </c>
      <c r="B35" s="2" t="str">
        <f>IFERROR(__xludf.DUMMYFUNCTION("REGEXEXTRACT(A35, ""\d{1,2}\.\d"")"),"58.4")</f>
        <v>58.4</v>
      </c>
    </row>
    <row r="36">
      <c r="A36" s="1" t="s">
        <v>35</v>
      </c>
      <c r="B36" s="2" t="str">
        <f>IFERROR(__xludf.DUMMYFUNCTION("REGEXEXTRACT(A36, ""\d{1,2}\.\d"")"),"#N/A")</f>
        <v>#N/A</v>
      </c>
    </row>
    <row r="37">
      <c r="A37" s="1" t="s">
        <v>149</v>
      </c>
      <c r="B37" s="2" t="str">
        <f>IFERROR(__xludf.DUMMYFUNCTION("REGEXEXTRACT(A37, ""\d{1,2}\.\d"")"),"59.2")</f>
        <v>59.2</v>
      </c>
    </row>
    <row r="38">
      <c r="A38" s="1" t="s">
        <v>150</v>
      </c>
      <c r="B38" s="2" t="str">
        <f>IFERROR(__xludf.DUMMYFUNCTION("REGEXEXTRACT(A38, ""\d{1,2}\.\d"")"),"42.1")</f>
        <v>42.1</v>
      </c>
    </row>
    <row r="39">
      <c r="A39" s="1" t="s">
        <v>151</v>
      </c>
      <c r="B39" s="2" t="str">
        <f>IFERROR(__xludf.DUMMYFUNCTION("REGEXEXTRACT(A39, ""\d{1,2}\.\d"")"),"53.6")</f>
        <v>53.6</v>
      </c>
    </row>
    <row r="40">
      <c r="A40" s="1" t="s">
        <v>152</v>
      </c>
      <c r="B40" s="2" t="str">
        <f>IFERROR(__xludf.DUMMYFUNCTION("REGEXEXTRACT(A40, ""\d{1,2}\.\d"")"),"62.4")</f>
        <v>62.4</v>
      </c>
    </row>
    <row r="41">
      <c r="A41" s="1" t="s">
        <v>133</v>
      </c>
      <c r="B41" s="2" t="str">
        <f>IFERROR(__xludf.DUMMYFUNCTION("REGEXEXTRACT(A41, ""\d{1,2}\.\d"")"),"#N/A")</f>
        <v>#N/A</v>
      </c>
    </row>
    <row r="42">
      <c r="A42" s="1" t="s">
        <v>153</v>
      </c>
      <c r="B42" s="2" t="str">
        <f>IFERROR(__xludf.DUMMYFUNCTION("REGEXEXTRACT(A42, ""\d{1,2}\.\d"")"),"40.9")</f>
        <v>40.9</v>
      </c>
    </row>
    <row r="43">
      <c r="A43" s="1" t="s">
        <v>154</v>
      </c>
      <c r="B43" s="2" t="str">
        <f>IFERROR(__xludf.DUMMYFUNCTION("REGEXEXTRACT(A43, ""\d{1,2}\.\d"")"),"59.8")</f>
        <v>59.8</v>
      </c>
    </row>
    <row r="44">
      <c r="A44" s="1" t="s">
        <v>155</v>
      </c>
      <c r="B44" s="2" t="str">
        <f>IFERROR(__xludf.DUMMYFUNCTION("REGEXEXTRACT(A44, ""\d{1,2}\.\d"")"),"42.1")</f>
        <v>42.1</v>
      </c>
    </row>
    <row r="45">
      <c r="A45" s="1" t="s">
        <v>156</v>
      </c>
      <c r="B45" s="2" t="str">
        <f>IFERROR(__xludf.DUMMYFUNCTION("REGEXEXTRACT(A45, ""\d{1,2}\.\d"")"),"38.0")</f>
        <v>38.0</v>
      </c>
    </row>
    <row r="46">
      <c r="A46" s="1" t="s">
        <v>157</v>
      </c>
      <c r="B46" s="2" t="str">
        <f>IFERROR(__xludf.DUMMYFUNCTION("REGEXEXTRACT(A46, ""\d{1,2}\.\d"")"),"43.8")</f>
        <v>43.8</v>
      </c>
    </row>
    <row r="47">
      <c r="A47" s="1" t="s">
        <v>158</v>
      </c>
      <c r="B47" s="2" t="str">
        <f>IFERROR(__xludf.DUMMYFUNCTION("REGEXEXTRACT(A47, ""\d{1,2}\.\d"")"),"66.3")</f>
        <v>66.3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159</v>
      </c>
      <c r="B49" s="2" t="str">
        <f>IFERROR(__xludf.DUMMYFUNCTION("REGEXEXTRACT(A49, ""\d{1,2}\.\d"")"),"41.2")</f>
        <v>41.2</v>
      </c>
    </row>
    <row r="50">
      <c r="A50" s="1" t="s">
        <v>160</v>
      </c>
      <c r="B50" s="2" t="str">
        <f>IFERROR(__xludf.DUMMYFUNCTION("REGEXEXTRACT(A50, ""\d{1,2}\.\d"")"),"38.0")</f>
        <v>38.0</v>
      </c>
    </row>
    <row r="51">
      <c r="A51" s="1" t="s">
        <v>161</v>
      </c>
      <c r="B51" s="2" t="str">
        <f>IFERROR(__xludf.DUMMYFUNCTION("REGEXEXTRACT(A51, ""\d{1,2}\.\d"")"),"37.6")</f>
        <v>37.6</v>
      </c>
    </row>
    <row r="52">
      <c r="A52" s="1" t="s">
        <v>162</v>
      </c>
      <c r="B52" s="2" t="str">
        <f>IFERROR(__xludf.DUMMYFUNCTION("REGEXEXTRACT(A52, ""\d{1,2}\.\d"")"),"56.2")</f>
        <v>56.2</v>
      </c>
    </row>
    <row r="53">
      <c r="A53" s="1" t="s">
        <v>163</v>
      </c>
      <c r="B53" s="2" t="str">
        <f>IFERROR(__xludf.DUMMYFUNCTION("REGEXEXTRACT(A53, ""\d{1,2}\.\d"")"),"56.0")</f>
        <v>56.0</v>
      </c>
    </row>
    <row r="54">
      <c r="A54" s="1" t="s">
        <v>164</v>
      </c>
      <c r="B54" s="2" t="str">
        <f>IFERROR(__xludf.DUMMYFUNCTION("REGEXEXTRACT(A54, ""\d{1,2}\.\d"")"),"#N/A")</f>
        <v>#N/A</v>
      </c>
    </row>
    <row r="55">
      <c r="A55" s="1" t="s">
        <v>165</v>
      </c>
      <c r="B55" s="2" t="str">
        <f>IFERROR(__xludf.DUMMYFUNCTION("REGEXEXTRACT(A55, ""\d{1,2}\.\d"")"),"75.4")</f>
        <v>75.4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166</v>
      </c>
      <c r="B57" s="2" t="str">
        <f>IFERROR(__xludf.DUMMYFUNCTION("REGEXEXTRACT(A57, ""\d{1,2}\.\d"")"),"69.8")</f>
        <v>69.8</v>
      </c>
    </row>
    <row r="58">
      <c r="A58" s="1" t="s">
        <v>167</v>
      </c>
      <c r="B58" s="2" t="str">
        <f>IFERROR(__xludf.DUMMYFUNCTION("REGEXEXTRACT(A58, ""\d{1,2}\.\d"")"),"43.8")</f>
        <v>43.8</v>
      </c>
    </row>
    <row r="59">
      <c r="A59" s="1" t="s">
        <v>168</v>
      </c>
      <c r="B59" s="2" t="str">
        <f>IFERROR(__xludf.DUMMYFUNCTION("REGEXEXTRACT(A59, ""\d{1,2}\.\d"")"),"44.8")</f>
        <v>44.8</v>
      </c>
    </row>
    <row r="60">
      <c r="A60" s="1" t="s">
        <v>169</v>
      </c>
      <c r="B60" s="2" t="str">
        <f>IFERROR(__xludf.DUMMYFUNCTION("REGEXEXTRACT(A60, ""\d{1,2}\.\d"")"),"63.4")</f>
        <v>63.4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170</v>
      </c>
      <c r="B62" s="2" t="str">
        <f>IFERROR(__xludf.DUMMYFUNCTION("REGEXEXTRACT(A62, ""\d{1,2}\.\d"")"),"38.8")</f>
        <v>38.8</v>
      </c>
    </row>
    <row r="63">
      <c r="A63" s="1" t="s">
        <v>171</v>
      </c>
      <c r="B63" s="2" t="str">
        <f>IFERROR(__xludf.DUMMYFUNCTION("REGEXEXTRACT(A63, ""\d{1,2}\.\d"")"),"54.2")</f>
        <v>54.2</v>
      </c>
    </row>
    <row r="64">
      <c r="A64" s="1" t="s">
        <v>172</v>
      </c>
      <c r="B64" s="2" t="str">
        <f>IFERROR(__xludf.DUMMYFUNCTION("REGEXEXTRACT(A64, ""\d{1,2}\.\d"")"),"42.7")</f>
        <v>42.7</v>
      </c>
    </row>
    <row r="65">
      <c r="A65" s="1" t="s">
        <v>173</v>
      </c>
      <c r="B65" s="2" t="str">
        <f>IFERROR(__xludf.DUMMYFUNCTION("REGEXEXTRACT(A65, ""\d{1,2}\.\d"")"),"54.4")</f>
        <v>54.4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16.13"/>
  </cols>
  <sheetData>
    <row r="1">
      <c r="A1" s="1" t="s">
        <v>174</v>
      </c>
    </row>
    <row r="2">
      <c r="A2" s="1" t="s">
        <v>175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66.2</v>
      </c>
    </row>
    <row r="3">
      <c r="A3" s="1" t="s">
        <v>176</v>
      </c>
      <c r="B3" s="2" t="str">
        <f t="shared" si="1"/>
        <v>security</v>
      </c>
      <c r="C3" s="2" t="str">
        <f t="shared" si="2"/>
        <v>50.1</v>
      </c>
    </row>
    <row r="4">
      <c r="A4" s="1" t="s">
        <v>177</v>
      </c>
      <c r="B4" s="2" t="str">
        <f t="shared" si="1"/>
        <v>road congestion</v>
      </c>
      <c r="C4" s="2" t="str">
        <f t="shared" si="2"/>
        <v>47.1</v>
      </c>
    </row>
    <row r="5">
      <c r="A5" s="1" t="s">
        <v>178</v>
      </c>
      <c r="B5" s="2" t="str">
        <f t="shared" si="1"/>
        <v>health services</v>
      </c>
      <c r="C5" s="2" t="str">
        <f t="shared" si="2"/>
        <v>43.8</v>
      </c>
    </row>
    <row r="6">
      <c r="A6" s="1" t="s">
        <v>179</v>
      </c>
      <c r="B6" s="2" t="str">
        <f t="shared" si="1"/>
        <v>air pollution</v>
      </c>
      <c r="C6" s="2" t="str">
        <f t="shared" si="2"/>
        <v>41.2</v>
      </c>
    </row>
    <row r="7">
      <c r="A7" s="1" t="s">
        <v>180</v>
      </c>
      <c r="B7" s="2" t="str">
        <f t="shared" si="1"/>
        <v>school education</v>
      </c>
      <c r="C7" s="2" t="str">
        <f t="shared" si="2"/>
        <v>31.1</v>
      </c>
    </row>
    <row r="8">
      <c r="A8" s="1" t="s">
        <v>181</v>
      </c>
      <c r="B8" s="2" t="str">
        <f t="shared" si="1"/>
        <v>corruption</v>
      </c>
      <c r="C8" s="2" t="str">
        <f t="shared" si="2"/>
        <v>30.5</v>
      </c>
    </row>
    <row r="9">
      <c r="A9" s="1" t="s">
        <v>182</v>
      </c>
      <c r="B9" s="2" t="str">
        <f t="shared" si="1"/>
        <v>unemployment</v>
      </c>
      <c r="C9" s="2" t="str">
        <f t="shared" si="2"/>
        <v>30.1</v>
      </c>
    </row>
    <row r="10">
      <c r="A10" s="1" t="s">
        <v>183</v>
      </c>
      <c r="B10" s="2" t="str">
        <f t="shared" si="1"/>
        <v>fulfilling employment</v>
      </c>
      <c r="C10" s="2" t="str">
        <f t="shared" si="2"/>
        <v>28.4</v>
      </c>
    </row>
    <row r="11">
      <c r="A11" s="1" t="s">
        <v>184</v>
      </c>
      <c r="B11" s="2" t="str">
        <f t="shared" si="1"/>
        <v>basic amenities</v>
      </c>
      <c r="C11" s="2" t="str">
        <f t="shared" si="2"/>
        <v>21.4</v>
      </c>
    </row>
    <row r="12">
      <c r="A12" s="1" t="s">
        <v>185</v>
      </c>
      <c r="B12" s="2" t="str">
        <f t="shared" si="1"/>
        <v>public transport</v>
      </c>
      <c r="C12" s="2" t="str">
        <f t="shared" si="2"/>
        <v>19.1</v>
      </c>
    </row>
    <row r="13">
      <c r="A13" s="1" t="s">
        <v>186</v>
      </c>
      <c r="B13" s="2" t="str">
        <f t="shared" si="1"/>
        <v>green spaces</v>
      </c>
      <c r="C13" s="2" t="str">
        <f t="shared" si="2"/>
        <v>16.4</v>
      </c>
    </row>
    <row r="14">
      <c r="A14" s="1" t="s">
        <v>187</v>
      </c>
      <c r="B14" s="2" t="str">
        <f t="shared" si="1"/>
        <v>recycling</v>
      </c>
      <c r="C14" s="2" t="str">
        <f t="shared" si="2"/>
        <v>15.3</v>
      </c>
    </row>
    <row r="15">
      <c r="A15" s="1" t="s">
        <v>188</v>
      </c>
      <c r="B15" s="2" t="str">
        <f t="shared" si="1"/>
        <v>social mobility</v>
      </c>
      <c r="C15" s="2" t="str">
        <f t="shared" si="2"/>
        <v>13.1</v>
      </c>
    </row>
    <row r="16">
      <c r="A16" s="1" t="s">
        <v>189</v>
      </c>
      <c r="B16" s="2" t="str">
        <f t="shared" si="1"/>
        <v>citizen engagement</v>
      </c>
      <c r="C16" s="2" t="str">
        <f t="shared" si="2"/>
        <v>8.7</v>
      </c>
    </row>
    <row r="17">
      <c r="A17" s="1" t="s">
        <v>190</v>
      </c>
    </row>
    <row r="18">
      <c r="A18" s="1" t="s">
        <v>191</v>
      </c>
      <c r="B18" s="2" t="str">
        <f>IFERROR(__xludf.DUMMYFUNCTION("REGEXEXTRACT(A18, ""\d{1,2}\.\d"")"),"54.2")</f>
        <v>54.2</v>
      </c>
    </row>
    <row r="19">
      <c r="A19" s="1" t="s">
        <v>192</v>
      </c>
      <c r="B19" s="2" t="str">
        <f>IFERROR(__xludf.DUMMYFUNCTION("REGEXEXTRACT(A19, ""\d{1,2}\.\d"")"),"64.3")</f>
        <v>64.3</v>
      </c>
    </row>
    <row r="20">
      <c r="A20" s="1" t="s">
        <v>193</v>
      </c>
      <c r="B20" s="2" t="str">
        <f>IFERROR(__xludf.DUMMYFUNCTION("REGEXEXTRACT(A20, ""\d{1,2}\.\d"")"),"36.5")</f>
        <v>36.5</v>
      </c>
    </row>
    <row r="21">
      <c r="A21" s="1" t="s">
        <v>194</v>
      </c>
      <c r="B21" s="2" t="str">
        <f>IFERROR(__xludf.DUMMYFUNCTION("REGEXEXTRACT(A21, ""\d{1,2}\.\d"")"),"32.7")</f>
        <v>32.7</v>
      </c>
    </row>
    <row r="22">
      <c r="A22" s="1" t="s">
        <v>195</v>
      </c>
      <c r="B22" s="2" t="str">
        <f>IFERROR(__xludf.DUMMYFUNCTION("REGEXEXTRACT(A22, ""\d{1,2}\.\d"")"),"56.2")</f>
        <v>56.2</v>
      </c>
    </row>
    <row r="23">
      <c r="A23" s="1" t="s">
        <v>196</v>
      </c>
      <c r="B23" s="2" t="str">
        <f>IFERROR(__xludf.DUMMYFUNCTION("REGEXEXTRACT(A23, ""\d{1,2}\.\d"")"),"32.8")</f>
        <v>32.8</v>
      </c>
    </row>
    <row r="24">
      <c r="A24" s="1" t="s">
        <v>197</v>
      </c>
      <c r="B24" s="2" t="str">
        <f>IFERROR(__xludf.DUMMYFUNCTION("REGEXEXTRACT(A24, ""\d{1,2}\.\d"")"),"#N/A")</f>
        <v>#N/A</v>
      </c>
    </row>
    <row r="25">
      <c r="A25" s="1" t="s">
        <v>198</v>
      </c>
      <c r="B25" s="2" t="str">
        <f>IFERROR(__xludf.DUMMYFUNCTION("REGEXEXTRACT(A25, ""\d{1,2}\.\d"")"),"25.1")</f>
        <v>25.1</v>
      </c>
    </row>
    <row r="26">
      <c r="A26" s="1" t="s">
        <v>199</v>
      </c>
      <c r="B26" s="2" t="str">
        <f>IFERROR(__xludf.DUMMYFUNCTION("REGEXEXTRACT(A26, ""\d{1,2}\.\d"")"),"47.7")</f>
        <v>47.7</v>
      </c>
    </row>
    <row r="27">
      <c r="A27" s="1" t="s">
        <v>200</v>
      </c>
      <c r="B27" s="2" t="str">
        <f>IFERROR(__xludf.DUMMYFUNCTION("REGEXEXTRACT(A27, ""\d{1,2}\.\d"")"),"#N/A")</f>
        <v>#N/A</v>
      </c>
    </row>
    <row r="28">
      <c r="A28" s="1" t="s">
        <v>201</v>
      </c>
      <c r="B28" s="2" t="str">
        <f>IFERROR(__xludf.DUMMYFUNCTION("REGEXEXTRACT(A28, ""\d{1,2}\.\d"")"),"60.7")</f>
        <v>60.7</v>
      </c>
    </row>
    <row r="29">
      <c r="A29" s="1" t="s">
        <v>202</v>
      </c>
      <c r="B29" s="2" t="str">
        <f>IFERROR(__xludf.DUMMYFUNCTION("REGEXEXTRACT(A29, ""\d{1,2}\.\d"")"),"75.4")</f>
        <v>75.4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203</v>
      </c>
      <c r="B31" s="2" t="str">
        <f>IFERROR(__xludf.DUMMYFUNCTION("REGEXEXTRACT(A31, ""\d{1,2}\.\d"")"),"63.0")</f>
        <v>63.0</v>
      </c>
    </row>
    <row r="32">
      <c r="A32" s="1" t="s">
        <v>204</v>
      </c>
      <c r="B32" s="2" t="str">
        <f>IFERROR(__xludf.DUMMYFUNCTION("REGEXEXTRACT(A32, ""\d{1,2}\.\d"")"),"52.9")</f>
        <v>52.9</v>
      </c>
    </row>
    <row r="33">
      <c r="A33" s="1" t="s">
        <v>205</v>
      </c>
      <c r="B33" s="2" t="str">
        <f>IFERROR(__xludf.DUMMYFUNCTION("REGEXEXTRACT(A33, ""\d{1,2}\.\d"")"),"58.2")</f>
        <v>58.2</v>
      </c>
    </row>
    <row r="34">
      <c r="A34" s="3" t="s">
        <v>206</v>
      </c>
      <c r="B34" s="2" t="str">
        <f>IFERROR(__xludf.DUMMYFUNCTION("REGEXEXTRACT(A34, ""\d{1,2}\.\d"")"),"64.7")</f>
        <v>64.7</v>
      </c>
    </row>
    <row r="35">
      <c r="A35" s="1" t="s">
        <v>207</v>
      </c>
      <c r="B35" s="2" t="str">
        <f>IFERROR(__xludf.DUMMYFUNCTION("REGEXEXTRACT(A35, ""\d{1,2}\.\d"")"),"58.3")</f>
        <v>58.3</v>
      </c>
    </row>
    <row r="36">
      <c r="A36" s="1" t="s">
        <v>208</v>
      </c>
      <c r="B36" s="2" t="str">
        <f>IFERROR(__xludf.DUMMYFUNCTION("REGEXEXTRACT(A36, ""\d{1,2}\.\d"")"),"#N/A")</f>
        <v>#N/A</v>
      </c>
    </row>
    <row r="37">
      <c r="A37" s="1" t="s">
        <v>209</v>
      </c>
      <c r="B37" s="2" t="str">
        <f>IFERROR(__xludf.DUMMYFUNCTION("REGEXEXTRACT(A37, ""\d{1,2}\.\d"")"),"65.8")</f>
        <v>65.8</v>
      </c>
    </row>
    <row r="38">
      <c r="A38" s="1" t="s">
        <v>210</v>
      </c>
      <c r="B38" s="2" t="str">
        <f>IFERROR(__xludf.DUMMYFUNCTION("REGEXEXTRACT(A38, ""\d{1,2}\.\d"")"),"35.5")</f>
        <v>35.5</v>
      </c>
    </row>
    <row r="39">
      <c r="A39" s="1" t="s">
        <v>211</v>
      </c>
      <c r="B39" s="2" t="str">
        <f>IFERROR(__xludf.DUMMYFUNCTION("REGEXEXTRACT(A39, ""\d{1,2}\.\d"")"),"56.5")</f>
        <v>56.5</v>
      </c>
    </row>
    <row r="40">
      <c r="A40" s="1" t="s">
        <v>212</v>
      </c>
      <c r="B40" s="2" t="str">
        <f>IFERROR(__xludf.DUMMYFUNCTION("REGEXEXTRACT(A40, ""\d{1,2}\.\d"")"),"59.7")</f>
        <v>59.7</v>
      </c>
    </row>
    <row r="41">
      <c r="A41" s="1" t="s">
        <v>133</v>
      </c>
      <c r="B41" s="2" t="str">
        <f>IFERROR(__xludf.DUMMYFUNCTION("REGEXEXTRACT(A41, ""\d{1,2}\.\d"")"),"#N/A")</f>
        <v>#N/A</v>
      </c>
    </row>
    <row r="42">
      <c r="A42" s="1" t="s">
        <v>213</v>
      </c>
      <c r="B42" s="2" t="str">
        <f>IFERROR(__xludf.DUMMYFUNCTION("REGEXEXTRACT(A42, ""\d{1,2}\.\d"")"),"50.3")</f>
        <v>50.3</v>
      </c>
    </row>
    <row r="43">
      <c r="A43" s="1" t="s">
        <v>214</v>
      </c>
      <c r="B43" s="2" t="str">
        <f>IFERROR(__xludf.DUMMYFUNCTION("REGEXEXTRACT(A43, ""\d{1,2}\.\d"")"),"61.7")</f>
        <v>61.7</v>
      </c>
    </row>
    <row r="44">
      <c r="A44" s="1" t="s">
        <v>215</v>
      </c>
      <c r="B44" s="2" t="str">
        <f>IFERROR(__xludf.DUMMYFUNCTION("REGEXEXTRACT(A44, ""\d{1,2}\.\d"")"),"60.0")</f>
        <v>60.0</v>
      </c>
    </row>
    <row r="45">
      <c r="A45" s="1" t="s">
        <v>216</v>
      </c>
      <c r="B45" s="2" t="str">
        <f>IFERROR(__xludf.DUMMYFUNCTION("REGEXEXTRACT(A45, ""\d{1,2}\.\d"")"),"54.0")</f>
        <v>54.0</v>
      </c>
    </row>
    <row r="46">
      <c r="A46" s="1" t="s">
        <v>217</v>
      </c>
      <c r="B46" s="2" t="str">
        <f>IFERROR(__xludf.DUMMYFUNCTION("REGEXEXTRACT(A46, ""\d{1,2}\.\d"")"),"53.8")</f>
        <v>53.8</v>
      </c>
    </row>
    <row r="47">
      <c r="A47" s="1" t="s">
        <v>218</v>
      </c>
      <c r="B47" s="2" t="str">
        <f>IFERROR(__xludf.DUMMYFUNCTION("REGEXEXTRACT(A47, ""\d{1,2}\.\d"")"),"64.9")</f>
        <v>64.9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219</v>
      </c>
      <c r="B49" s="2" t="str">
        <f>IFERROR(__xludf.DUMMYFUNCTION("REGEXEXTRACT(A49, ""\d{1,2}\.\d"")"),"53.1")</f>
        <v>53.1</v>
      </c>
    </row>
    <row r="50">
      <c r="A50" s="1" t="s">
        <v>220</v>
      </c>
      <c r="B50" s="2" t="str">
        <f>IFERROR(__xludf.DUMMYFUNCTION("REGEXEXTRACT(A50, ""\d{1,2}\.\d"")"),"53.6")</f>
        <v>53.6</v>
      </c>
    </row>
    <row r="51">
      <c r="A51" s="1" t="s">
        <v>221</v>
      </c>
      <c r="B51" s="2" t="str">
        <f>IFERROR(__xludf.DUMMYFUNCTION("REGEXEXTRACT(A51, ""\d{1,2}\.\d"")"),"49.1")</f>
        <v>49.1</v>
      </c>
    </row>
    <row r="52">
      <c r="A52" s="1" t="s">
        <v>222</v>
      </c>
      <c r="B52" s="2" t="str">
        <f>IFERROR(__xludf.DUMMYFUNCTION("REGEXEXTRACT(A52, ""\d{1,2}\.\d"")"),"60.7")</f>
        <v>60.7</v>
      </c>
    </row>
    <row r="53">
      <c r="A53" s="1" t="s">
        <v>223</v>
      </c>
      <c r="B53" s="2" t="str">
        <f>IFERROR(__xludf.DUMMYFUNCTION("REGEXEXTRACT(A53, ""\d{1,2}\.\d"")"),"65.5")</f>
        <v>65.5</v>
      </c>
    </row>
    <row r="54">
      <c r="A54" s="1" t="s">
        <v>224</v>
      </c>
      <c r="B54" s="2" t="str">
        <f>IFERROR(__xludf.DUMMYFUNCTION("REGEXEXTRACT(A54, ""\d{1,2}\.\d"")"),"#N/A")</f>
        <v>#N/A</v>
      </c>
    </row>
    <row r="55">
      <c r="A55" s="1" t="s">
        <v>225</v>
      </c>
      <c r="B55" s="2" t="str">
        <f>IFERROR(__xludf.DUMMYFUNCTION("REGEXEXTRACT(A55, ""\d{1,2}\.\d"")"),"76.2")</f>
        <v>76.2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226</v>
      </c>
      <c r="B57" s="2" t="str">
        <f>IFERROR(__xludf.DUMMYFUNCTION("REGEXEXTRACT(A57, ""\d{1,2}\.\d"")"),"68.0")</f>
        <v>68.0</v>
      </c>
    </row>
    <row r="58">
      <c r="A58" s="1" t="s">
        <v>227</v>
      </c>
      <c r="B58" s="2" t="str">
        <f>IFERROR(__xludf.DUMMYFUNCTION("REGEXEXTRACT(A58, ""\d{1,2}\.\d"")"),"54.1")</f>
        <v>54.1</v>
      </c>
    </row>
    <row r="59">
      <c r="A59" s="1" t="s">
        <v>228</v>
      </c>
      <c r="B59" s="2" t="str">
        <f>IFERROR(__xludf.DUMMYFUNCTION("REGEXEXTRACT(A59, ""\d{1,2}\.\d"")"),"55.8")</f>
        <v>55.8</v>
      </c>
    </row>
    <row r="60">
      <c r="A60" s="1" t="s">
        <v>229</v>
      </c>
      <c r="B60" s="2" t="str">
        <f>IFERROR(__xludf.DUMMYFUNCTION("REGEXEXTRACT(A60, ""\d{1,2}\.\d"")"),"67.7")</f>
        <v>67.7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230</v>
      </c>
      <c r="B62" s="2" t="str">
        <f>IFERROR(__xludf.DUMMYFUNCTION("REGEXEXTRACT(A62, ""\d{1,2}\.\d"")"),"49.0")</f>
        <v>49.0</v>
      </c>
    </row>
    <row r="63">
      <c r="A63" s="1" t="s">
        <v>231</v>
      </c>
      <c r="B63" s="2" t="str">
        <f>IFERROR(__xludf.DUMMYFUNCTION("REGEXEXTRACT(A63, ""\d{1,2}\.\d"")"),"65.3")</f>
        <v>65.3</v>
      </c>
    </row>
    <row r="64">
      <c r="A64" s="1" t="s">
        <v>232</v>
      </c>
      <c r="B64" s="2" t="str">
        <f>IFERROR(__xludf.DUMMYFUNCTION("REGEXEXTRACT(A64, ""\d{1,2}\.\d"")"),"54.6")</f>
        <v>54.6</v>
      </c>
    </row>
    <row r="65">
      <c r="A65" s="1" t="s">
        <v>233</v>
      </c>
      <c r="B65" s="2" t="str">
        <f>IFERROR(__xludf.DUMMYFUNCTION("REGEXEXTRACT(A65, ""\d{1,2}\.\d"")"),"65.2")</f>
        <v>65.2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999">
    <cfRule type="expression" dxfId="0" priority="2">
      <formula>NOT(REGEXMATCH(TO_TEXT(A1), "\d+\.\d$|\d+\.\d%$"))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16.13"/>
  </cols>
  <sheetData>
    <row r="1">
      <c r="A1" s="1" t="s">
        <v>0</v>
      </c>
    </row>
    <row r="2">
      <c r="A2" s="1" t="s">
        <v>234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65.9</v>
      </c>
    </row>
    <row r="3">
      <c r="A3" s="1" t="s">
        <v>235</v>
      </c>
      <c r="B3" s="2" t="str">
        <f t="shared" si="1"/>
        <v>security</v>
      </c>
      <c r="C3" s="2" t="str">
        <f t="shared" si="2"/>
        <v>62.5</v>
      </c>
    </row>
    <row r="4">
      <c r="A4" s="1" t="s">
        <v>236</v>
      </c>
      <c r="B4" s="2" t="str">
        <f t="shared" si="1"/>
        <v>school education</v>
      </c>
      <c r="C4" s="2" t="str">
        <f t="shared" si="2"/>
        <v>45.9</v>
      </c>
    </row>
    <row r="5">
      <c r="A5" s="1" t="s">
        <v>237</v>
      </c>
      <c r="B5" s="2" t="str">
        <f t="shared" si="1"/>
        <v>road congestion</v>
      </c>
      <c r="C5" s="2" t="str">
        <f t="shared" si="2"/>
        <v>37.8</v>
      </c>
    </row>
    <row r="6">
      <c r="A6" s="1" t="s">
        <v>238</v>
      </c>
      <c r="B6" s="2" t="str">
        <f t="shared" si="1"/>
        <v>unemployment</v>
      </c>
      <c r="C6" s="2" t="str">
        <f t="shared" si="2"/>
        <v>34.9</v>
      </c>
    </row>
    <row r="7">
      <c r="A7" s="1" t="s">
        <v>239</v>
      </c>
      <c r="B7" s="2" t="str">
        <f t="shared" si="1"/>
        <v>health services</v>
      </c>
      <c r="C7" s="2" t="str">
        <f t="shared" si="2"/>
        <v>33.9</v>
      </c>
    </row>
    <row r="8">
      <c r="A8" s="1" t="s">
        <v>240</v>
      </c>
      <c r="B8" s="2" t="str">
        <f t="shared" si="1"/>
        <v>corruption</v>
      </c>
      <c r="C8" s="2" t="str">
        <f t="shared" si="2"/>
        <v>33.4</v>
      </c>
    </row>
    <row r="9">
      <c r="A9" s="1" t="s">
        <v>241</v>
      </c>
      <c r="B9" s="2" t="str">
        <f t="shared" si="1"/>
        <v>fulfilling employment</v>
      </c>
      <c r="C9" s="2" t="str">
        <f t="shared" si="2"/>
        <v>26.8</v>
      </c>
    </row>
    <row r="10">
      <c r="A10" s="1" t="s">
        <v>242</v>
      </c>
      <c r="B10" s="2" t="str">
        <f t="shared" si="1"/>
        <v>air pollution</v>
      </c>
      <c r="C10" s="2" t="str">
        <f t="shared" si="2"/>
        <v>25.1</v>
      </c>
    </row>
    <row r="11">
      <c r="A11" s="1" t="s">
        <v>243</v>
      </c>
      <c r="B11" s="2" t="str">
        <f t="shared" si="1"/>
        <v>basic amenities</v>
      </c>
      <c r="C11" s="2" t="str">
        <f t="shared" si="2"/>
        <v>22.5</v>
      </c>
    </row>
    <row r="12">
      <c r="A12" s="1" t="s">
        <v>244</v>
      </c>
      <c r="B12" s="2" t="str">
        <f t="shared" si="1"/>
        <v>green spaces</v>
      </c>
      <c r="C12" s="2" t="str">
        <f t="shared" si="2"/>
        <v>21.8</v>
      </c>
    </row>
    <row r="13">
      <c r="A13" s="1" t="s">
        <v>245</v>
      </c>
      <c r="B13" s="2" t="str">
        <f t="shared" si="1"/>
        <v>public transport</v>
      </c>
      <c r="C13" s="2" t="str">
        <f t="shared" si="2"/>
        <v>19.9</v>
      </c>
    </row>
    <row r="14">
      <c r="A14" s="1" t="s">
        <v>246</v>
      </c>
      <c r="B14" s="2" t="str">
        <f t="shared" si="1"/>
        <v>recycling</v>
      </c>
      <c r="C14" s="2" t="str">
        <f t="shared" si="2"/>
        <v>17.4</v>
      </c>
    </row>
    <row r="15">
      <c r="A15" s="1" t="s">
        <v>247</v>
      </c>
      <c r="B15" s="2" t="str">
        <f t="shared" si="1"/>
        <v>citizen engagement</v>
      </c>
      <c r="C15" s="2" t="str">
        <f t="shared" si="2"/>
        <v>11.0</v>
      </c>
    </row>
    <row r="16">
      <c r="A16" s="1" t="s">
        <v>248</v>
      </c>
      <c r="B16" s="2" t="str">
        <f t="shared" si="1"/>
        <v>social mobility</v>
      </c>
      <c r="C16" s="2" t="str">
        <f t="shared" si="2"/>
        <v>8.4</v>
      </c>
    </row>
    <row r="17">
      <c r="A17" s="1" t="s">
        <v>249</v>
      </c>
    </row>
    <row r="18">
      <c r="A18" s="1" t="s">
        <v>250</v>
      </c>
      <c r="B18" s="2" t="str">
        <f>IFERROR(__xludf.DUMMYFUNCTION("REGEXEXTRACT(A18, ""\d{1,2}\.\d"")"),"45.0")</f>
        <v>45.0</v>
      </c>
    </row>
    <row r="19">
      <c r="A19" s="1" t="s">
        <v>251</v>
      </c>
      <c r="B19" s="2" t="str">
        <f>IFERROR(__xludf.DUMMYFUNCTION("REGEXEXTRACT(A19, ""\d{1,2}\.\d"")"),"54.0")</f>
        <v>54.0</v>
      </c>
    </row>
    <row r="20">
      <c r="A20" s="1" t="s">
        <v>252</v>
      </c>
      <c r="B20" s="2" t="str">
        <f>IFERROR(__xludf.DUMMYFUNCTION("REGEXEXTRACT(A20, ""\d{1,2}\.\d"")"),"23.6")</f>
        <v>23.6</v>
      </c>
    </row>
    <row r="21">
      <c r="A21" s="1" t="s">
        <v>253</v>
      </c>
      <c r="B21" s="2" t="str">
        <f>IFERROR(__xludf.DUMMYFUNCTION("REGEXEXTRACT(A21, ""\d{1,2}\.\d"")"),"29.9")</f>
        <v>29.9</v>
      </c>
    </row>
    <row r="22">
      <c r="A22" s="1" t="s">
        <v>254</v>
      </c>
      <c r="B22" s="2" t="str">
        <f>IFERROR(__xludf.DUMMYFUNCTION("REGEXEXTRACT(A22, ""\d{1,2}\.\d"")"),"60.7")</f>
        <v>60.7</v>
      </c>
    </row>
    <row r="23">
      <c r="A23" s="1" t="s">
        <v>255</v>
      </c>
      <c r="B23" s="2" t="str">
        <f>IFERROR(__xludf.DUMMYFUNCTION("REGEXEXTRACT(A23, ""\d{1,2}\.\d"")"),"32.1")</f>
        <v>32.1</v>
      </c>
    </row>
    <row r="24">
      <c r="A24" s="1" t="s">
        <v>256</v>
      </c>
      <c r="B24" s="2" t="str">
        <f>IFERROR(__xludf.DUMMYFUNCTION("REGEXEXTRACT(A24, ""\d{1,2}\.\d"")"),"#N/A")</f>
        <v>#N/A</v>
      </c>
    </row>
    <row r="25">
      <c r="A25" s="1" t="s">
        <v>257</v>
      </c>
      <c r="B25" s="2" t="str">
        <f>IFERROR(__xludf.DUMMYFUNCTION("REGEXEXTRACT(A25, ""\d{1,2}\.\d"")"),"22.0")</f>
        <v>22.0</v>
      </c>
    </row>
    <row r="26">
      <c r="A26" s="1" t="s">
        <v>258</v>
      </c>
      <c r="B26" s="2" t="str">
        <f>IFERROR(__xludf.DUMMYFUNCTION("REGEXEXTRACT(A26, ""\d{1,2}\.\d"")"),"49.8")</f>
        <v>49.8</v>
      </c>
    </row>
    <row r="27">
      <c r="A27" s="1" t="s">
        <v>259</v>
      </c>
      <c r="B27" s="2" t="str">
        <f>IFERROR(__xludf.DUMMYFUNCTION("REGEXEXTRACT(A27, ""\d{1,2}\.\d"")"),"#N/A")</f>
        <v>#N/A</v>
      </c>
    </row>
    <row r="28">
      <c r="A28" s="1" t="s">
        <v>260</v>
      </c>
      <c r="B28" s="2" t="str">
        <f>IFERROR(__xludf.DUMMYFUNCTION("REGEXEXTRACT(A28, ""\d{1,2}\.\d"")"),"51.4")</f>
        <v>51.4</v>
      </c>
    </row>
    <row r="29">
      <c r="A29" s="1" t="s">
        <v>261</v>
      </c>
      <c r="B29" s="2" t="str">
        <f>IFERROR(__xludf.DUMMYFUNCTION("REGEXEXTRACT(A29, ""\d{1,2}\.\d"")"),"74.8")</f>
        <v>74.8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262</v>
      </c>
      <c r="B31" s="2" t="str">
        <f>IFERROR(__xludf.DUMMYFUNCTION("REGEXEXTRACT(A31, ""\d{1,2}\.\d"")"),"58.3")</f>
        <v>58.3</v>
      </c>
    </row>
    <row r="32">
      <c r="A32" s="1" t="s">
        <v>263</v>
      </c>
      <c r="B32" s="2" t="str">
        <f>IFERROR(__xludf.DUMMYFUNCTION("REGEXEXTRACT(A32, ""\d{1,2}\.\d"")"),"38.6")</f>
        <v>38.6</v>
      </c>
    </row>
    <row r="33">
      <c r="A33" s="1" t="s">
        <v>264</v>
      </c>
      <c r="B33" s="2" t="str">
        <f>IFERROR(__xludf.DUMMYFUNCTION("REGEXEXTRACT(A33, ""\d{1,2}\.\d"")"),"50.1")</f>
        <v>50.1</v>
      </c>
    </row>
    <row r="34">
      <c r="A34" s="1" t="s">
        <v>265</v>
      </c>
      <c r="B34" s="2" t="str">
        <f>IFERROR(__xludf.DUMMYFUNCTION("REGEXEXTRACT(A34, ""\d{1,2}\.\d"")"),"54.4")</f>
        <v>54.4</v>
      </c>
    </row>
    <row r="35">
      <c r="A35" s="1" t="s">
        <v>266</v>
      </c>
      <c r="B35" s="2" t="str">
        <f>IFERROR(__xludf.DUMMYFUNCTION("REGEXEXTRACT(A35, ""\d{1,2}\.\d"")"),"57.7")</f>
        <v>57.7</v>
      </c>
    </row>
    <row r="36">
      <c r="A36" s="1" t="s">
        <v>93</v>
      </c>
      <c r="B36" s="2" t="str">
        <f>IFERROR(__xludf.DUMMYFUNCTION("REGEXEXTRACT(A36, ""\d{1,2}\.\d"")"),"#N/A")</f>
        <v>#N/A</v>
      </c>
    </row>
    <row r="37">
      <c r="A37" s="1" t="s">
        <v>267</v>
      </c>
      <c r="B37" s="2" t="str">
        <f>IFERROR(__xludf.DUMMYFUNCTION("REGEXEXTRACT(A37, ""\d{1,2}\.\d"")"),"55.0")</f>
        <v>55.0</v>
      </c>
    </row>
    <row r="38">
      <c r="A38" s="1" t="s">
        <v>268</v>
      </c>
      <c r="B38" s="2" t="str">
        <f>IFERROR(__xludf.DUMMYFUNCTION("REGEXEXTRACT(A38, ""\d{1,2}\.\d"")"),"34.2")</f>
        <v>34.2</v>
      </c>
    </row>
    <row r="39">
      <c r="A39" s="1" t="s">
        <v>269</v>
      </c>
      <c r="B39" s="2" t="str">
        <f>IFERROR(__xludf.DUMMYFUNCTION("REGEXEXTRACT(A39, ""\d{1,2}\.\d"")"),"45.2")</f>
        <v>45.2</v>
      </c>
    </row>
    <row r="40">
      <c r="A40" s="1" t="s">
        <v>270</v>
      </c>
      <c r="B40" s="2" t="str">
        <f>IFERROR(__xludf.DUMMYFUNCTION("REGEXEXTRACT(A40, ""\d{1,2}\.\d"")"),"51.3")</f>
        <v>51.3</v>
      </c>
    </row>
    <row r="41">
      <c r="A41" s="1" t="s">
        <v>271</v>
      </c>
      <c r="B41" s="2" t="str">
        <f>IFERROR(__xludf.DUMMYFUNCTION("REGEXEXTRACT(A41, ""\d{1,2}\.\d"")"),"#N/A")</f>
        <v>#N/A</v>
      </c>
    </row>
    <row r="42">
      <c r="A42" s="1" t="s">
        <v>272</v>
      </c>
      <c r="B42" s="2" t="str">
        <f>IFERROR(__xludf.DUMMYFUNCTION("REGEXEXTRACT(A42, ""\d{1,2}\.\d"")"),"39.7")</f>
        <v>39.7</v>
      </c>
    </row>
    <row r="43">
      <c r="A43" s="1" t="s">
        <v>273</v>
      </c>
      <c r="B43" s="2" t="str">
        <f>IFERROR(__xludf.DUMMYFUNCTION("REGEXEXTRACT(A43, ""\d{1,2}\.\d"")"),"56.7")</f>
        <v>56.7</v>
      </c>
    </row>
    <row r="44">
      <c r="A44" s="1" t="s">
        <v>274</v>
      </c>
      <c r="B44" s="2" t="str">
        <f>IFERROR(__xludf.DUMMYFUNCTION("REGEXEXTRACT(A44, ""\d{1,2}\.\d"")"),"47.1")</f>
        <v>47.1</v>
      </c>
    </row>
    <row r="45">
      <c r="A45" s="1" t="s">
        <v>275</v>
      </c>
      <c r="B45" s="2" t="str">
        <f>IFERROR(__xludf.DUMMYFUNCTION("REGEXEXTRACT(A45, ""\d{1,2}\.\d"")"),"46.5")</f>
        <v>46.5</v>
      </c>
    </row>
    <row r="46">
      <c r="A46" s="1" t="s">
        <v>276</v>
      </c>
      <c r="B46" s="2" t="str">
        <f>IFERROR(__xludf.DUMMYFUNCTION("REGEXEXTRACT(A46, ""\d{1,2}\.\d"")"),"35.2")</f>
        <v>35.2</v>
      </c>
    </row>
    <row r="47">
      <c r="A47" s="1" t="s">
        <v>277</v>
      </c>
      <c r="B47" s="2" t="str">
        <f>IFERROR(__xludf.DUMMYFUNCTION("REGEXEXTRACT(A47, ""\d{1,2}\.\d"")"),"60.3")</f>
        <v>60.3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278</v>
      </c>
      <c r="B49" s="2" t="str">
        <f>IFERROR(__xludf.DUMMYFUNCTION("REGEXEXTRACT(A49, ""\d{1,2}\.\d"")"),"43.8")</f>
        <v>43.8</v>
      </c>
    </row>
    <row r="50">
      <c r="A50" s="1" t="s">
        <v>279</v>
      </c>
      <c r="B50" s="2" t="str">
        <f>IFERROR(__xludf.DUMMYFUNCTION("REGEXEXTRACT(A50, ""\d{1,2}\.\d"")"),"46.7")</f>
        <v>46.7</v>
      </c>
    </row>
    <row r="51">
      <c r="A51" s="1" t="s">
        <v>280</v>
      </c>
      <c r="B51" s="2" t="str">
        <f>IFERROR(__xludf.DUMMYFUNCTION("REGEXEXTRACT(A51, ""\d{1,2}\.\d"")"),"44.1")</f>
        <v>44.1</v>
      </c>
    </row>
    <row r="52">
      <c r="A52" s="1" t="s">
        <v>281</v>
      </c>
      <c r="B52" s="2" t="str">
        <f>IFERROR(__xludf.DUMMYFUNCTION("REGEXEXTRACT(A52, ""\d{1,2}\.\d"")"),"57.6")</f>
        <v>57.6</v>
      </c>
    </row>
    <row r="53">
      <c r="A53" s="1" t="s">
        <v>282</v>
      </c>
      <c r="B53" s="2" t="str">
        <f>IFERROR(__xludf.DUMMYFUNCTION("REGEXEXTRACT(A53, ""\d{1,2}\.\d"")"),"54.2")</f>
        <v>54.2</v>
      </c>
    </row>
    <row r="54">
      <c r="A54" s="1" t="s">
        <v>26</v>
      </c>
      <c r="B54" s="2" t="str">
        <f>IFERROR(__xludf.DUMMYFUNCTION("REGEXEXTRACT(A54, ""\d{1,2}\.\d"")"),"#N/A")</f>
        <v>#N/A</v>
      </c>
    </row>
    <row r="55">
      <c r="A55" s="1" t="s">
        <v>283</v>
      </c>
      <c r="B55" s="2" t="str">
        <f>IFERROR(__xludf.DUMMYFUNCTION("REGEXEXTRACT(A55, ""\d{1,2}\.\d"")"),"73.3")</f>
        <v>73.3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284</v>
      </c>
      <c r="B57" s="2" t="str">
        <f>IFERROR(__xludf.DUMMYFUNCTION("REGEXEXTRACT(A57, ""\d{1,2}\.\d"")"),"65.4")</f>
        <v>65.4</v>
      </c>
    </row>
    <row r="58">
      <c r="A58" s="1" t="s">
        <v>285</v>
      </c>
      <c r="B58" s="2" t="str">
        <f>IFERROR(__xludf.DUMMYFUNCTION("REGEXEXTRACT(A58, ""\d{1,2}\.\d"")"),"43.9")</f>
        <v>43.9</v>
      </c>
    </row>
    <row r="59">
      <c r="A59" s="1" t="s">
        <v>286</v>
      </c>
      <c r="B59" s="2" t="str">
        <f>IFERROR(__xludf.DUMMYFUNCTION("REGEXEXTRACT(A59, ""\d{1,2}\.\d"")"),"44.3")</f>
        <v>44.3</v>
      </c>
    </row>
    <row r="60">
      <c r="A60" s="1" t="s">
        <v>287</v>
      </c>
      <c r="B60" s="2" t="str">
        <f>IFERROR(__xludf.DUMMYFUNCTION("REGEXEXTRACT(A60, ""\d{1,2}\.\d"")"),"61.4")</f>
        <v>61.4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288</v>
      </c>
      <c r="B62" s="2" t="str">
        <f>IFERROR(__xludf.DUMMYFUNCTION("REGEXEXTRACT(A62, ""\d{1,2}\.\d"")"),"36.9")</f>
        <v>36.9</v>
      </c>
    </row>
    <row r="63">
      <c r="A63" s="1" t="s">
        <v>289</v>
      </c>
      <c r="B63" s="2" t="str">
        <f>IFERROR(__xludf.DUMMYFUNCTION("REGEXEXTRACT(A63, ""\d{1,2}\.\d"")"),"51.9")</f>
        <v>51.9</v>
      </c>
    </row>
    <row r="64">
      <c r="A64" s="1" t="s">
        <v>290</v>
      </c>
      <c r="B64" s="2" t="str">
        <f>IFERROR(__xludf.DUMMYFUNCTION("REGEXEXTRACT(A64, ""\d{1,2}\.\d"")"),"43.5")</f>
        <v>43.5</v>
      </c>
    </row>
    <row r="65">
      <c r="A65" s="1" t="s">
        <v>291</v>
      </c>
      <c r="B65" s="2" t="str">
        <f>IFERROR(__xludf.DUMMYFUNCTION("REGEXEXTRACT(A65, ""\d{1,2}\.\d"")"),"52.4")</f>
        <v>52.4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2" max="2" width="16.13"/>
  </cols>
  <sheetData>
    <row r="1">
      <c r="A1" s="1" t="s">
        <v>0</v>
      </c>
    </row>
    <row r="2">
      <c r="A2" s="1" t="s">
        <v>292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77.8</v>
      </c>
    </row>
    <row r="3">
      <c r="A3" s="1" t="s">
        <v>293</v>
      </c>
      <c r="B3" s="2" t="str">
        <f t="shared" si="1"/>
        <v>road congestion</v>
      </c>
      <c r="C3" s="2" t="str">
        <f t="shared" si="2"/>
        <v>47.2</v>
      </c>
    </row>
    <row r="4">
      <c r="A4" s="1" t="s">
        <v>294</v>
      </c>
      <c r="B4" s="2" t="str">
        <f t="shared" si="1"/>
        <v>air pollution</v>
      </c>
      <c r="C4" s="2" t="str">
        <f t="shared" si="2"/>
        <v>45.2</v>
      </c>
    </row>
    <row r="5">
      <c r="A5" s="1" t="s">
        <v>295</v>
      </c>
      <c r="B5" s="2" t="str">
        <f t="shared" si="1"/>
        <v>school education</v>
      </c>
      <c r="C5" s="2" t="str">
        <f t="shared" si="2"/>
        <v>38.3</v>
      </c>
    </row>
    <row r="6">
      <c r="A6" s="1" t="s">
        <v>296</v>
      </c>
      <c r="B6" s="2" t="str">
        <f t="shared" si="1"/>
        <v>unemployment</v>
      </c>
      <c r="C6" s="2" t="str">
        <f t="shared" si="2"/>
        <v>38.1</v>
      </c>
    </row>
    <row r="7">
      <c r="A7" s="1" t="s">
        <v>297</v>
      </c>
      <c r="B7" s="2" t="str">
        <f t="shared" si="1"/>
        <v>security</v>
      </c>
      <c r="C7" s="2" t="str">
        <f t="shared" si="2"/>
        <v>37.2</v>
      </c>
    </row>
    <row r="8">
      <c r="A8" s="1" t="s">
        <v>239</v>
      </c>
      <c r="B8" s="2" t="str">
        <f t="shared" si="1"/>
        <v>health services</v>
      </c>
      <c r="C8" s="2" t="str">
        <f t="shared" si="2"/>
        <v>33.9</v>
      </c>
    </row>
    <row r="9">
      <c r="A9" s="1" t="s">
        <v>298</v>
      </c>
      <c r="B9" s="2" t="str">
        <f t="shared" si="1"/>
        <v>fulfilling employment</v>
      </c>
      <c r="C9" s="2" t="str">
        <f t="shared" si="2"/>
        <v>26.6</v>
      </c>
    </row>
    <row r="10">
      <c r="A10" s="1" t="s">
        <v>299</v>
      </c>
      <c r="B10" s="2" t="str">
        <f t="shared" si="1"/>
        <v>basic amenities</v>
      </c>
      <c r="C10" s="2" t="str">
        <f t="shared" si="2"/>
        <v>26.5</v>
      </c>
    </row>
    <row r="11">
      <c r="A11" s="1" t="s">
        <v>300</v>
      </c>
      <c r="B11" s="2" t="str">
        <f t="shared" si="1"/>
        <v>corruption</v>
      </c>
      <c r="C11" s="2" t="str">
        <f t="shared" si="2"/>
        <v>25.7</v>
      </c>
    </row>
    <row r="12">
      <c r="A12" s="1" t="s">
        <v>301</v>
      </c>
      <c r="B12" s="2" t="str">
        <f t="shared" si="1"/>
        <v>recycling</v>
      </c>
      <c r="C12" s="2" t="str">
        <f t="shared" si="2"/>
        <v>20.3</v>
      </c>
    </row>
    <row r="13">
      <c r="A13" s="1" t="s">
        <v>302</v>
      </c>
      <c r="B13" s="2" t="str">
        <f t="shared" si="1"/>
        <v>public transport</v>
      </c>
      <c r="C13" s="2" t="str">
        <f t="shared" si="2"/>
        <v>18.9</v>
      </c>
    </row>
    <row r="14">
      <c r="A14" s="1" t="s">
        <v>303</v>
      </c>
      <c r="B14" s="2" t="str">
        <f t="shared" si="1"/>
        <v>citizen engagement</v>
      </c>
      <c r="C14" s="2" t="str">
        <f t="shared" si="2"/>
        <v>12.0</v>
      </c>
    </row>
    <row r="15">
      <c r="A15" s="1" t="s">
        <v>304</v>
      </c>
      <c r="B15" s="2" t="str">
        <f t="shared" si="1"/>
        <v>green spaces</v>
      </c>
      <c r="C15" s="2" t="str">
        <f t="shared" si="2"/>
        <v>9.7</v>
      </c>
    </row>
    <row r="16">
      <c r="A16" s="1" t="s">
        <v>305</v>
      </c>
      <c r="B16" s="2" t="str">
        <f t="shared" si="1"/>
        <v>social mobility</v>
      </c>
      <c r="C16" s="2" t="str">
        <f t="shared" si="2"/>
        <v>8.3</v>
      </c>
    </row>
    <row r="17">
      <c r="A17" s="1" t="s">
        <v>16</v>
      </c>
    </row>
    <row r="18">
      <c r="A18" s="1" t="s">
        <v>306</v>
      </c>
      <c r="B18" s="2" t="str">
        <f>IFERROR(__xludf.DUMMYFUNCTION("REGEXEXTRACT(A18, ""\d{1,2}\.\d"")"),"51.8")</f>
        <v>51.8</v>
      </c>
    </row>
    <row r="19">
      <c r="A19" s="1" t="s">
        <v>307</v>
      </c>
      <c r="B19" s="2" t="str">
        <f>IFERROR(__xludf.DUMMYFUNCTION("REGEXEXTRACT(A19, ""\d{1,2}\.\d"")"),"63.2")</f>
        <v>63.2</v>
      </c>
    </row>
    <row r="20">
      <c r="A20" s="1" t="s">
        <v>308</v>
      </c>
      <c r="B20" s="2" t="str">
        <f>IFERROR(__xludf.DUMMYFUNCTION("REGEXEXTRACT(A20, ""\d{1,2}\.\d"")"),"38.8")</f>
        <v>38.8</v>
      </c>
    </row>
    <row r="21">
      <c r="A21" s="1" t="s">
        <v>309</v>
      </c>
      <c r="B21" s="2" t="str">
        <f>IFERROR(__xludf.DUMMYFUNCTION("REGEXEXTRACT(A21, ""\d{1,2}\.\d"")"),"30.6")</f>
        <v>30.6</v>
      </c>
    </row>
    <row r="22">
      <c r="A22" s="1" t="s">
        <v>310</v>
      </c>
      <c r="B22" s="2" t="str">
        <f>IFERROR(__xludf.DUMMYFUNCTION("REGEXEXTRACT(A22, ""\d{1,2}\.\d"")"),"65.9")</f>
        <v>65.9</v>
      </c>
    </row>
    <row r="23">
      <c r="A23" s="1" t="s">
        <v>311</v>
      </c>
      <c r="B23" s="2" t="str">
        <f>IFERROR(__xludf.DUMMYFUNCTION("REGEXEXTRACT(A23, ""\d{1,2}\.\d"")"),"27.6")</f>
        <v>27.6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312</v>
      </c>
      <c r="B25" s="2" t="str">
        <f>IFERROR(__xludf.DUMMYFUNCTION("REGEXEXTRACT(A25, ""\d{1,2}\.\d"")"),"21.5")</f>
        <v>21.5</v>
      </c>
    </row>
    <row r="26">
      <c r="A26" s="1" t="s">
        <v>313</v>
      </c>
      <c r="B26" s="2" t="str">
        <f>IFERROR(__xludf.DUMMYFUNCTION("REGEXEXTRACT(A26, ""\d{1,2}\.\d"")"),"44.6")</f>
        <v>44.6</v>
      </c>
    </row>
    <row r="27">
      <c r="A27" s="1" t="s">
        <v>26</v>
      </c>
      <c r="B27" s="2" t="str">
        <f>IFERROR(__xludf.DUMMYFUNCTION("REGEXEXTRACT(A27, ""\d{1,2}\.\d"")"),"#N/A")</f>
        <v>#N/A</v>
      </c>
    </row>
    <row r="28">
      <c r="A28" s="1" t="s">
        <v>314</v>
      </c>
      <c r="B28" s="2" t="str">
        <f>IFERROR(__xludf.DUMMYFUNCTION("REGEXEXTRACT(A28, ""\d{1,2}\.\d"")"),"52.7")</f>
        <v>52.7</v>
      </c>
    </row>
    <row r="29">
      <c r="A29" s="1" t="s">
        <v>315</v>
      </c>
      <c r="B29" s="2" t="str">
        <f>IFERROR(__xludf.DUMMYFUNCTION("REGEXEXTRACT(A29, ""\d{1,2}\.\d"")"),"72.8")</f>
        <v>72.8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316</v>
      </c>
      <c r="B31" s="2" t="str">
        <f>IFERROR(__xludf.DUMMYFUNCTION("REGEXEXTRACT(A31, ""\d{1,2}\.\d"")"),"69.5")</f>
        <v>69.5</v>
      </c>
    </row>
    <row r="32">
      <c r="A32" s="1" t="s">
        <v>317</v>
      </c>
      <c r="B32" s="2" t="str">
        <f>IFERROR(__xludf.DUMMYFUNCTION("REGEXEXTRACT(A32, ""\d{1,2}\.\d"")"),"57.3")</f>
        <v>57.3</v>
      </c>
    </row>
    <row r="33">
      <c r="A33" s="1" t="s">
        <v>318</v>
      </c>
      <c r="B33" s="2" t="str">
        <f>IFERROR(__xludf.DUMMYFUNCTION("REGEXEXTRACT(A33, ""\d{1,2}\.\d"")"),"59.3")</f>
        <v>59.3</v>
      </c>
    </row>
    <row r="34">
      <c r="A34" s="1" t="s">
        <v>319</v>
      </c>
      <c r="B34" s="2" t="str">
        <f>IFERROR(__xludf.DUMMYFUNCTION("REGEXEXTRACT(A34, ""\d{1,2}\.\d"")"),"64.6")</f>
        <v>64.6</v>
      </c>
    </row>
    <row r="35">
      <c r="A35" s="1" t="s">
        <v>320</v>
      </c>
      <c r="B35" s="2" t="str">
        <f>IFERROR(__xludf.DUMMYFUNCTION("REGEXEXTRACT(A35, ""\d{1,2}\.\d"")"),"57.2")</f>
        <v>57.2</v>
      </c>
    </row>
    <row r="36">
      <c r="A36" s="1" t="s">
        <v>35</v>
      </c>
      <c r="B36" s="2" t="str">
        <f>IFERROR(__xludf.DUMMYFUNCTION("REGEXEXTRACT(A36, ""\d{1,2}\.\d"")"),"#N/A")</f>
        <v>#N/A</v>
      </c>
    </row>
    <row r="37">
      <c r="A37" s="1" t="s">
        <v>321</v>
      </c>
      <c r="B37" s="2" t="str">
        <f>IFERROR(__xludf.DUMMYFUNCTION("REGEXEXTRACT(A37, ""\d{1,2}\.\d"")"),"59.7")</f>
        <v>59.7</v>
      </c>
    </row>
    <row r="38">
      <c r="A38" s="1" t="s">
        <v>322</v>
      </c>
      <c r="B38" s="2" t="str">
        <f>IFERROR(__xludf.DUMMYFUNCTION("REGEXEXTRACT(A38, ""\d{1,2}\.\d"")"),"37.9")</f>
        <v>37.9</v>
      </c>
    </row>
    <row r="39">
      <c r="A39" s="1" t="s">
        <v>323</v>
      </c>
      <c r="B39" s="2" t="str">
        <f>IFERROR(__xludf.DUMMYFUNCTION("REGEXEXTRACT(A39, ""\d{1,2}\.\d"")"),"47.2")</f>
        <v>47.2</v>
      </c>
    </row>
    <row r="40">
      <c r="A40" s="1" t="s">
        <v>324</v>
      </c>
      <c r="B40" s="2" t="str">
        <f>IFERROR(__xludf.DUMMYFUNCTION("REGEXEXTRACT(A40, ""\d{1,2}\.\d"")"),"56.6")</f>
        <v>56.6</v>
      </c>
    </row>
    <row r="41">
      <c r="A41" s="1" t="s">
        <v>325</v>
      </c>
      <c r="B41" s="2" t="str">
        <f>IFERROR(__xludf.DUMMYFUNCTION("REGEXEXTRACT(A41, ""\d{1,2}\.\d"")"),"#N/A")</f>
        <v>#N/A</v>
      </c>
    </row>
    <row r="42">
      <c r="A42" s="1" t="s">
        <v>326</v>
      </c>
      <c r="B42" s="2" t="str">
        <f>IFERROR(__xludf.DUMMYFUNCTION("REGEXEXTRACT(A42, ""\d{1,2}\.\d"")"),"43.8")</f>
        <v>43.8</v>
      </c>
    </row>
    <row r="43">
      <c r="A43" s="1" t="s">
        <v>327</v>
      </c>
      <c r="B43" s="2" t="str">
        <f>IFERROR(__xludf.DUMMYFUNCTION("REGEXEXTRACT(A43, ""\d{1,2}\.\d"")"),"61.1")</f>
        <v>61.1</v>
      </c>
    </row>
    <row r="44">
      <c r="A44" s="1" t="s">
        <v>328</v>
      </c>
      <c r="B44" s="2" t="str">
        <f>IFERROR(__xludf.DUMMYFUNCTION("REGEXEXTRACT(A44, ""\d{1,2}\.\d"")"),"45.2")</f>
        <v>45.2</v>
      </c>
    </row>
    <row r="45">
      <c r="A45" s="1" t="s">
        <v>329</v>
      </c>
      <c r="B45" s="2" t="str">
        <f>IFERROR(__xludf.DUMMYFUNCTION("REGEXEXTRACT(A45, ""\d{1,2}\.\d"")"),"40.0")</f>
        <v>40.0</v>
      </c>
    </row>
    <row r="46">
      <c r="A46" s="1" t="s">
        <v>330</v>
      </c>
      <c r="B46" s="2" t="str">
        <f>IFERROR(__xludf.DUMMYFUNCTION("REGEXEXTRACT(A46, ""\d{1,2}\.\d"")"),"45.5")</f>
        <v>45.5</v>
      </c>
    </row>
    <row r="47">
      <c r="A47" s="1" t="s">
        <v>331</v>
      </c>
      <c r="B47" s="2" t="str">
        <f>IFERROR(__xludf.DUMMYFUNCTION("REGEXEXTRACT(A47, ""\d{1,2}\.\d"")"),"64.1")</f>
        <v>64.1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332</v>
      </c>
      <c r="B49" s="2" t="str">
        <f>IFERROR(__xludf.DUMMYFUNCTION("REGEXEXTRACT(A49, ""\d{1,2}\.\d"")"),"39.7")</f>
        <v>39.7</v>
      </c>
    </row>
    <row r="50">
      <c r="A50" s="1" t="s">
        <v>333</v>
      </c>
      <c r="B50" s="2" t="str">
        <f>IFERROR(__xludf.DUMMYFUNCTION("REGEXEXTRACT(A50, ""\d{1,2}\.\d"")"),"32.7")</f>
        <v>32.7</v>
      </c>
    </row>
    <row r="51">
      <c r="A51" s="1" t="s">
        <v>334</v>
      </c>
      <c r="B51" s="2" t="str">
        <f>IFERROR(__xludf.DUMMYFUNCTION("REGEXEXTRACT(A51, ""\d{1,2}\.\d"")"),"30.6")</f>
        <v>30.6</v>
      </c>
    </row>
    <row r="52">
      <c r="A52" s="1" t="s">
        <v>335</v>
      </c>
      <c r="B52" s="2" t="str">
        <f>IFERROR(__xludf.DUMMYFUNCTION("REGEXEXTRACT(A52, ""\d{1,2}\.\d"")"),"48.2")</f>
        <v>48.2</v>
      </c>
    </row>
    <row r="53">
      <c r="A53" s="1" t="s">
        <v>336</v>
      </c>
      <c r="B53" s="2" t="str">
        <f>IFERROR(__xludf.DUMMYFUNCTION("REGEXEXTRACT(A53, ""\d{1,2}\.\d"")"),"58.2")</f>
        <v>58.2</v>
      </c>
    </row>
    <row r="54">
      <c r="A54" s="1" t="s">
        <v>26</v>
      </c>
      <c r="B54" s="2" t="str">
        <f>IFERROR(__xludf.DUMMYFUNCTION("REGEXEXTRACT(A54, ""\d{1,2}\.\d"")"),"#N/A")</f>
        <v>#N/A</v>
      </c>
    </row>
    <row r="55">
      <c r="A55" s="1" t="s">
        <v>337</v>
      </c>
      <c r="B55" s="2" t="str">
        <f>IFERROR(__xludf.DUMMYFUNCTION("REGEXEXTRACT(A55, ""\d{1,2}\.\d"")"),"76.0")</f>
        <v>76.0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338</v>
      </c>
      <c r="B57" s="2" t="str">
        <f>IFERROR(__xludf.DUMMYFUNCTION("REGEXEXTRACT(A57, ""\d{1,2}\.\d"")"),"71.3")</f>
        <v>71.3</v>
      </c>
    </row>
    <row r="58">
      <c r="A58" s="1" t="s">
        <v>339</v>
      </c>
      <c r="B58" s="2" t="str">
        <f>IFERROR(__xludf.DUMMYFUNCTION("REGEXEXTRACT(A58, ""\d{1,2}\.\d"")"),"41.6")</f>
        <v>41.6</v>
      </c>
    </row>
    <row r="59">
      <c r="A59" s="1" t="s">
        <v>340</v>
      </c>
      <c r="B59" s="2" t="str">
        <f>IFERROR(__xludf.DUMMYFUNCTION("REGEXEXTRACT(A59, ""\d{1,2}\.\d"")"),"42.9")</f>
        <v>42.9</v>
      </c>
    </row>
    <row r="60">
      <c r="A60" s="1" t="s">
        <v>341</v>
      </c>
      <c r="B60" s="2" t="str">
        <f>IFERROR(__xludf.DUMMYFUNCTION("REGEXEXTRACT(A60, ""\d{1,2}\.\d"")"),"66.6")</f>
        <v>66.6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342</v>
      </c>
      <c r="B62" s="2" t="str">
        <f>IFERROR(__xludf.DUMMYFUNCTION("REGEXEXTRACT(A62, ""\d{1,2}\.\d"")"),"33.0")</f>
        <v>33.0</v>
      </c>
    </row>
    <row r="63">
      <c r="A63" s="1" t="s">
        <v>343</v>
      </c>
      <c r="B63" s="2" t="str">
        <f>IFERROR(__xludf.DUMMYFUNCTION("REGEXEXTRACT(A63, ""\d{1,2}\.\d"")"),"46.8")</f>
        <v>46.8</v>
      </c>
    </row>
    <row r="64">
      <c r="A64" s="1" t="s">
        <v>344</v>
      </c>
      <c r="B64" s="2" t="str">
        <f>IFERROR(__xludf.DUMMYFUNCTION("REGEXEXTRACT(A64, ""\d{1,2}\.\d"")"),"39.1")</f>
        <v>39.1</v>
      </c>
    </row>
    <row r="65">
      <c r="A65" s="1" t="s">
        <v>345</v>
      </c>
      <c r="B65" s="2" t="str">
        <f>IFERROR(__xludf.DUMMYFUNCTION("REGEXEXTRACT(A65, ""\d{1,2}\.\d"")"),"54.0")</f>
        <v>54.0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  <col customWidth="1" min="2" max="2" width="16.13"/>
  </cols>
  <sheetData>
    <row r="1">
      <c r="A1" s="1" t="s">
        <v>0</v>
      </c>
    </row>
    <row r="2">
      <c r="A2" s="1" t="s">
        <v>346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61.9</v>
      </c>
    </row>
    <row r="3">
      <c r="A3" s="1" t="s">
        <v>347</v>
      </c>
      <c r="B3" s="2" t="str">
        <f t="shared" si="1"/>
        <v>security</v>
      </c>
      <c r="C3" s="2" t="str">
        <f t="shared" si="2"/>
        <v>52.6</v>
      </c>
    </row>
    <row r="4">
      <c r="A4" s="1" t="s">
        <v>348</v>
      </c>
      <c r="B4" s="2" t="str">
        <f t="shared" si="1"/>
        <v>road congestion</v>
      </c>
      <c r="C4" s="2" t="str">
        <f t="shared" si="2"/>
        <v>42.4</v>
      </c>
    </row>
    <row r="5">
      <c r="A5" s="1" t="s">
        <v>349</v>
      </c>
      <c r="B5" s="2" t="str">
        <f t="shared" si="1"/>
        <v>health services</v>
      </c>
      <c r="C5" s="2" t="str">
        <f t="shared" si="2"/>
        <v>39.5</v>
      </c>
    </row>
    <row r="6">
      <c r="A6" s="1" t="s">
        <v>350</v>
      </c>
      <c r="B6" s="2" t="str">
        <f t="shared" si="1"/>
        <v>air pollution</v>
      </c>
      <c r="C6" s="2" t="str">
        <f t="shared" si="2"/>
        <v>39.1</v>
      </c>
    </row>
    <row r="7">
      <c r="A7" s="1" t="s">
        <v>351</v>
      </c>
      <c r="B7" s="2" t="str">
        <f t="shared" si="1"/>
        <v>unemployment</v>
      </c>
      <c r="C7" s="2" t="str">
        <f t="shared" si="2"/>
        <v>33.5</v>
      </c>
    </row>
    <row r="8">
      <c r="A8" s="1" t="s">
        <v>352</v>
      </c>
      <c r="B8" s="2" t="str">
        <f t="shared" si="1"/>
        <v>corruption</v>
      </c>
      <c r="C8" s="2" t="str">
        <f t="shared" si="2"/>
        <v>32.2</v>
      </c>
    </row>
    <row r="9">
      <c r="A9" s="1" t="s">
        <v>353</v>
      </c>
      <c r="B9" s="2" t="str">
        <f t="shared" si="1"/>
        <v>public transport</v>
      </c>
      <c r="C9" s="2" t="str">
        <f t="shared" si="2"/>
        <v>28.2</v>
      </c>
    </row>
    <row r="10">
      <c r="A10" s="1" t="s">
        <v>354</v>
      </c>
      <c r="B10" s="2" t="str">
        <f t="shared" si="1"/>
        <v>fulfilling employment</v>
      </c>
      <c r="C10" s="2" t="str">
        <f t="shared" si="2"/>
        <v>26.1</v>
      </c>
    </row>
    <row r="11">
      <c r="A11" s="1" t="s">
        <v>355</v>
      </c>
      <c r="B11" s="2" t="str">
        <f t="shared" si="1"/>
        <v>basic amenities</v>
      </c>
      <c r="C11" s="2" t="str">
        <f t="shared" si="2"/>
        <v>25.7</v>
      </c>
    </row>
    <row r="12">
      <c r="A12" s="1" t="s">
        <v>356</v>
      </c>
      <c r="B12" s="2" t="str">
        <f t="shared" si="1"/>
        <v>school education</v>
      </c>
      <c r="C12" s="2" t="str">
        <f t="shared" si="2"/>
        <v>23.5</v>
      </c>
    </row>
    <row r="13">
      <c r="A13" s="1" t="s">
        <v>357</v>
      </c>
      <c r="B13" s="2" t="str">
        <f t="shared" si="1"/>
        <v>green spaces</v>
      </c>
      <c r="C13" s="2" t="str">
        <f t="shared" si="2"/>
        <v>18.1</v>
      </c>
    </row>
    <row r="14">
      <c r="A14" s="1" t="s">
        <v>358</v>
      </c>
      <c r="B14" s="2" t="str">
        <f t="shared" si="1"/>
        <v>social mobility</v>
      </c>
      <c r="C14" s="2" t="str">
        <f t="shared" si="2"/>
        <v>15.8</v>
      </c>
    </row>
    <row r="15">
      <c r="A15" s="1" t="s">
        <v>359</v>
      </c>
      <c r="B15" s="2" t="str">
        <f t="shared" si="1"/>
        <v>recycling</v>
      </c>
      <c r="C15" s="2" t="str">
        <f t="shared" si="2"/>
        <v>14.3</v>
      </c>
    </row>
    <row r="16">
      <c r="A16" s="1" t="s">
        <v>360</v>
      </c>
      <c r="B16" s="2" t="str">
        <f t="shared" si="1"/>
        <v>citizen engagement</v>
      </c>
      <c r="C16" s="2" t="str">
        <f t="shared" si="2"/>
        <v>8.8</v>
      </c>
    </row>
    <row r="17">
      <c r="A17" s="1" t="s">
        <v>16</v>
      </c>
    </row>
    <row r="18">
      <c r="A18" s="1" t="s">
        <v>361</v>
      </c>
      <c r="B18" s="2" t="str">
        <f>IFERROR(__xludf.DUMMYFUNCTION("REGEXEXTRACT(A18, ""\d{1,2}\.\d"")"),"62.8")</f>
        <v>62.8</v>
      </c>
    </row>
    <row r="19">
      <c r="A19" s="1" t="s">
        <v>362</v>
      </c>
      <c r="B19" s="2" t="str">
        <f>IFERROR(__xludf.DUMMYFUNCTION("REGEXEXTRACT(A19, ""\d{1,2}\.\d"")"),"69.8")</f>
        <v>69.8</v>
      </c>
    </row>
    <row r="20">
      <c r="A20" s="1" t="s">
        <v>363</v>
      </c>
      <c r="B20" s="2" t="str">
        <f>IFERROR(__xludf.DUMMYFUNCTION("REGEXEXTRACT(A20, ""\d{1,2}\.\d"")"),"42.3")</f>
        <v>42.3</v>
      </c>
    </row>
    <row r="21">
      <c r="A21" s="1" t="s">
        <v>364</v>
      </c>
      <c r="B21" s="2" t="str">
        <f>IFERROR(__xludf.DUMMYFUNCTION("REGEXEXTRACT(A21, ""\d{1,2}\.\d"")"),"38.8")</f>
        <v>38.8</v>
      </c>
    </row>
    <row r="22">
      <c r="A22" s="1" t="s">
        <v>365</v>
      </c>
      <c r="B22" s="2" t="str">
        <f>IFERROR(__xludf.DUMMYFUNCTION("REGEXEXTRACT(A22, ""\d{1,2}\.\d"")"),"68.7")</f>
        <v>68.7</v>
      </c>
    </row>
    <row r="23">
      <c r="A23" s="1" t="s">
        <v>366</v>
      </c>
      <c r="B23" s="2" t="str">
        <f>IFERROR(__xludf.DUMMYFUNCTION("REGEXEXTRACT(A23, ""\d{1,2}\.\d"")"),"43.4")</f>
        <v>43.4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367</v>
      </c>
      <c r="B25" s="2" t="str">
        <f>IFERROR(__xludf.DUMMYFUNCTION("REGEXEXTRACT(A25, ""\d{1,2}\.\d"")"),"35.0")</f>
        <v>35.0</v>
      </c>
    </row>
    <row r="26">
      <c r="A26" s="1" t="s">
        <v>368</v>
      </c>
      <c r="B26" s="2" t="str">
        <f>IFERROR(__xludf.DUMMYFUNCTION("REGEXEXTRACT(A26, ""\d{1,2}\.\d"")"),"56.4")</f>
        <v>56.4</v>
      </c>
    </row>
    <row r="27">
      <c r="A27" s="1" t="s">
        <v>26</v>
      </c>
      <c r="B27" s="2" t="str">
        <f>IFERROR(__xludf.DUMMYFUNCTION("REGEXEXTRACT(A27, ""\d{1,2}\.\d"")"),"#N/A")</f>
        <v>#N/A</v>
      </c>
    </row>
    <row r="28">
      <c r="A28" s="1" t="s">
        <v>369</v>
      </c>
      <c r="B28" s="2" t="str">
        <f>IFERROR(__xludf.DUMMYFUNCTION("REGEXEXTRACT(A28, ""\d{1,2}\.\d"")"),"69.6")</f>
        <v>69.6</v>
      </c>
    </row>
    <row r="29">
      <c r="A29" s="1" t="s">
        <v>370</v>
      </c>
      <c r="B29" s="2" t="str">
        <f>IFERROR(__xludf.DUMMYFUNCTION("REGEXEXTRACT(A29, ""\d{1,2}\.\d"")"),"77.5")</f>
        <v>77.5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371</v>
      </c>
      <c r="B31" s="2" t="str">
        <f>IFERROR(__xludf.DUMMYFUNCTION("REGEXEXTRACT(A31, ""\d{1,2}\.\d"")"),"69.5")</f>
        <v>69.5</v>
      </c>
    </row>
    <row r="32">
      <c r="A32" s="1" t="s">
        <v>372</v>
      </c>
      <c r="B32" s="2" t="str">
        <f>IFERROR(__xludf.DUMMYFUNCTION("REGEXEXTRACT(A32, ""\d{1,2}\.\d"")"),"61.6")</f>
        <v>61.6</v>
      </c>
    </row>
    <row r="33">
      <c r="A33" s="1" t="s">
        <v>373</v>
      </c>
      <c r="B33" s="2" t="str">
        <f>IFERROR(__xludf.DUMMYFUNCTION("REGEXEXTRACT(A33, ""\d{1,2}\.\d"")"),"64.2")</f>
        <v>64.2</v>
      </c>
    </row>
    <row r="34">
      <c r="A34" s="1" t="s">
        <v>374</v>
      </c>
      <c r="B34" s="2" t="str">
        <f>IFERROR(__xludf.DUMMYFUNCTION("REGEXEXTRACT(A34, ""\d{1,2}\.\d"")"),"65.0")</f>
        <v>65.0</v>
      </c>
    </row>
    <row r="35">
      <c r="A35" s="1" t="s">
        <v>375</v>
      </c>
      <c r="B35" s="2" t="str">
        <f>IFERROR(__xludf.DUMMYFUNCTION("REGEXEXTRACT(A35, ""\d{1,2}\.\d"")"),"64.0")</f>
        <v>64.0</v>
      </c>
    </row>
    <row r="36">
      <c r="A36" s="1" t="s">
        <v>376</v>
      </c>
      <c r="B36" s="2" t="str">
        <f>IFERROR(__xludf.DUMMYFUNCTION("REGEXEXTRACT(A36, ""\d{1,2}\.\d"")"),"#N/A")</f>
        <v>#N/A</v>
      </c>
    </row>
    <row r="37">
      <c r="A37" s="1" t="s">
        <v>377</v>
      </c>
      <c r="B37" s="2" t="str">
        <f>IFERROR(__xludf.DUMMYFUNCTION("REGEXEXTRACT(A37, ""\d{1,2}\.\d"")"),"67.0")</f>
        <v>67.0</v>
      </c>
    </row>
    <row r="38">
      <c r="A38" s="1" t="s">
        <v>378</v>
      </c>
      <c r="B38" s="2" t="str">
        <f>IFERROR(__xludf.DUMMYFUNCTION("REGEXEXTRACT(A38, ""\d{1,2}\.\d"")"),"42.5")</f>
        <v>42.5</v>
      </c>
    </row>
    <row r="39">
      <c r="A39" s="1" t="s">
        <v>379</v>
      </c>
      <c r="B39" s="2" t="str">
        <f>IFERROR(__xludf.DUMMYFUNCTION("REGEXEXTRACT(A39, ""\d{1,2}\.\d"")"),"56.7")</f>
        <v>56.7</v>
      </c>
    </row>
    <row r="40">
      <c r="A40" s="1" t="s">
        <v>380</v>
      </c>
      <c r="B40" s="2" t="str">
        <f>IFERROR(__xludf.DUMMYFUNCTION("REGEXEXTRACT(A40, ""\d{1,2}\.\d"")"),"63.6")</f>
        <v>63.6</v>
      </c>
    </row>
    <row r="41">
      <c r="A41" s="1" t="s">
        <v>77</v>
      </c>
      <c r="B41" s="2" t="str">
        <f>IFERROR(__xludf.DUMMYFUNCTION("REGEXEXTRACT(A41, ""\d{1,2}\.\d"")"),"#N/A")</f>
        <v>#N/A</v>
      </c>
    </row>
    <row r="42">
      <c r="A42" s="1" t="s">
        <v>381</v>
      </c>
      <c r="B42" s="2" t="str">
        <f>IFERROR(__xludf.DUMMYFUNCTION("REGEXEXTRACT(A42, ""\d{1,2}\.\d"")"),"55.8")</f>
        <v>55.8</v>
      </c>
    </row>
    <row r="43">
      <c r="A43" s="1" t="s">
        <v>382</v>
      </c>
      <c r="B43" s="2" t="str">
        <f>IFERROR(__xludf.DUMMYFUNCTION("REGEXEXTRACT(A43, ""\d{1,2}\.\d"")"),"61.2")</f>
        <v>61.2</v>
      </c>
    </row>
    <row r="44">
      <c r="A44" s="1" t="s">
        <v>383</v>
      </c>
      <c r="B44" s="2" t="str">
        <f>IFERROR(__xludf.DUMMYFUNCTION("REGEXEXTRACT(A44, ""\d{1,2}\.\d"")"),"69.0")</f>
        <v>69.0</v>
      </c>
    </row>
    <row r="45">
      <c r="A45" s="1" t="s">
        <v>384</v>
      </c>
      <c r="B45" s="2" t="str">
        <f>IFERROR(__xludf.DUMMYFUNCTION("REGEXEXTRACT(A45, ""\d{1,2}\.\d"")"),"61.7")</f>
        <v>61.7</v>
      </c>
    </row>
    <row r="46">
      <c r="A46" s="1" t="s">
        <v>385</v>
      </c>
      <c r="B46" s="2" t="str">
        <f>IFERROR(__xludf.DUMMYFUNCTION("REGEXEXTRACT(A46, ""\d{1,2}\.\d"")"),"53.0")</f>
        <v>53.0</v>
      </c>
    </row>
    <row r="47">
      <c r="A47" s="1" t="s">
        <v>386</v>
      </c>
      <c r="B47" s="2" t="str">
        <f>IFERROR(__xludf.DUMMYFUNCTION("REGEXEXTRACT(A47, ""\d{1,2}\.\d"")"),"69.8")</f>
        <v>69.8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387</v>
      </c>
      <c r="B49" s="2" t="str">
        <f>IFERROR(__xludf.DUMMYFUNCTION("REGEXEXTRACT(A49, ""\d{1,2}\.\d"")"),"55.6")</f>
        <v>55.6</v>
      </c>
    </row>
    <row r="50">
      <c r="A50" s="1" t="s">
        <v>388</v>
      </c>
      <c r="B50" s="2" t="str">
        <f>IFERROR(__xludf.DUMMYFUNCTION("REGEXEXTRACT(A50, ""\d{1,2}\.\d"")"),"60.6")</f>
        <v>60.6</v>
      </c>
    </row>
    <row r="51">
      <c r="A51" s="1" t="s">
        <v>389</v>
      </c>
      <c r="B51" s="2" t="str">
        <f>IFERROR(__xludf.DUMMYFUNCTION("REGEXEXTRACT(A51, ""\d{1,2}\.\d"")"),"59.6")</f>
        <v>59.6</v>
      </c>
    </row>
    <row r="52">
      <c r="A52" s="1" t="s">
        <v>390</v>
      </c>
      <c r="B52" s="2" t="str">
        <f>IFERROR(__xludf.DUMMYFUNCTION("REGEXEXTRACT(A52, ""\d{1,2}\.\d"")"),"68.7")</f>
        <v>68.7</v>
      </c>
    </row>
    <row r="53">
      <c r="A53" s="1" t="s">
        <v>391</v>
      </c>
      <c r="B53" s="2" t="str">
        <f>IFERROR(__xludf.DUMMYFUNCTION("REGEXEXTRACT(A53, ""\d{1,2}\.\d"")"),"69.6")</f>
        <v>69.6</v>
      </c>
    </row>
    <row r="54">
      <c r="A54" s="1" t="s">
        <v>392</v>
      </c>
      <c r="B54" s="2" t="str">
        <f>IFERROR(__xludf.DUMMYFUNCTION("REGEXEXTRACT(A54, ""\d{1,2}\.\d"")"),"#N/A")</f>
        <v>#N/A</v>
      </c>
    </row>
    <row r="55">
      <c r="A55" s="1" t="s">
        <v>393</v>
      </c>
      <c r="B55" s="2" t="str">
        <f>IFERROR(__xludf.DUMMYFUNCTION("REGEXEXTRACT(A55, ""\d{1,2}\.\d"")"),"78.3")</f>
        <v>78.3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394</v>
      </c>
      <c r="B57" s="2" t="str">
        <f>IFERROR(__xludf.DUMMYFUNCTION("REGEXEXTRACT(A57, ""\d{1,2}\.\d"")"),"70.0")</f>
        <v>70.0</v>
      </c>
    </row>
    <row r="58">
      <c r="A58" s="1" t="s">
        <v>395</v>
      </c>
      <c r="B58" s="2" t="str">
        <f>IFERROR(__xludf.DUMMYFUNCTION("REGEXEXTRACT(A58, ""\d{1,2}\.\d"")"),"59.5")</f>
        <v>59.5</v>
      </c>
    </row>
    <row r="59">
      <c r="A59" s="1" t="s">
        <v>396</v>
      </c>
      <c r="B59" s="2" t="str">
        <f>IFERROR(__xludf.DUMMYFUNCTION("REGEXEXTRACT(A59, ""\d{1,2}\.\d"")"),"60.2")</f>
        <v>60.2</v>
      </c>
    </row>
    <row r="60">
      <c r="A60" s="1" t="s">
        <v>397</v>
      </c>
      <c r="B60" s="2" t="str">
        <f>IFERROR(__xludf.DUMMYFUNCTION("REGEXEXTRACT(A60, ""\d{1,2}\.\d"")"),"73.8")</f>
        <v>73.8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398</v>
      </c>
      <c r="B62" s="2" t="str">
        <f>IFERROR(__xludf.DUMMYFUNCTION("REGEXEXTRACT(A62, ""\d{1,2}\.\d"")"),"53.4")</f>
        <v>53.4</v>
      </c>
    </row>
    <row r="63">
      <c r="A63" s="1" t="s">
        <v>399</v>
      </c>
      <c r="B63" s="2" t="str">
        <f>IFERROR(__xludf.DUMMYFUNCTION("REGEXEXTRACT(A63, ""\d{1,2}\.\d"")"),"64.2")</f>
        <v>64.2</v>
      </c>
    </row>
    <row r="64">
      <c r="A64" s="1" t="s">
        <v>400</v>
      </c>
      <c r="B64" s="2" t="str">
        <f>IFERROR(__xludf.DUMMYFUNCTION("REGEXEXTRACT(A64, ""\d{1,2}\.\d"")"),"56.7")</f>
        <v>56.7</v>
      </c>
    </row>
    <row r="65">
      <c r="A65" s="1" t="s">
        <v>401</v>
      </c>
      <c r="B65" s="2" t="str">
        <f>IFERROR(__xludf.DUMMYFUNCTION("REGEXEXTRACT(A65, ""\d{1,2}\.\d"")"),"68.7")</f>
        <v>68.7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2" width="16.13"/>
  </cols>
  <sheetData>
    <row r="1">
      <c r="A1" s="1" t="s">
        <v>0</v>
      </c>
    </row>
    <row r="2">
      <c r="A2" s="1" t="s">
        <v>402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82.3</v>
      </c>
    </row>
    <row r="3">
      <c r="A3" s="1" t="s">
        <v>403</v>
      </c>
      <c r="B3" s="2" t="str">
        <f t="shared" si="1"/>
        <v>security</v>
      </c>
      <c r="C3" s="2" t="str">
        <f t="shared" si="2"/>
        <v>53.7</v>
      </c>
    </row>
    <row r="4">
      <c r="A4" s="1" t="s">
        <v>404</v>
      </c>
      <c r="B4" s="2" t="str">
        <f t="shared" si="1"/>
        <v>road congestion</v>
      </c>
      <c r="C4" s="2" t="str">
        <f t="shared" si="2"/>
        <v>49.7</v>
      </c>
    </row>
    <row r="5">
      <c r="A5" s="1" t="s">
        <v>405</v>
      </c>
      <c r="B5" s="2" t="str">
        <f t="shared" si="1"/>
        <v>health services</v>
      </c>
      <c r="C5" s="2" t="str">
        <f t="shared" si="2"/>
        <v>41.2</v>
      </c>
    </row>
    <row r="6">
      <c r="A6" s="1" t="s">
        <v>406</v>
      </c>
      <c r="B6" s="2" t="str">
        <f t="shared" si="1"/>
        <v>unemployment</v>
      </c>
      <c r="C6" s="2" t="str">
        <f t="shared" si="2"/>
        <v>35.0</v>
      </c>
    </row>
    <row r="7">
      <c r="A7" s="1" t="s">
        <v>407</v>
      </c>
      <c r="B7" s="2" t="str">
        <f t="shared" si="1"/>
        <v>school education</v>
      </c>
      <c r="C7" s="2" t="str">
        <f t="shared" si="2"/>
        <v>28.8</v>
      </c>
    </row>
    <row r="8">
      <c r="A8" s="1" t="s">
        <v>408</v>
      </c>
      <c r="B8" s="2" t="str">
        <f t="shared" si="1"/>
        <v>corruption</v>
      </c>
      <c r="C8" s="2" t="str">
        <f t="shared" si="2"/>
        <v>27.3</v>
      </c>
    </row>
    <row r="9">
      <c r="A9" s="1" t="s">
        <v>409</v>
      </c>
      <c r="B9" s="2" t="str">
        <f t="shared" si="1"/>
        <v>fulfilling employment</v>
      </c>
      <c r="C9" s="2" t="str">
        <f t="shared" si="2"/>
        <v>23.3</v>
      </c>
    </row>
    <row r="10">
      <c r="A10" s="1" t="s">
        <v>410</v>
      </c>
      <c r="B10" s="2" t="str">
        <f t="shared" si="1"/>
        <v>air pollution</v>
      </c>
      <c r="C10" s="2" t="str">
        <f t="shared" si="2"/>
        <v>22.3</v>
      </c>
    </row>
    <row r="11">
      <c r="A11" s="1" t="s">
        <v>411</v>
      </c>
      <c r="B11" s="2" t="str">
        <f t="shared" si="1"/>
        <v>public transport</v>
      </c>
      <c r="C11" s="2" t="str">
        <f t="shared" si="2"/>
        <v>22.2</v>
      </c>
    </row>
    <row r="12">
      <c r="A12" s="1" t="s">
        <v>412</v>
      </c>
      <c r="B12" s="2" t="str">
        <f t="shared" si="1"/>
        <v>basic amenities</v>
      </c>
      <c r="C12" s="2" t="str">
        <f t="shared" si="2"/>
        <v>21.3</v>
      </c>
    </row>
    <row r="13">
      <c r="A13" s="1" t="s">
        <v>413</v>
      </c>
      <c r="B13" s="2" t="str">
        <f t="shared" si="1"/>
        <v>social mobility</v>
      </c>
      <c r="C13" s="2" t="str">
        <f t="shared" si="2"/>
        <v>18.1</v>
      </c>
    </row>
    <row r="14">
      <c r="A14" s="1" t="s">
        <v>414</v>
      </c>
      <c r="B14" s="2" t="str">
        <f t="shared" si="1"/>
        <v>recycling</v>
      </c>
      <c r="C14" s="2" t="str">
        <f t="shared" si="2"/>
        <v>13.3</v>
      </c>
    </row>
    <row r="15">
      <c r="A15" s="1" t="s">
        <v>415</v>
      </c>
      <c r="B15" s="2" t="str">
        <f t="shared" si="1"/>
        <v>green spaces</v>
      </c>
      <c r="C15" s="2" t="str">
        <f t="shared" si="2"/>
        <v>13.3</v>
      </c>
    </row>
    <row r="16">
      <c r="A16" s="1" t="s">
        <v>416</v>
      </c>
      <c r="B16" s="2" t="str">
        <f t="shared" si="1"/>
        <v>citizen engagement</v>
      </c>
      <c r="C16" s="2" t="str">
        <f t="shared" si="2"/>
        <v>10.7</v>
      </c>
    </row>
    <row r="17">
      <c r="A17" s="1" t="s">
        <v>16</v>
      </c>
    </row>
    <row r="18">
      <c r="A18" s="1" t="s">
        <v>417</v>
      </c>
      <c r="B18" s="2" t="str">
        <f>IFERROR(__xludf.DUMMYFUNCTION("REGEXEXTRACT(A18, ""\d{1,2}\.\d"")"),"41.8")</f>
        <v>41.8</v>
      </c>
    </row>
    <row r="19">
      <c r="A19" s="1" t="s">
        <v>418</v>
      </c>
      <c r="B19" s="2" t="str">
        <f>IFERROR(__xludf.DUMMYFUNCTION("REGEXEXTRACT(A19, ""\d{1,2}\.\d"")"),"61.5")</f>
        <v>61.5</v>
      </c>
    </row>
    <row r="20">
      <c r="A20" s="1" t="s">
        <v>419</v>
      </c>
      <c r="B20" s="2" t="str">
        <f>IFERROR(__xludf.DUMMYFUNCTION("REGEXEXTRACT(A20, ""\d{1,2}\.\d"")"),"28.0")</f>
        <v>28.0</v>
      </c>
    </row>
    <row r="21">
      <c r="A21" s="1" t="s">
        <v>420</v>
      </c>
      <c r="B21" s="2" t="str">
        <f>IFERROR(__xludf.DUMMYFUNCTION("REGEXEXTRACT(A21, ""\d{1,2}\.\d"")"),"43.1")</f>
        <v>43.1</v>
      </c>
    </row>
    <row r="22">
      <c r="A22" s="1" t="s">
        <v>421</v>
      </c>
      <c r="B22" s="2" t="str">
        <f>IFERROR(__xludf.DUMMYFUNCTION("REGEXEXTRACT(A22, ""\d{1,2}\.\d"")"),"58.5")</f>
        <v>58.5</v>
      </c>
    </row>
    <row r="23">
      <c r="A23" s="1" t="s">
        <v>422</v>
      </c>
      <c r="B23" s="2" t="str">
        <f>IFERROR(__xludf.DUMMYFUNCTION("REGEXEXTRACT(A23, ""\d{1,2}\.\d"")"),"21.7")</f>
        <v>21.7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423</v>
      </c>
      <c r="B25" s="2" t="str">
        <f>IFERROR(__xludf.DUMMYFUNCTION("REGEXEXTRACT(A25, ""\d{1,2}\.\d"")"),"20.5")</f>
        <v>20.5</v>
      </c>
    </row>
    <row r="26">
      <c r="A26" s="1" t="s">
        <v>424</v>
      </c>
      <c r="B26" s="2" t="str">
        <f>IFERROR(__xludf.DUMMYFUNCTION("REGEXEXTRACT(A26, ""\d{1,2}\.\d"")"),"49.1")</f>
        <v>49.1</v>
      </c>
    </row>
    <row r="27">
      <c r="A27" s="1" t="s">
        <v>425</v>
      </c>
      <c r="B27" s="2" t="str">
        <f>IFERROR(__xludf.DUMMYFUNCTION("REGEXEXTRACT(A27, ""\d{1,2}\.\d"")"),"#N/A")</f>
        <v>#N/A</v>
      </c>
    </row>
    <row r="28">
      <c r="A28" s="1" t="s">
        <v>426</v>
      </c>
      <c r="B28" s="2" t="str">
        <f>IFERROR(__xludf.DUMMYFUNCTION("REGEXEXTRACT(A28, ""\d{1,2}\.\d"")"),"63.3")</f>
        <v>63.3</v>
      </c>
    </row>
    <row r="29">
      <c r="A29" s="1" t="s">
        <v>427</v>
      </c>
      <c r="B29" s="2" t="str">
        <f>IFERROR(__xludf.DUMMYFUNCTION("REGEXEXTRACT(A29, ""\d{1,2}\.\d"")"),"76.2")</f>
        <v>76.2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428</v>
      </c>
      <c r="B31" s="2" t="str">
        <f>IFERROR(__xludf.DUMMYFUNCTION("REGEXEXTRACT(A31, ""\d{1,2}\.\d"")"),"59.2")</f>
        <v>59.2</v>
      </c>
    </row>
    <row r="32">
      <c r="A32" s="1" t="s">
        <v>429</v>
      </c>
      <c r="B32" s="2" t="str">
        <f>IFERROR(__xludf.DUMMYFUNCTION("REGEXEXTRACT(A32, ""\d{1,2}\.\d"")"),"52.6")</f>
        <v>52.6</v>
      </c>
    </row>
    <row r="33">
      <c r="A33" s="1" t="s">
        <v>430</v>
      </c>
      <c r="B33" s="2" t="str">
        <f>IFERROR(__xludf.DUMMYFUNCTION("REGEXEXTRACT(A33, ""\d{1,2}\.\d"")"),"60.5")</f>
        <v>60.5</v>
      </c>
    </row>
    <row r="34">
      <c r="A34" s="1" t="s">
        <v>431</v>
      </c>
      <c r="B34" s="2" t="str">
        <f>IFERROR(__xludf.DUMMYFUNCTION("REGEXEXTRACT(A34, ""\d{1,2}\.\d"")"),"60.0")</f>
        <v>60.0</v>
      </c>
    </row>
    <row r="35">
      <c r="A35" s="1" t="s">
        <v>432</v>
      </c>
      <c r="B35" s="2" t="str">
        <f>IFERROR(__xludf.DUMMYFUNCTION("REGEXEXTRACT(A35, ""\d{1,2}\.\d"")"),"59.3")</f>
        <v>59.3</v>
      </c>
    </row>
    <row r="36">
      <c r="A36" s="1" t="s">
        <v>93</v>
      </c>
      <c r="B36" s="2" t="str">
        <f>IFERROR(__xludf.DUMMYFUNCTION("REGEXEXTRACT(A36, ""\d{1,2}\.\d"")"),"#N/A")</f>
        <v>#N/A</v>
      </c>
    </row>
    <row r="37">
      <c r="A37" s="1" t="s">
        <v>433</v>
      </c>
      <c r="B37" s="2" t="str">
        <f>IFERROR(__xludf.DUMMYFUNCTION("REGEXEXTRACT(A37, ""\d{1,2}\.\d"")"),"63.5")</f>
        <v>63.5</v>
      </c>
    </row>
    <row r="38">
      <c r="A38" s="1" t="s">
        <v>434</v>
      </c>
      <c r="B38" s="2" t="str">
        <f>IFERROR(__xludf.DUMMYFUNCTION("REGEXEXTRACT(A38, ""\d{1,2}\.\d"")"),"38.1")</f>
        <v>38.1</v>
      </c>
    </row>
    <row r="39">
      <c r="A39" s="1" t="s">
        <v>435</v>
      </c>
      <c r="B39" s="2" t="str">
        <f>IFERROR(__xludf.DUMMYFUNCTION("REGEXEXTRACT(A39, ""\d{1,2}\.\d"")"),"52.9")</f>
        <v>52.9</v>
      </c>
    </row>
    <row r="40">
      <c r="A40" s="1" t="s">
        <v>436</v>
      </c>
      <c r="B40" s="2" t="str">
        <f>IFERROR(__xludf.DUMMYFUNCTION("REGEXEXTRACT(A40, ""\d{1,2}\.\d"")"),"62.1")</f>
        <v>62.1</v>
      </c>
    </row>
    <row r="41">
      <c r="A41" s="1" t="s">
        <v>133</v>
      </c>
      <c r="B41" s="2" t="str">
        <f>IFERROR(__xludf.DUMMYFUNCTION("REGEXEXTRACT(A41, ""\d{1,2}\.\d"")"),"#N/A")</f>
        <v>#N/A</v>
      </c>
    </row>
    <row r="42">
      <c r="A42" s="1" t="s">
        <v>437</v>
      </c>
      <c r="B42" s="2" t="str">
        <f>IFERROR(__xludf.DUMMYFUNCTION("REGEXEXTRACT(A42, ""\d{1,2}\.\d"")"),"39.6")</f>
        <v>39.6</v>
      </c>
    </row>
    <row r="43">
      <c r="A43" s="1" t="s">
        <v>438</v>
      </c>
      <c r="B43" s="2" t="str">
        <f>IFERROR(__xludf.DUMMYFUNCTION("REGEXEXTRACT(A43, ""\d{1,2}\.\d"")"),"56.0")</f>
        <v>56.0</v>
      </c>
    </row>
    <row r="44">
      <c r="A44" s="1" t="s">
        <v>439</v>
      </c>
      <c r="B44" s="2" t="str">
        <f>IFERROR(__xludf.DUMMYFUNCTION("REGEXEXTRACT(A44, ""\d{1,2}\.\d"")"),"51.0")</f>
        <v>51.0</v>
      </c>
    </row>
    <row r="45">
      <c r="A45" s="1" t="s">
        <v>440</v>
      </c>
      <c r="B45" s="2" t="str">
        <f>IFERROR(__xludf.DUMMYFUNCTION("REGEXEXTRACT(A45, ""\d{1,2}\.\d"")"),"43.5")</f>
        <v>43.5</v>
      </c>
    </row>
    <row r="46">
      <c r="A46" s="1" t="s">
        <v>441</v>
      </c>
      <c r="B46" s="2" t="str">
        <f>IFERROR(__xludf.DUMMYFUNCTION("REGEXEXTRACT(A46, ""\d{1,2}\.\d"")"),"48.0")</f>
        <v>48.0</v>
      </c>
    </row>
    <row r="47">
      <c r="A47" s="1" t="s">
        <v>442</v>
      </c>
      <c r="B47" s="2" t="str">
        <f>IFERROR(__xludf.DUMMYFUNCTION("REGEXEXTRACT(A47, ""\d{1,2}\.\d"")"),"64.9")</f>
        <v>64.9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443</v>
      </c>
      <c r="B49" s="2" t="str">
        <f>IFERROR(__xludf.DUMMYFUNCTION("REGEXEXTRACT(A49, ""\d{1,2}\.\d"")"),"47.2")</f>
        <v>47.2</v>
      </c>
    </row>
    <row r="50">
      <c r="A50" s="1" t="s">
        <v>444</v>
      </c>
      <c r="B50" s="2" t="str">
        <f>IFERROR(__xludf.DUMMYFUNCTION("REGEXEXTRACT(A50, ""\d{1,2}\.\d"")"),"51.8")</f>
        <v>51.8</v>
      </c>
    </row>
    <row r="51">
      <c r="A51" s="1" t="s">
        <v>445</v>
      </c>
      <c r="B51" s="2" t="str">
        <f>IFERROR(__xludf.DUMMYFUNCTION("REGEXEXTRACT(A51, ""\d{1,2}\.\d"")"),"46.7")</f>
        <v>46.7</v>
      </c>
    </row>
    <row r="52">
      <c r="A52" s="1" t="s">
        <v>446</v>
      </c>
      <c r="B52" s="2" t="str">
        <f>IFERROR(__xludf.DUMMYFUNCTION("REGEXEXTRACT(A52, ""\d{1,2}\.\d"")"),"61.9")</f>
        <v>61.9</v>
      </c>
    </row>
    <row r="53">
      <c r="A53" s="1" t="s">
        <v>447</v>
      </c>
      <c r="B53" s="2" t="str">
        <f>IFERROR(__xludf.DUMMYFUNCTION("REGEXEXTRACT(A53, ""\d{1,2}\.\d"")"),"57.6")</f>
        <v>57.6</v>
      </c>
    </row>
    <row r="54">
      <c r="A54" s="1" t="s">
        <v>26</v>
      </c>
      <c r="B54" s="2" t="str">
        <f>IFERROR(__xludf.DUMMYFUNCTION("REGEXEXTRACT(A54, ""\d{1,2}\.\d"")"),"#N/A")</f>
        <v>#N/A</v>
      </c>
    </row>
    <row r="55">
      <c r="A55" s="1" t="s">
        <v>448</v>
      </c>
      <c r="B55" s="2" t="str">
        <f>IFERROR(__xludf.DUMMYFUNCTION("REGEXEXTRACT(A55, ""\d{1,2}\.\d"")"),"72.4")</f>
        <v>72.4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449</v>
      </c>
      <c r="B57" s="2" t="str">
        <f>IFERROR(__xludf.DUMMYFUNCTION("REGEXEXTRACT(A57, ""\d{1,2}\.\d"")"),"66.3")</f>
        <v>66.3</v>
      </c>
    </row>
    <row r="58">
      <c r="A58" s="1" t="s">
        <v>450</v>
      </c>
      <c r="B58" s="2" t="str">
        <f>IFERROR(__xludf.DUMMYFUNCTION("REGEXEXTRACT(A58, ""\d{1,2}\.\d"")"),"45.6")</f>
        <v>45.6</v>
      </c>
    </row>
    <row r="59">
      <c r="A59" s="1" t="s">
        <v>451</v>
      </c>
      <c r="B59" s="2" t="str">
        <f>IFERROR(__xludf.DUMMYFUNCTION("REGEXEXTRACT(A59, ""\d{1,2}\.\d"")"),"46.4")</f>
        <v>46.4</v>
      </c>
    </row>
    <row r="60">
      <c r="A60" s="1" t="s">
        <v>452</v>
      </c>
      <c r="B60" s="2" t="str">
        <f>IFERROR(__xludf.DUMMYFUNCTION("REGEXEXTRACT(A60, ""\d{1,2}\.\d"")"),"64.6")</f>
        <v>64.6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453</v>
      </c>
      <c r="B62" s="2" t="str">
        <f>IFERROR(__xludf.DUMMYFUNCTION("REGEXEXTRACT(A62, ""\d{1,2}\.\d"")"),"39.5")</f>
        <v>39.5</v>
      </c>
    </row>
    <row r="63">
      <c r="A63" s="1" t="s">
        <v>454</v>
      </c>
      <c r="B63" s="2" t="str">
        <f>IFERROR(__xludf.DUMMYFUNCTION("REGEXEXTRACT(A63, ""\d{1,2}\.\d"")"),"53.4")</f>
        <v>53.4</v>
      </c>
    </row>
    <row r="64">
      <c r="A64" s="1" t="s">
        <v>455</v>
      </c>
      <c r="B64" s="2" t="str">
        <f>IFERROR(__xludf.DUMMYFUNCTION("REGEXEXTRACT(A64, ""\d{1,2}\.\d"")"),"48.3")</f>
        <v>48.3</v>
      </c>
    </row>
    <row r="65">
      <c r="A65" s="1" t="s">
        <v>456</v>
      </c>
      <c r="B65" s="2" t="str">
        <f>IFERROR(__xludf.DUMMYFUNCTION("REGEXEXTRACT(A65, ""\d{1,2}\.\d"")"),"51.2")</f>
        <v>51.2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2" max="2" width="16.13"/>
  </cols>
  <sheetData>
    <row r="1">
      <c r="A1" s="1" t="s">
        <v>0</v>
      </c>
    </row>
    <row r="2">
      <c r="A2" s="1" t="s">
        <v>457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81.2</v>
      </c>
    </row>
    <row r="3">
      <c r="A3" s="1" t="s">
        <v>458</v>
      </c>
      <c r="B3" s="2" t="str">
        <f t="shared" si="1"/>
        <v>road congestion</v>
      </c>
      <c r="C3" s="2" t="str">
        <f t="shared" si="2"/>
        <v>60.2</v>
      </c>
    </row>
    <row r="4">
      <c r="A4" s="1" t="s">
        <v>459</v>
      </c>
      <c r="B4" s="2" t="str">
        <f t="shared" si="1"/>
        <v>security</v>
      </c>
      <c r="C4" s="2" t="str">
        <f t="shared" si="2"/>
        <v>55.2</v>
      </c>
    </row>
    <row r="5">
      <c r="A5" s="1" t="s">
        <v>460</v>
      </c>
      <c r="B5" s="2" t="str">
        <f t="shared" si="1"/>
        <v>unemployment</v>
      </c>
      <c r="C5" s="2" t="str">
        <f t="shared" si="2"/>
        <v>39.6</v>
      </c>
    </row>
    <row r="6">
      <c r="A6" s="1" t="s">
        <v>461</v>
      </c>
      <c r="B6" s="2" t="str">
        <f t="shared" si="1"/>
        <v>health services</v>
      </c>
      <c r="C6" s="2" t="str">
        <f t="shared" si="2"/>
        <v>39.4</v>
      </c>
    </row>
    <row r="7">
      <c r="A7" s="1" t="s">
        <v>462</v>
      </c>
      <c r="B7" s="2" t="str">
        <f t="shared" si="1"/>
        <v>school education</v>
      </c>
      <c r="C7" s="2" t="str">
        <f t="shared" si="2"/>
        <v>28.2</v>
      </c>
    </row>
    <row r="8">
      <c r="A8" s="1" t="s">
        <v>463</v>
      </c>
      <c r="B8" s="2" t="str">
        <f t="shared" si="1"/>
        <v>fulfilling employment</v>
      </c>
      <c r="C8" s="2" t="str">
        <f t="shared" si="2"/>
        <v>26.2</v>
      </c>
    </row>
    <row r="9">
      <c r="A9" s="1" t="s">
        <v>464</v>
      </c>
      <c r="B9" s="2" t="str">
        <f t="shared" si="1"/>
        <v>public transport</v>
      </c>
      <c r="C9" s="2" t="str">
        <f t="shared" si="2"/>
        <v>23.5</v>
      </c>
    </row>
    <row r="10">
      <c r="A10" s="1" t="s">
        <v>465</v>
      </c>
      <c r="B10" s="2" t="str">
        <f t="shared" si="1"/>
        <v>corruption</v>
      </c>
      <c r="C10" s="2" t="str">
        <f t="shared" si="2"/>
        <v>23.3</v>
      </c>
    </row>
    <row r="11">
      <c r="A11" s="1" t="s">
        <v>466</v>
      </c>
      <c r="B11" s="2" t="str">
        <f t="shared" si="1"/>
        <v>basic amenities</v>
      </c>
      <c r="C11" s="2" t="str">
        <f t="shared" si="2"/>
        <v>17.3</v>
      </c>
    </row>
    <row r="12">
      <c r="A12" s="1" t="s">
        <v>467</v>
      </c>
      <c r="B12" s="2" t="str">
        <f t="shared" si="1"/>
        <v>air pollution</v>
      </c>
      <c r="C12" s="2" t="str">
        <f t="shared" si="2"/>
        <v>16.2</v>
      </c>
    </row>
    <row r="13">
      <c r="A13" s="1" t="s">
        <v>468</v>
      </c>
      <c r="B13" s="2" t="str">
        <f t="shared" si="1"/>
        <v>green spaces</v>
      </c>
      <c r="C13" s="2" t="str">
        <f t="shared" si="2"/>
        <v>15.5</v>
      </c>
    </row>
    <row r="14">
      <c r="A14" s="1" t="s">
        <v>187</v>
      </c>
      <c r="B14" s="2" t="str">
        <f t="shared" si="1"/>
        <v>recycling</v>
      </c>
      <c r="C14" s="2" t="str">
        <f t="shared" si="2"/>
        <v>15.3</v>
      </c>
    </row>
    <row r="15">
      <c r="A15" s="1" t="s">
        <v>469</v>
      </c>
      <c r="B15" s="2" t="str">
        <f t="shared" si="1"/>
        <v>citizen engagement</v>
      </c>
      <c r="C15" s="2" t="str">
        <f t="shared" si="2"/>
        <v>13.8</v>
      </c>
    </row>
    <row r="16">
      <c r="A16" s="1" t="s">
        <v>470</v>
      </c>
      <c r="B16" s="2" t="str">
        <f t="shared" si="1"/>
        <v>social mobility</v>
      </c>
      <c r="C16" s="2" t="str">
        <f t="shared" si="2"/>
        <v>12.3</v>
      </c>
    </row>
    <row r="17">
      <c r="A17" s="1" t="s">
        <v>471</v>
      </c>
    </row>
    <row r="18">
      <c r="A18" s="1" t="s">
        <v>472</v>
      </c>
      <c r="B18" s="2" t="str">
        <f>IFERROR(__xludf.DUMMYFUNCTION("REGEXEXTRACT(A18, ""\d{1,2}\.\d"")"),"43.1")</f>
        <v>43.1</v>
      </c>
    </row>
    <row r="19">
      <c r="A19" s="1" t="s">
        <v>473</v>
      </c>
      <c r="B19" s="2" t="str">
        <f>IFERROR(__xludf.DUMMYFUNCTION("REGEXEXTRACT(A19, ""\d{1,2}\.\d"")"),"71.0")</f>
        <v>71.0</v>
      </c>
    </row>
    <row r="20">
      <c r="A20" s="1" t="s">
        <v>474</v>
      </c>
      <c r="B20" s="2" t="str">
        <f>IFERROR(__xludf.DUMMYFUNCTION("REGEXEXTRACT(A20, ""\d{1,2}\.\d"")"),"27.0")</f>
        <v>27.0</v>
      </c>
    </row>
    <row r="21">
      <c r="A21" s="1" t="s">
        <v>475</v>
      </c>
      <c r="B21" s="2" t="str">
        <f>IFERROR(__xludf.DUMMYFUNCTION("REGEXEXTRACT(A21, ""\d{1,2}\.\d"")"),"43.6")</f>
        <v>43.6</v>
      </c>
    </row>
    <row r="22">
      <c r="A22" s="1" t="s">
        <v>476</v>
      </c>
      <c r="B22" s="2" t="str">
        <f>IFERROR(__xludf.DUMMYFUNCTION("REGEXEXTRACT(A22, ""\d{1,2}\.\d"")"),"64.1")</f>
        <v>64.1</v>
      </c>
    </row>
    <row r="23">
      <c r="A23" s="1" t="s">
        <v>477</v>
      </c>
      <c r="B23" s="2" t="str">
        <f>IFERROR(__xludf.DUMMYFUNCTION("REGEXEXTRACT(A23, ""\d{1,2}\.\d"")"),"18.9")</f>
        <v>18.9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478</v>
      </c>
      <c r="B25" s="2" t="str">
        <f>IFERROR(__xludf.DUMMYFUNCTION("REGEXEXTRACT(A25, ""\d{1,2}\.\d"")"),"15.8")</f>
        <v>15.8</v>
      </c>
    </row>
    <row r="26">
      <c r="A26" s="1" t="s">
        <v>479</v>
      </c>
      <c r="B26" s="2" t="str">
        <f>IFERROR(__xludf.DUMMYFUNCTION("REGEXEXTRACT(A26, ""\d{1,2}\.\d"")"),"54.4")</f>
        <v>54.4</v>
      </c>
    </row>
    <row r="27">
      <c r="A27" s="1" t="s">
        <v>26</v>
      </c>
      <c r="B27" s="2" t="str">
        <f>IFERROR(__xludf.DUMMYFUNCTION("REGEXEXTRACT(A27, ""\d{1,2}\.\d"")"),"#N/A")</f>
        <v>#N/A</v>
      </c>
    </row>
    <row r="28">
      <c r="A28" s="1" t="s">
        <v>480</v>
      </c>
      <c r="B28" s="2" t="str">
        <f>IFERROR(__xludf.DUMMYFUNCTION("REGEXEXTRACT(A28, ""\d{1,2}\.\d"")"),"64.3")</f>
        <v>64.3</v>
      </c>
    </row>
    <row r="29">
      <c r="A29" s="1" t="s">
        <v>481</v>
      </c>
      <c r="B29" s="2" t="str">
        <f>IFERROR(__xludf.DUMMYFUNCTION("REGEXEXTRACT(A29, ""\d{1,2}\.\d"")"),"78.1")</f>
        <v>78.1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482</v>
      </c>
      <c r="B31" s="2" t="str">
        <f>IFERROR(__xludf.DUMMYFUNCTION("REGEXEXTRACT(A31, ""\d{1,2}\.\d"")"),"64.9")</f>
        <v>64.9</v>
      </c>
    </row>
    <row r="32">
      <c r="A32" s="1" t="s">
        <v>483</v>
      </c>
      <c r="B32" s="2" t="str">
        <f>IFERROR(__xludf.DUMMYFUNCTION("REGEXEXTRACT(A32, ""\d{1,2}\.\d"")"),"61.2")</f>
        <v>61.2</v>
      </c>
    </row>
    <row r="33">
      <c r="A33" s="1" t="s">
        <v>484</v>
      </c>
      <c r="B33" s="2" t="str">
        <f>IFERROR(__xludf.DUMMYFUNCTION("REGEXEXTRACT(A33, ""\d{1,2}\.\d"")"),"63.1")</f>
        <v>63.1</v>
      </c>
    </row>
    <row r="34">
      <c r="A34" s="1" t="s">
        <v>485</v>
      </c>
      <c r="B34" s="2" t="str">
        <f>IFERROR(__xludf.DUMMYFUNCTION("REGEXEXTRACT(A34, ""\d{1,2}\.\d"")"),"61.6")</f>
        <v>61.6</v>
      </c>
    </row>
    <row r="35">
      <c r="A35" s="1" t="s">
        <v>486</v>
      </c>
      <c r="B35" s="2" t="str">
        <f>IFERROR(__xludf.DUMMYFUNCTION("REGEXEXTRACT(A35, ""\d{1,2}\.\d"")"),"61.2")</f>
        <v>61.2</v>
      </c>
    </row>
    <row r="36">
      <c r="A36" s="1" t="s">
        <v>35</v>
      </c>
      <c r="B36" s="2" t="str">
        <f>IFERROR(__xludf.DUMMYFUNCTION("REGEXEXTRACT(A36, ""\d{1,2}\.\d"")"),"#N/A")</f>
        <v>#N/A</v>
      </c>
    </row>
    <row r="37">
      <c r="A37" s="1" t="s">
        <v>487</v>
      </c>
      <c r="B37" s="2" t="str">
        <f>IFERROR(__xludf.DUMMYFUNCTION("REGEXEXTRACT(A37, ""\d{1,2}\.\d"")"),"63.8")</f>
        <v>63.8</v>
      </c>
    </row>
    <row r="38">
      <c r="A38" s="1" t="s">
        <v>488</v>
      </c>
      <c r="B38" s="2" t="str">
        <f>IFERROR(__xludf.DUMMYFUNCTION("REGEXEXTRACT(A38, ""\d{1,2}\.\d"")"),"41.5")</f>
        <v>41.5</v>
      </c>
    </row>
    <row r="39">
      <c r="A39" s="1" t="s">
        <v>489</v>
      </c>
      <c r="B39" s="2" t="str">
        <f>IFERROR(__xludf.DUMMYFUNCTION("REGEXEXTRACT(A39, ""\d{1,2}\.\d"")"),"49.5")</f>
        <v>49.5</v>
      </c>
    </row>
    <row r="40">
      <c r="A40" s="1" t="s">
        <v>490</v>
      </c>
      <c r="B40" s="2" t="str">
        <f>IFERROR(__xludf.DUMMYFUNCTION("REGEXEXTRACT(A40, ""\d{1,2}\.\d"")"),"61.1")</f>
        <v>61.1</v>
      </c>
    </row>
    <row r="41">
      <c r="A41" s="1" t="s">
        <v>491</v>
      </c>
      <c r="B41" s="2" t="str">
        <f>IFERROR(__xludf.DUMMYFUNCTION("REGEXEXTRACT(A41, ""\d{1,2}\.\d"")"),"#N/A")</f>
        <v>#N/A</v>
      </c>
    </row>
    <row r="42">
      <c r="A42" s="1" t="s">
        <v>492</v>
      </c>
      <c r="B42" s="2" t="str">
        <f>IFERROR(__xludf.DUMMYFUNCTION("REGEXEXTRACT(A42, ""\d{1,2}\.\d"")"),"43.0")</f>
        <v>43.0</v>
      </c>
    </row>
    <row r="43">
      <c r="A43" s="1" t="s">
        <v>493</v>
      </c>
      <c r="B43" s="2" t="str">
        <f>IFERROR(__xludf.DUMMYFUNCTION("REGEXEXTRACT(A43, ""\d{1,2}\.\d"")"),"60.5")</f>
        <v>60.5</v>
      </c>
    </row>
    <row r="44">
      <c r="A44" s="1" t="s">
        <v>494</v>
      </c>
      <c r="B44" s="2" t="str">
        <f>IFERROR(__xludf.DUMMYFUNCTION("REGEXEXTRACT(A44, ""\d{1,2}\.\d"")"),"44.3")</f>
        <v>44.3</v>
      </c>
    </row>
    <row r="45">
      <c r="A45" s="1" t="s">
        <v>495</v>
      </c>
      <c r="B45" s="2" t="str">
        <f>IFERROR(__xludf.DUMMYFUNCTION("REGEXEXTRACT(A45, ""\d{1,2}\.\d"")"),"37.8")</f>
        <v>37.8</v>
      </c>
    </row>
    <row r="46">
      <c r="A46" s="1" t="s">
        <v>496</v>
      </c>
      <c r="B46" s="2" t="str">
        <f>IFERROR(__xludf.DUMMYFUNCTION("REGEXEXTRACT(A46, ""\d{1,2}\.\d"")"),"43.0")</f>
        <v>43.0</v>
      </c>
    </row>
    <row r="47">
      <c r="A47" s="1" t="s">
        <v>497</v>
      </c>
      <c r="B47" s="2" t="str">
        <f>IFERROR(__xludf.DUMMYFUNCTION("REGEXEXTRACT(A47, ""\d{1,2}\.\d"")"),"67.6")</f>
        <v>67.6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498</v>
      </c>
      <c r="B49" s="2" t="str">
        <f>IFERROR(__xludf.DUMMYFUNCTION("REGEXEXTRACT(A49, ""\d{1,2}\.\d"")"),"40.9")</f>
        <v>40.9</v>
      </c>
    </row>
    <row r="50">
      <c r="A50" s="1" t="s">
        <v>499</v>
      </c>
      <c r="B50" s="2" t="str">
        <f>IFERROR(__xludf.DUMMYFUNCTION("REGEXEXTRACT(A50, ""\d{1,2}\.\d"")"),"40.1")</f>
        <v>40.1</v>
      </c>
    </row>
    <row r="51">
      <c r="A51" s="1" t="s">
        <v>500</v>
      </c>
      <c r="B51" s="2" t="str">
        <f>IFERROR(__xludf.DUMMYFUNCTION("REGEXEXTRACT(A51, ""\d{1,2}\.\d"")"),"37.8")</f>
        <v>37.8</v>
      </c>
    </row>
    <row r="52">
      <c r="A52" s="1" t="s">
        <v>501</v>
      </c>
      <c r="B52" s="2" t="str">
        <f>IFERROR(__xludf.DUMMYFUNCTION("REGEXEXTRACT(A52, ""\d{1,2}\.\d"")"),"54.9")</f>
        <v>54.9</v>
      </c>
    </row>
    <row r="53">
      <c r="A53" s="1" t="s">
        <v>502</v>
      </c>
      <c r="B53" s="2" t="str">
        <f>IFERROR(__xludf.DUMMYFUNCTION("REGEXEXTRACT(A53, ""\d{1,2}\.\d"")"),"57.8")</f>
        <v>57.8</v>
      </c>
    </row>
    <row r="54">
      <c r="A54" s="1" t="s">
        <v>503</v>
      </c>
      <c r="B54" s="2" t="str">
        <f>IFERROR(__xludf.DUMMYFUNCTION("REGEXEXTRACT(A54, ""\d{1,2}\.\d"")"),"#N/A")</f>
        <v>#N/A</v>
      </c>
    </row>
    <row r="55">
      <c r="A55" s="1" t="s">
        <v>504</v>
      </c>
      <c r="B55" s="2" t="str">
        <f>IFERROR(__xludf.DUMMYFUNCTION("REGEXEXTRACT(A55, ""\d{1,2}\.\d"")"),"71.0")</f>
        <v>71.0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505</v>
      </c>
      <c r="B57" s="2" t="str">
        <f>IFERROR(__xludf.DUMMYFUNCTION("REGEXEXTRACT(A57, ""\d{1,2}\.\d"")"),"66.9")</f>
        <v>66.9</v>
      </c>
    </row>
    <row r="58">
      <c r="A58" s="1" t="s">
        <v>506</v>
      </c>
      <c r="B58" s="2" t="str">
        <f>IFERROR(__xludf.DUMMYFUNCTION("REGEXEXTRACT(A58, ""\d{1,2}\.\d"")"),"47.0")</f>
        <v>47.0</v>
      </c>
    </row>
    <row r="59">
      <c r="A59" s="1" t="s">
        <v>507</v>
      </c>
      <c r="B59" s="2" t="str">
        <f>IFERROR(__xludf.DUMMYFUNCTION("REGEXEXTRACT(A59, ""\d{1,2}\.\d"")"),"40.9")</f>
        <v>40.9</v>
      </c>
    </row>
    <row r="60">
      <c r="A60" s="1" t="s">
        <v>508</v>
      </c>
      <c r="B60" s="2" t="str">
        <f>IFERROR(__xludf.DUMMYFUNCTION("REGEXEXTRACT(A60, ""\d{1,2}\.\d"")"),"64.1")</f>
        <v>64.1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509</v>
      </c>
      <c r="B62" s="2" t="str">
        <f>IFERROR(__xludf.DUMMYFUNCTION("REGEXEXTRACT(A62, ""\d{1,2}\.\d"")"),"34.3")</f>
        <v>34.3</v>
      </c>
    </row>
    <row r="63">
      <c r="A63" s="1" t="s">
        <v>510</v>
      </c>
      <c r="B63" s="2" t="str">
        <f>IFERROR(__xludf.DUMMYFUNCTION("REGEXEXTRACT(A63, ""\d{1,2}\.\d"")"),"52.8")</f>
        <v>52.8</v>
      </c>
    </row>
    <row r="64">
      <c r="A64" s="1" t="s">
        <v>511</v>
      </c>
      <c r="B64" s="2" t="str">
        <f>IFERROR(__xludf.DUMMYFUNCTION("REGEXEXTRACT(A64, ""\d{1,2}\.\d"")"),"43.9")</f>
        <v>43.9</v>
      </c>
    </row>
    <row r="65">
      <c r="A65" s="1" t="s">
        <v>512</v>
      </c>
      <c r="B65" s="2" t="str">
        <f>IFERROR(__xludf.DUMMYFUNCTION("REGEXEXTRACT(A65, ""\d{1,2}\.\d"")"),"51.9")</f>
        <v>51.9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88"/>
    <col customWidth="1" min="2" max="2" width="15.75"/>
  </cols>
  <sheetData>
    <row r="1">
      <c r="A1" s="1" t="s">
        <v>0</v>
      </c>
    </row>
    <row r="2">
      <c r="A2" s="1" t="s">
        <v>513</v>
      </c>
      <c r="B2" s="2" t="str">
        <f t="shared" ref="B2:B16" si="1">mid(A2, 1, find(" - ", A2)-1)</f>
        <v>affordable housing</v>
      </c>
      <c r="C2" s="2" t="str">
        <f t="shared" ref="C2:C16" si="2">mid(A2, find(" - ", A2) + 3, len(A2) - find(" - ", A2) - 3)</f>
        <v>69.0</v>
      </c>
    </row>
    <row r="3">
      <c r="A3" s="1" t="s">
        <v>514</v>
      </c>
      <c r="B3" s="2" t="str">
        <f t="shared" si="1"/>
        <v>security</v>
      </c>
      <c r="C3" s="2" t="str">
        <f t="shared" si="2"/>
        <v>47.6</v>
      </c>
    </row>
    <row r="4">
      <c r="A4" s="1" t="s">
        <v>515</v>
      </c>
      <c r="B4" s="2" t="str">
        <f t="shared" si="1"/>
        <v>road congestion</v>
      </c>
      <c r="C4" s="2" t="str">
        <f t="shared" si="2"/>
        <v>47.4</v>
      </c>
    </row>
    <row r="5">
      <c r="A5" s="1" t="s">
        <v>516</v>
      </c>
      <c r="B5" s="2" t="str">
        <f t="shared" si="1"/>
        <v>health services</v>
      </c>
      <c r="C5" s="2" t="str">
        <f t="shared" si="2"/>
        <v>47.4</v>
      </c>
    </row>
    <row r="6">
      <c r="A6" s="1" t="s">
        <v>517</v>
      </c>
      <c r="B6" s="2" t="str">
        <f t="shared" si="1"/>
        <v>unemployment</v>
      </c>
      <c r="C6" s="2" t="str">
        <f t="shared" si="2"/>
        <v>37.9</v>
      </c>
    </row>
    <row r="7">
      <c r="A7" s="1" t="s">
        <v>518</v>
      </c>
      <c r="B7" s="2" t="str">
        <f t="shared" si="1"/>
        <v>school education</v>
      </c>
      <c r="C7" s="2" t="str">
        <f t="shared" si="2"/>
        <v>33.6</v>
      </c>
    </row>
    <row r="8">
      <c r="A8" s="1" t="s">
        <v>519</v>
      </c>
      <c r="B8" s="2" t="str">
        <f t="shared" si="1"/>
        <v>fulfilling employment</v>
      </c>
      <c r="C8" s="2" t="str">
        <f t="shared" si="2"/>
        <v>28.8</v>
      </c>
    </row>
    <row r="9">
      <c r="A9" s="1" t="s">
        <v>520</v>
      </c>
      <c r="B9" s="2" t="str">
        <f t="shared" si="1"/>
        <v>public transport</v>
      </c>
      <c r="C9" s="2" t="str">
        <f t="shared" si="2"/>
        <v>28.5</v>
      </c>
    </row>
    <row r="10">
      <c r="A10" s="1" t="s">
        <v>521</v>
      </c>
      <c r="B10" s="2" t="str">
        <f t="shared" si="1"/>
        <v>air pollution</v>
      </c>
      <c r="C10" s="2" t="str">
        <f t="shared" si="2"/>
        <v>26.1</v>
      </c>
    </row>
    <row r="11">
      <c r="A11" s="1" t="s">
        <v>522</v>
      </c>
      <c r="B11" s="2" t="str">
        <f t="shared" si="1"/>
        <v>corruption</v>
      </c>
      <c r="C11" s="2" t="str">
        <f t="shared" si="2"/>
        <v>22.6</v>
      </c>
    </row>
    <row r="12">
      <c r="A12" s="1" t="s">
        <v>523</v>
      </c>
      <c r="B12" s="2" t="str">
        <f t="shared" si="1"/>
        <v>basic amenities</v>
      </c>
      <c r="C12" s="2" t="str">
        <f t="shared" si="2"/>
        <v>19.6</v>
      </c>
    </row>
    <row r="13">
      <c r="A13" s="1" t="s">
        <v>524</v>
      </c>
      <c r="B13" s="2" t="str">
        <f t="shared" si="1"/>
        <v>recycling</v>
      </c>
      <c r="C13" s="2" t="str">
        <f t="shared" si="2"/>
        <v>14.4</v>
      </c>
    </row>
    <row r="14">
      <c r="A14" s="1" t="s">
        <v>188</v>
      </c>
      <c r="B14" s="2" t="str">
        <f t="shared" si="1"/>
        <v>social mobility</v>
      </c>
      <c r="C14" s="2" t="str">
        <f t="shared" si="2"/>
        <v>13.1</v>
      </c>
    </row>
    <row r="15">
      <c r="A15" s="1" t="s">
        <v>131</v>
      </c>
      <c r="B15" s="2" t="str">
        <f t="shared" si="1"/>
        <v>green spaces</v>
      </c>
      <c r="C15" s="2" t="str">
        <f t="shared" si="2"/>
        <v>12.8</v>
      </c>
    </row>
    <row r="16">
      <c r="A16" s="1" t="s">
        <v>525</v>
      </c>
      <c r="B16" s="2" t="str">
        <f t="shared" si="1"/>
        <v>citizen engagement</v>
      </c>
      <c r="C16" s="2" t="str">
        <f t="shared" si="2"/>
        <v>12.1</v>
      </c>
    </row>
    <row r="17">
      <c r="A17" s="1" t="s">
        <v>526</v>
      </c>
    </row>
    <row r="18">
      <c r="A18" s="1" t="s">
        <v>527</v>
      </c>
      <c r="B18" s="2" t="str">
        <f>IFERROR(__xludf.DUMMYFUNCTION("REGEXEXTRACT(A18, ""\d{1,2}\.\d"")"),"57.3")</f>
        <v>57.3</v>
      </c>
    </row>
    <row r="19">
      <c r="A19" s="1" t="s">
        <v>528</v>
      </c>
      <c r="B19" s="2" t="str">
        <f>IFERROR(__xludf.DUMMYFUNCTION("REGEXEXTRACT(A19, ""\d{1,2}\.\d"")"),"64.0")</f>
        <v>64.0</v>
      </c>
    </row>
    <row r="20">
      <c r="A20" s="1" t="s">
        <v>529</v>
      </c>
      <c r="B20" s="2" t="str">
        <f>IFERROR(__xludf.DUMMYFUNCTION("REGEXEXTRACT(A20, ""\d{1,2}\.\d"")"),"39.5")</f>
        <v>39.5</v>
      </c>
    </row>
    <row r="21">
      <c r="A21" s="1" t="s">
        <v>530</v>
      </c>
      <c r="B21" s="2" t="str">
        <f>IFERROR(__xludf.DUMMYFUNCTION("REGEXEXTRACT(A21, ""\d{1,2}\.\d"")"),"46.6")</f>
        <v>46.6</v>
      </c>
    </row>
    <row r="22">
      <c r="A22" s="1" t="s">
        <v>531</v>
      </c>
      <c r="B22" s="2" t="str">
        <f>IFERROR(__xludf.DUMMYFUNCTION("REGEXEXTRACT(A22, ""\d{1,2}\.\d"")"),"59.0")</f>
        <v>59.0</v>
      </c>
    </row>
    <row r="23">
      <c r="A23" s="1" t="s">
        <v>532</v>
      </c>
      <c r="B23" s="2" t="str">
        <f>IFERROR(__xludf.DUMMYFUNCTION("REGEXEXTRACT(A23, ""\d{1,2}\.\d"")"),"32.9")</f>
        <v>32.9</v>
      </c>
    </row>
    <row r="24">
      <c r="A24" s="1" t="s">
        <v>23</v>
      </c>
      <c r="B24" s="2" t="str">
        <f>IFERROR(__xludf.DUMMYFUNCTION("REGEXEXTRACT(A24, ""\d{1,2}\.\d"")"),"#N/A")</f>
        <v>#N/A</v>
      </c>
    </row>
    <row r="25">
      <c r="A25" s="1" t="s">
        <v>533</v>
      </c>
      <c r="B25" s="2" t="str">
        <f>IFERROR(__xludf.DUMMYFUNCTION("REGEXEXTRACT(A25, ""\d{1,2}\.\d"")"),"29.3")</f>
        <v>29.3</v>
      </c>
    </row>
    <row r="26">
      <c r="A26" s="1" t="s">
        <v>534</v>
      </c>
      <c r="B26" s="2" t="str">
        <f>IFERROR(__xludf.DUMMYFUNCTION("REGEXEXTRACT(A26, ""\d{1,2}\.\d"")"),"56.7")</f>
        <v>56.7</v>
      </c>
    </row>
    <row r="27">
      <c r="A27" s="1" t="s">
        <v>535</v>
      </c>
      <c r="B27" s="2" t="str">
        <f>IFERROR(__xludf.DUMMYFUNCTION("REGEXEXTRACT(A27, ""\d{1,2}\.\d"")"),"#N/A")</f>
        <v>#N/A</v>
      </c>
    </row>
    <row r="28">
      <c r="A28" s="1" t="s">
        <v>536</v>
      </c>
      <c r="B28" s="2" t="str">
        <f>IFERROR(__xludf.DUMMYFUNCTION("REGEXEXTRACT(A28, ""\d{1,2}\.\d"")"),"64.8")</f>
        <v>64.8</v>
      </c>
    </row>
    <row r="29">
      <c r="A29" s="1" t="s">
        <v>537</v>
      </c>
      <c r="B29" s="2" t="str">
        <f>IFERROR(__xludf.DUMMYFUNCTION("REGEXEXTRACT(A29, ""\d{1,2}\.\d"")"),"81.7")</f>
        <v>81.7</v>
      </c>
    </row>
    <row r="30">
      <c r="A30" s="1" t="s">
        <v>29</v>
      </c>
      <c r="B30" s="2" t="str">
        <f>IFERROR(__xludf.DUMMYFUNCTION("REGEXEXTRACT(A30, ""\d{1,2}\.\d"")"),"#N/A")</f>
        <v>#N/A</v>
      </c>
    </row>
    <row r="31">
      <c r="A31" s="1" t="s">
        <v>538</v>
      </c>
      <c r="B31" s="2" t="str">
        <f>IFERROR(__xludf.DUMMYFUNCTION("REGEXEXTRACT(A31, ""\d{1,2}\.\d"")"),"63.1")</f>
        <v>63.1</v>
      </c>
    </row>
    <row r="32">
      <c r="A32" s="1" t="s">
        <v>539</v>
      </c>
      <c r="B32" s="2" t="str">
        <f>IFERROR(__xludf.DUMMYFUNCTION("REGEXEXTRACT(A32, ""\d{1,2}\.\d"")"),"53.2")</f>
        <v>53.2</v>
      </c>
    </row>
    <row r="33">
      <c r="A33" s="1" t="s">
        <v>540</v>
      </c>
      <c r="B33" s="2" t="str">
        <f>IFERROR(__xludf.DUMMYFUNCTION("REGEXEXTRACT(A33, ""\d{1,2}\.\d"")"),"61.5")</f>
        <v>61.5</v>
      </c>
    </row>
    <row r="34">
      <c r="A34" s="1" t="s">
        <v>541</v>
      </c>
      <c r="B34" s="2" t="str">
        <f>IFERROR(__xludf.DUMMYFUNCTION("REGEXEXTRACT(A34, ""\d{1,2}\.\d"")"),"64.6")</f>
        <v>64.6</v>
      </c>
    </row>
    <row r="35">
      <c r="A35" s="1" t="s">
        <v>542</v>
      </c>
      <c r="B35" s="2" t="str">
        <f>IFERROR(__xludf.DUMMYFUNCTION("REGEXEXTRACT(A35, ""\d{1,2}\.\d"")"),"62.9")</f>
        <v>62.9</v>
      </c>
    </row>
    <row r="36">
      <c r="A36" s="1" t="s">
        <v>543</v>
      </c>
      <c r="B36" s="2" t="str">
        <f>IFERROR(__xludf.DUMMYFUNCTION("REGEXEXTRACT(A36, ""\d{1,2}\.\d"")"),"#N/A")</f>
        <v>#N/A</v>
      </c>
    </row>
    <row r="37">
      <c r="A37" s="1" t="s">
        <v>544</v>
      </c>
      <c r="B37" s="2" t="str">
        <f>IFERROR(__xludf.DUMMYFUNCTION("REGEXEXTRACT(A37, ""\d{1,2}\.\d"")"),"66.2")</f>
        <v>66.2</v>
      </c>
    </row>
    <row r="38">
      <c r="A38" s="1" t="s">
        <v>545</v>
      </c>
      <c r="B38" s="2" t="str">
        <f>IFERROR(__xludf.DUMMYFUNCTION("REGEXEXTRACT(A38, ""\d{1,2}\.\d"")"),"38.8")</f>
        <v>38.8</v>
      </c>
    </row>
    <row r="39">
      <c r="A39" s="1" t="s">
        <v>546</v>
      </c>
      <c r="B39" s="2" t="str">
        <f>IFERROR(__xludf.DUMMYFUNCTION("REGEXEXTRACT(A39, ""\d{1,2}\.\d"")"),"54.3")</f>
        <v>54.3</v>
      </c>
    </row>
    <row r="40">
      <c r="A40" s="1" t="s">
        <v>547</v>
      </c>
      <c r="B40" s="2" t="str">
        <f>IFERROR(__xludf.DUMMYFUNCTION("REGEXEXTRACT(A40, ""\d{1,2}\.\d"")"),"60.5")</f>
        <v>60.5</v>
      </c>
    </row>
    <row r="41">
      <c r="A41" s="1" t="s">
        <v>548</v>
      </c>
      <c r="B41" s="2" t="str">
        <f>IFERROR(__xludf.DUMMYFUNCTION("REGEXEXTRACT(A41, ""\d{1,2}\.\d"")"),"#N/A")</f>
        <v>#N/A</v>
      </c>
    </row>
    <row r="42">
      <c r="A42" s="1" t="s">
        <v>549</v>
      </c>
      <c r="B42" s="2" t="str">
        <f>IFERROR(__xludf.DUMMYFUNCTION("REGEXEXTRACT(A42, ""\d{1,2}\.\d"")"),"46.5")</f>
        <v>46.5</v>
      </c>
    </row>
    <row r="43">
      <c r="A43" s="1" t="s">
        <v>550</v>
      </c>
      <c r="B43" s="2" t="str">
        <f>IFERROR(__xludf.DUMMYFUNCTION("REGEXEXTRACT(A43, ""\d{1,2}\.\d"")"),"63.4")</f>
        <v>63.4</v>
      </c>
    </row>
    <row r="44">
      <c r="A44" s="1" t="s">
        <v>551</v>
      </c>
      <c r="B44" s="2" t="str">
        <f>IFERROR(__xludf.DUMMYFUNCTION("REGEXEXTRACT(A44, ""\d{1,2}\.\d"")"),"56.8")</f>
        <v>56.8</v>
      </c>
    </row>
    <row r="45">
      <c r="A45" s="1" t="s">
        <v>552</v>
      </c>
      <c r="B45" s="2" t="str">
        <f>IFERROR(__xludf.DUMMYFUNCTION("REGEXEXTRACT(A45, ""\d{1,2}\.\d"")"),"50.3")</f>
        <v>50.3</v>
      </c>
    </row>
    <row r="46">
      <c r="A46" s="1" t="s">
        <v>553</v>
      </c>
      <c r="B46" s="2" t="str">
        <f>IFERROR(__xludf.DUMMYFUNCTION("REGEXEXTRACT(A46, ""\d{1,2}\.\d"")"),"43.3")</f>
        <v>43.3</v>
      </c>
    </row>
    <row r="47">
      <c r="A47" s="1" t="s">
        <v>554</v>
      </c>
      <c r="B47" s="2" t="str">
        <f>IFERROR(__xludf.DUMMYFUNCTION("REGEXEXTRACT(A47, ""\d{1,2}\.\d"")"),"68.1")</f>
        <v>68.1</v>
      </c>
    </row>
    <row r="48">
      <c r="A48" s="1" t="s">
        <v>23</v>
      </c>
      <c r="B48" s="2" t="str">
        <f>IFERROR(__xludf.DUMMYFUNCTION("REGEXEXTRACT(A48, ""\d{1,2}\.\d"")"),"#N/A")</f>
        <v>#N/A</v>
      </c>
    </row>
    <row r="49">
      <c r="A49" s="1" t="s">
        <v>555</v>
      </c>
      <c r="B49" s="2" t="str">
        <f>IFERROR(__xludf.DUMMYFUNCTION("REGEXEXTRACT(A49, ""\d{1,2}\.\d"")"),"50.2")</f>
        <v>50.2</v>
      </c>
    </row>
    <row r="50">
      <c r="A50" s="1" t="s">
        <v>556</v>
      </c>
      <c r="B50" s="2" t="str">
        <f>IFERROR(__xludf.DUMMYFUNCTION("REGEXEXTRACT(A50, ""\d{1,2}\.\d"")"),"53.3")</f>
        <v>53.3</v>
      </c>
    </row>
    <row r="51">
      <c r="A51" s="1" t="s">
        <v>557</v>
      </c>
      <c r="B51" s="2" t="str">
        <f>IFERROR(__xludf.DUMMYFUNCTION("REGEXEXTRACT(A51, ""\d{1,2}\.\d"")"),"48.6")</f>
        <v>48.6</v>
      </c>
    </row>
    <row r="52">
      <c r="A52" s="1" t="s">
        <v>558</v>
      </c>
      <c r="B52" s="2" t="str">
        <f>IFERROR(__xludf.DUMMYFUNCTION("REGEXEXTRACT(A52, ""\d{1,2}\.\d"")"),"56.7")</f>
        <v>56.7</v>
      </c>
    </row>
    <row r="53">
      <c r="A53" s="1" t="s">
        <v>559</v>
      </c>
      <c r="B53" s="2" t="str">
        <f>IFERROR(__xludf.DUMMYFUNCTION("REGEXEXTRACT(A53, ""\d{1,2}\.\d"")"),"61.4")</f>
        <v>61.4</v>
      </c>
    </row>
    <row r="54">
      <c r="A54" s="1" t="s">
        <v>26</v>
      </c>
      <c r="B54" s="2" t="str">
        <f>IFERROR(__xludf.DUMMYFUNCTION("REGEXEXTRACT(A54, ""\d{1,2}\.\d"")"),"#N/A")</f>
        <v>#N/A</v>
      </c>
    </row>
    <row r="55">
      <c r="A55" s="1" t="s">
        <v>560</v>
      </c>
      <c r="B55" s="2" t="str">
        <f>IFERROR(__xludf.DUMMYFUNCTION("REGEXEXTRACT(A55, ""\d{1,2}\.\d"")"),"74.7")</f>
        <v>74.7</v>
      </c>
    </row>
    <row r="56">
      <c r="A56" s="1" t="s">
        <v>29</v>
      </c>
      <c r="B56" s="2" t="str">
        <f>IFERROR(__xludf.DUMMYFUNCTION("REGEXEXTRACT(A56, ""\d{1,2}\.\d"")"),"#N/A")</f>
        <v>#N/A</v>
      </c>
    </row>
    <row r="57">
      <c r="A57" s="1" t="s">
        <v>561</v>
      </c>
      <c r="B57" s="2" t="str">
        <f>IFERROR(__xludf.DUMMYFUNCTION("REGEXEXTRACT(A57, ""\d{1,2}\.\d"")"),"69.7")</f>
        <v>69.7</v>
      </c>
    </row>
    <row r="58">
      <c r="A58" s="1" t="s">
        <v>562</v>
      </c>
      <c r="B58" s="2" t="str">
        <f>IFERROR(__xludf.DUMMYFUNCTION("REGEXEXTRACT(A58, ""\d{1,2}\.\d"")"),"49.4")</f>
        <v>49.4</v>
      </c>
    </row>
    <row r="59">
      <c r="A59" s="1" t="s">
        <v>563</v>
      </c>
      <c r="B59" s="2" t="str">
        <f>IFERROR(__xludf.DUMMYFUNCTION("REGEXEXTRACT(A59, ""\d{1,2}\.\d"")"),"50.7")</f>
        <v>50.7</v>
      </c>
    </row>
    <row r="60">
      <c r="A60" s="1" t="s">
        <v>564</v>
      </c>
      <c r="B60" s="2" t="str">
        <f>IFERROR(__xludf.DUMMYFUNCTION("REGEXEXTRACT(A60, ""\d{1,2}\.\d"")"),"66.0")</f>
        <v>66.0</v>
      </c>
    </row>
    <row r="61">
      <c r="A61" s="1" t="s">
        <v>35</v>
      </c>
      <c r="B61" s="2" t="str">
        <f>IFERROR(__xludf.DUMMYFUNCTION("REGEXEXTRACT(A61, ""\d{1,2}\.\d"")"),"#N/A")</f>
        <v>#N/A</v>
      </c>
    </row>
    <row r="62">
      <c r="A62" s="1" t="s">
        <v>565</v>
      </c>
      <c r="B62" s="2" t="str">
        <f>IFERROR(__xludf.DUMMYFUNCTION("REGEXEXTRACT(A62, ""\d{1,2}\.\d"")"),"43.3")</f>
        <v>43.3</v>
      </c>
    </row>
    <row r="63">
      <c r="A63" s="1" t="s">
        <v>566</v>
      </c>
      <c r="B63" s="2" t="str">
        <f>IFERROR(__xludf.DUMMYFUNCTION("REGEXEXTRACT(A63, ""\d{1,2}\.\d"")"),"59.4")</f>
        <v>59.4</v>
      </c>
    </row>
    <row r="64">
      <c r="A64" s="3" t="s">
        <v>567</v>
      </c>
      <c r="B64" s="2" t="str">
        <f>IFERROR(__xludf.DUMMYFUNCTION("REGEXEXTRACT(A64, ""\d{1,2}\.\d"")"),"50.6")</f>
        <v>50.6</v>
      </c>
    </row>
    <row r="65">
      <c r="A65" s="1" t="s">
        <v>568</v>
      </c>
      <c r="B65" s="2" t="str">
        <f>IFERROR(__xludf.DUMMYFUNCTION("REGEXEXTRACT(A65, ""\d{1,2}\.\d"")"),"59.2")</f>
        <v>59.2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A2:A16">
    <cfRule type="expression" dxfId="1" priority="1">
      <formula>AND(NOT(REGEXMATCH(TO_TEXT(A2), " - \d+\.\d%$")),REGEXMATCH(TO_TEXT(A2), "%$"))</formula>
    </cfRule>
  </conditionalFormatting>
  <conditionalFormatting sqref="A1:A1000">
    <cfRule type="expression" dxfId="0" priority="2">
      <formula>NOT(REGEXMATCH(TO_TEXT(A1), "\d+\.\d$|\d+\.\d%$"))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63"/>
    <col customWidth="1" min="2" max="6" width="6.75"/>
    <col customWidth="1" min="7" max="45" width="10.63"/>
    <col customWidth="1" min="46" max="60" width="6.75"/>
  </cols>
  <sheetData>
    <row r="1">
      <c r="A1" s="4" t="s">
        <v>569</v>
      </c>
      <c r="B1" s="4" t="s">
        <v>570</v>
      </c>
      <c r="C1" s="4" t="s">
        <v>571</v>
      </c>
      <c r="D1" s="4" t="s">
        <v>572</v>
      </c>
      <c r="E1" s="4" t="s">
        <v>573</v>
      </c>
      <c r="F1" s="4" t="s">
        <v>574</v>
      </c>
      <c r="G1" s="4" t="s">
        <v>575</v>
      </c>
      <c r="H1" s="4" t="s">
        <v>576</v>
      </c>
      <c r="I1" s="4" t="s">
        <v>577</v>
      </c>
      <c r="J1" s="4" t="s">
        <v>578</v>
      </c>
      <c r="K1" s="4" t="s">
        <v>579</v>
      </c>
      <c r="L1" s="4" t="s">
        <v>580</v>
      </c>
      <c r="M1" s="4" t="s">
        <v>581</v>
      </c>
      <c r="N1" s="4" t="s">
        <v>582</v>
      </c>
      <c r="O1" s="4" t="s">
        <v>583</v>
      </c>
      <c r="P1" s="4" t="s">
        <v>584</v>
      </c>
      <c r="Q1" s="4" t="s">
        <v>585</v>
      </c>
      <c r="R1" s="4" t="s">
        <v>586</v>
      </c>
      <c r="S1" s="4" t="s">
        <v>587</v>
      </c>
      <c r="T1" s="4" t="s">
        <v>588</v>
      </c>
      <c r="U1" s="4" t="s">
        <v>589</v>
      </c>
      <c r="V1" s="4" t="s">
        <v>590</v>
      </c>
      <c r="W1" s="4" t="s">
        <v>591</v>
      </c>
      <c r="X1" s="4" t="s">
        <v>592</v>
      </c>
      <c r="Y1" s="4" t="s">
        <v>593</v>
      </c>
      <c r="Z1" s="4" t="s">
        <v>594</v>
      </c>
      <c r="AA1" s="4" t="s">
        <v>595</v>
      </c>
      <c r="AB1" s="4" t="s">
        <v>596</v>
      </c>
      <c r="AC1" s="4" t="s">
        <v>597</v>
      </c>
      <c r="AD1" s="4" t="s">
        <v>598</v>
      </c>
      <c r="AE1" s="4" t="s">
        <v>599</v>
      </c>
      <c r="AF1" s="4" t="s">
        <v>600</v>
      </c>
      <c r="AG1" s="4" t="s">
        <v>601</v>
      </c>
      <c r="AH1" s="4" t="s">
        <v>602</v>
      </c>
      <c r="AI1" s="4" t="s">
        <v>603</v>
      </c>
      <c r="AJ1" s="4" t="s">
        <v>604</v>
      </c>
      <c r="AK1" s="4" t="s">
        <v>605</v>
      </c>
      <c r="AL1" s="4" t="s">
        <v>606</v>
      </c>
      <c r="AM1" s="4" t="s">
        <v>607</v>
      </c>
      <c r="AN1" s="4" t="s">
        <v>608</v>
      </c>
      <c r="AO1" s="4" t="s">
        <v>609</v>
      </c>
      <c r="AP1" s="4" t="s">
        <v>610</v>
      </c>
      <c r="AQ1" s="4" t="s">
        <v>611</v>
      </c>
      <c r="AR1" s="4" t="s">
        <v>612</v>
      </c>
      <c r="AS1" s="4" t="s">
        <v>613</v>
      </c>
      <c r="AT1" s="5" t="s">
        <v>614</v>
      </c>
      <c r="AU1" s="5" t="s">
        <v>615</v>
      </c>
      <c r="AV1" s="5" t="s">
        <v>616</v>
      </c>
      <c r="AW1" s="5" t="s">
        <v>617</v>
      </c>
      <c r="AX1" s="5" t="s">
        <v>618</v>
      </c>
      <c r="AY1" s="5" t="s">
        <v>619</v>
      </c>
      <c r="AZ1" s="5" t="s">
        <v>620</v>
      </c>
      <c r="BA1" s="5" t="s">
        <v>621</v>
      </c>
      <c r="BB1" s="5" t="s">
        <v>622</v>
      </c>
      <c r="BC1" s="5" t="s">
        <v>623</v>
      </c>
      <c r="BD1" s="5" t="s">
        <v>624</v>
      </c>
      <c r="BE1" s="5" t="s">
        <v>625</v>
      </c>
      <c r="BF1" s="5" t="s">
        <v>626</v>
      </c>
      <c r="BG1" s="5" t="s">
        <v>627</v>
      </c>
      <c r="BH1" s="5" t="s">
        <v>628</v>
      </c>
    </row>
    <row r="2">
      <c r="A2" s="1" t="s">
        <v>629</v>
      </c>
      <c r="B2" s="1">
        <v>0.938</v>
      </c>
      <c r="C2" s="1">
        <v>34.0</v>
      </c>
      <c r="D2" s="1">
        <v>12.0</v>
      </c>
      <c r="E2" s="1">
        <v>19.0</v>
      </c>
      <c r="F2" s="1">
        <v>21.0</v>
      </c>
      <c r="G2" s="2" t="str">
        <f t="shared" ref="G2:G11" si="2">INDIRECT("'" &amp; A2 &amp; " IMD'!B18")</f>
        <v>62.8</v>
      </c>
      <c r="H2" s="5" t="str">
        <f t="shared" ref="H2:H11" si="3">INDIRECT("'" &amp; A2 &amp; " IMD'!B19")</f>
        <v>69.8</v>
      </c>
      <c r="I2" s="2" t="str">
        <f t="shared" ref="I2:I11" si="4">INDIRECT("'" &amp; A2 &amp; " IMD'!B20")</f>
        <v>42.3</v>
      </c>
      <c r="J2" s="2" t="str">
        <f t="shared" ref="J2:J11" si="5">INDIRECT("'" &amp; A2 &amp; " IMD'!B21")</f>
        <v>38.8</v>
      </c>
      <c r="K2" s="2" t="str">
        <f t="shared" ref="K2:K11" si="6">INDIRECT("'" &amp; A2 &amp; " IMD'!B22")</f>
        <v>68.7</v>
      </c>
      <c r="L2" s="2" t="str">
        <f t="shared" ref="L2:L11" si="7">INDIRECT("'" &amp; A2 &amp; " IMD'!B23")</f>
        <v>43.4</v>
      </c>
      <c r="M2" s="2" t="str">
        <f t="shared" ref="M2:M11" si="8">INDIRECT("'" &amp; A2 &amp; " IMD'!B25")</f>
        <v>35.0</v>
      </c>
      <c r="N2" s="2" t="str">
        <f t="shared" ref="N2:N11" si="9">INDIRECT("'" &amp; A2 &amp; " IMD'!B26")</f>
        <v>56.4</v>
      </c>
      <c r="O2" s="2" t="str">
        <f t="shared" ref="O2:O11" si="10">INDIRECT("'" &amp; A2 &amp; " IMD'!B28")</f>
        <v>69.6</v>
      </c>
      <c r="P2" s="2" t="str">
        <f t="shared" ref="P2:P11" si="11">INDIRECT("'" &amp; A2 &amp; " IMD'!B29")</f>
        <v>77.5</v>
      </c>
      <c r="Q2" s="2" t="str">
        <f t="shared" ref="Q2:Q11" si="12">INDIRECT("'" &amp; A2 &amp; " IMD'!B31")</f>
        <v>69.5</v>
      </c>
      <c r="R2" s="2" t="str">
        <f t="shared" ref="R2:R11" si="13">INDIRECT("'" &amp; A2 &amp; " IMD'!B32")</f>
        <v>61.6</v>
      </c>
      <c r="S2" s="2" t="str">
        <f t="shared" ref="S2:S11" si="14">INDIRECT("'" &amp; A2 &amp; " IMD'!B33")</f>
        <v>64.2</v>
      </c>
      <c r="T2" s="2" t="str">
        <f t="shared" ref="T2:T11" si="15">INDIRECT("'" &amp; A2 &amp; " IMD'!B34")</f>
        <v>65.0</v>
      </c>
      <c r="U2" s="2" t="str">
        <f t="shared" ref="U2:U11" si="16">INDIRECT("'" &amp; A2 &amp; " IMD'!B35")</f>
        <v>64.0</v>
      </c>
      <c r="V2" s="2" t="str">
        <f t="shared" ref="V2:V11" si="17">INDIRECT("'" &amp; A2 &amp; " IMD'!B37")</f>
        <v>67.0</v>
      </c>
      <c r="W2" s="2" t="str">
        <f t="shared" ref="W2:W11" si="18">INDIRECT("'" &amp; A2 &amp; " IMD'!B38")</f>
        <v>42.5</v>
      </c>
      <c r="X2" s="2" t="str">
        <f t="shared" ref="X2:X11" si="19">INDIRECT("'" &amp; A2 &amp; " IMD'!B39")</f>
        <v>56.7</v>
      </c>
      <c r="Y2" s="2" t="str">
        <f t="shared" ref="Y2:Y11" si="20">INDIRECT("'" &amp; A2 &amp; " IMD'!B40")</f>
        <v>63.6</v>
      </c>
      <c r="Z2" s="2" t="str">
        <f t="shared" ref="Z2:Z11" si="21">INDIRECT("'" &amp; A2 &amp; " IMD'!B42")</f>
        <v>55.8</v>
      </c>
      <c r="AA2" s="2" t="str">
        <f t="shared" ref="AA2:AA11" si="22">INDIRECT("'" &amp; A2 &amp; " IMD'!B43")</f>
        <v>61.2</v>
      </c>
      <c r="AB2" s="2" t="str">
        <f t="shared" ref="AB2:AB11" si="23">INDIRECT("'" &amp; A2 &amp; " IMD'!B44")</f>
        <v>69.0</v>
      </c>
      <c r="AC2" s="2" t="str">
        <f t="shared" ref="AC2:AC11" si="24">INDIRECT("'" &amp; A2 &amp; " IMD'!B45")</f>
        <v>61.7</v>
      </c>
      <c r="AD2" s="2" t="str">
        <f t="shared" ref="AD2:AD11" si="25">INDIRECT("'" &amp; A2 &amp; " IMD'!B46")</f>
        <v>53.0</v>
      </c>
      <c r="AE2" s="2" t="str">
        <f t="shared" ref="AE2:AE11" si="26">INDIRECT("'" &amp; A2 &amp; " IMD'!B47")</f>
        <v>69.8</v>
      </c>
      <c r="AF2" s="2" t="str">
        <f t="shared" ref="AF2:AF11" si="27">INDIRECT("'" &amp; A2 &amp; " IMD'!B49")</f>
        <v>55.6</v>
      </c>
      <c r="AG2" s="2" t="str">
        <f t="shared" ref="AG2:AG11" si="28">INDIRECT("'" &amp; A2 &amp; " IMD'!B50")</f>
        <v>60.6</v>
      </c>
      <c r="AH2" s="2" t="str">
        <f t="shared" ref="AH2:AH11" si="29">INDIRECT("'" &amp; A2 &amp; " IMD'!B51")</f>
        <v>59.6</v>
      </c>
      <c r="AI2" s="2" t="str">
        <f t="shared" ref="AI2:AI11" si="30">INDIRECT("'" &amp; A2 &amp; " IMD'!B52")</f>
        <v>68.7</v>
      </c>
      <c r="AJ2" s="2" t="str">
        <f t="shared" ref="AJ2:AJ11" si="31">INDIRECT("'" &amp; A2 &amp; " IMD'!B53")</f>
        <v>69.6</v>
      </c>
      <c r="AK2" s="2" t="str">
        <f t="shared" ref="AK2:AK11" si="32">INDIRECT("'" &amp; A2 &amp; " IMD'!B55")</f>
        <v>78.3</v>
      </c>
      <c r="AL2" s="2" t="str">
        <f t="shared" ref="AL2:AL11" si="33">INDIRECT("'" &amp; A2 &amp; " IMD'!B57")</f>
        <v>70.0</v>
      </c>
      <c r="AM2" s="2" t="str">
        <f t="shared" ref="AM2:AM11" si="34">INDIRECT("'" &amp; A2 &amp; " IMD'!B58")</f>
        <v>59.5</v>
      </c>
      <c r="AN2" s="2" t="str">
        <f t="shared" ref="AN2:AN11" si="35">INDIRECT("'" &amp; A2 &amp; " IMD'!B59")</f>
        <v>60.2</v>
      </c>
      <c r="AO2" s="2" t="str">
        <f t="shared" ref="AO2:AO11" si="36">INDIRECT("'" &amp; A2 &amp; " IMD'!B60")</f>
        <v>73.8</v>
      </c>
      <c r="AP2" s="2" t="str">
        <f t="shared" ref="AP2:AP11" si="37">INDIRECT("'" &amp; A2 &amp; " IMD'!B62")</f>
        <v>53.4</v>
      </c>
      <c r="AQ2" s="2" t="str">
        <f t="shared" ref="AQ2:AQ11" si="38">INDIRECT("'" &amp; A2 &amp; " IMD'!B63")</f>
        <v>64.2</v>
      </c>
      <c r="AR2" s="2" t="str">
        <f t="shared" ref="AR2:AR11" si="39">INDIRECT("'" &amp; A2 &amp; " IMD'!B64")</f>
        <v>56.7</v>
      </c>
      <c r="AS2" s="2" t="str">
        <f t="shared" ref="AS2:AS11" si="40">INDIRECT("'" &amp; A2 &amp; " IMD'!B65")</f>
        <v>68.7</v>
      </c>
      <c r="AT2" s="2" t="str">
        <f t="shared" ref="AT2:BH2" si="1">INDEX(INDIRECT("'" &amp; $A2 &amp; " IMD'!$C$2:$C$16"), MATCH(AT$1, INDIRECT("'" &amp; $A2 &amp; " IMD'!$B$2:$B$16"), 0))</f>
        <v>61.9</v>
      </c>
      <c r="AU2" s="2" t="str">
        <f t="shared" si="1"/>
        <v>39.1</v>
      </c>
      <c r="AV2" s="2" t="str">
        <f t="shared" si="1"/>
        <v>25.7</v>
      </c>
      <c r="AW2" s="2" t="str">
        <f t="shared" si="1"/>
        <v>8.8</v>
      </c>
      <c r="AX2" s="2" t="str">
        <f t="shared" si="1"/>
        <v>32.2</v>
      </c>
      <c r="AY2" s="2" t="str">
        <f t="shared" si="1"/>
        <v>26.1</v>
      </c>
      <c r="AZ2" s="2" t="str">
        <f t="shared" si="1"/>
        <v>18.1</v>
      </c>
      <c r="BA2" s="2" t="str">
        <f t="shared" si="1"/>
        <v>39.5</v>
      </c>
      <c r="BB2" s="2" t="str">
        <f t="shared" si="1"/>
        <v>28.2</v>
      </c>
      <c r="BC2" s="2" t="str">
        <f t="shared" si="1"/>
        <v>14.3</v>
      </c>
      <c r="BD2" s="2" t="str">
        <f t="shared" si="1"/>
        <v>42.4</v>
      </c>
      <c r="BE2" s="2" t="str">
        <f t="shared" si="1"/>
        <v>23.5</v>
      </c>
      <c r="BF2" s="2" t="str">
        <f t="shared" si="1"/>
        <v>52.6</v>
      </c>
      <c r="BG2" s="2" t="str">
        <f t="shared" si="1"/>
        <v>15.8</v>
      </c>
      <c r="BH2" s="2" t="str">
        <f t="shared" si="1"/>
        <v>33.5</v>
      </c>
    </row>
    <row r="3">
      <c r="A3" s="1" t="s">
        <v>630</v>
      </c>
      <c r="B3" s="1">
        <v>0.949</v>
      </c>
      <c r="C3" s="1">
        <v>15.0</v>
      </c>
      <c r="D3" s="1">
        <v>24.0</v>
      </c>
      <c r="E3" s="1">
        <v>22.0</v>
      </c>
      <c r="F3" s="1">
        <v>34.0</v>
      </c>
      <c r="G3" s="2" t="str">
        <f t="shared" si="2"/>
        <v>59.8</v>
      </c>
      <c r="H3" s="5" t="str">
        <f t="shared" si="3"/>
        <v>68.2</v>
      </c>
      <c r="I3" s="2" t="str">
        <f t="shared" si="4"/>
        <v>41.2</v>
      </c>
      <c r="J3" s="2" t="str">
        <f t="shared" si="5"/>
        <v>46.1</v>
      </c>
      <c r="K3" s="2" t="str">
        <f t="shared" si="6"/>
        <v>74.0</v>
      </c>
      <c r="L3" s="2" t="str">
        <f t="shared" si="7"/>
        <v>27.6</v>
      </c>
      <c r="M3" s="2" t="str">
        <f t="shared" si="8"/>
        <v>21.2</v>
      </c>
      <c r="N3" s="2" t="str">
        <f t="shared" si="9"/>
        <v>43.4</v>
      </c>
      <c r="O3" s="2" t="str">
        <f t="shared" si="10"/>
        <v>67.7</v>
      </c>
      <c r="P3" s="2" t="str">
        <f t="shared" si="11"/>
        <v>81.5</v>
      </c>
      <c r="Q3" s="2" t="str">
        <f t="shared" si="12"/>
        <v>67.6</v>
      </c>
      <c r="R3" s="2" t="str">
        <f t="shared" si="13"/>
        <v>61.1</v>
      </c>
      <c r="S3" s="2" t="str">
        <f t="shared" si="14"/>
        <v>66.4</v>
      </c>
      <c r="T3" s="2" t="str">
        <f t="shared" si="15"/>
        <v>70.1</v>
      </c>
      <c r="U3" s="2" t="str">
        <f t="shared" si="16"/>
        <v>60.9</v>
      </c>
      <c r="V3" s="2" t="str">
        <f t="shared" si="17"/>
        <v>67.0</v>
      </c>
      <c r="W3" s="2" t="str">
        <f t="shared" si="18"/>
        <v>43.7</v>
      </c>
      <c r="X3" s="2" t="str">
        <f t="shared" si="19"/>
        <v>52.0</v>
      </c>
      <c r="Y3" s="2" t="str">
        <f t="shared" si="20"/>
        <v>62.1</v>
      </c>
      <c r="Z3" s="2" t="str">
        <f t="shared" si="21"/>
        <v>41.5</v>
      </c>
      <c r="AA3" s="2" t="str">
        <f t="shared" si="22"/>
        <v>60.1</v>
      </c>
      <c r="AB3" s="2" t="str">
        <f t="shared" si="23"/>
        <v>54.0</v>
      </c>
      <c r="AC3" s="2" t="str">
        <f t="shared" si="24"/>
        <v>43.9</v>
      </c>
      <c r="AD3" s="2" t="str">
        <f t="shared" si="25"/>
        <v>33.3</v>
      </c>
      <c r="AE3" s="2" t="str">
        <f t="shared" si="26"/>
        <v>67.2</v>
      </c>
      <c r="AF3" s="2" t="str">
        <f t="shared" si="27"/>
        <v>40.7</v>
      </c>
      <c r="AG3" s="2" t="str">
        <f t="shared" si="28"/>
        <v>46.5</v>
      </c>
      <c r="AH3" s="2" t="str">
        <f t="shared" si="29"/>
        <v>44.7</v>
      </c>
      <c r="AI3" s="2" t="str">
        <f t="shared" si="30"/>
        <v>55.6</v>
      </c>
      <c r="AJ3" s="2" t="str">
        <f t="shared" si="31"/>
        <v>56.4</v>
      </c>
      <c r="AK3" s="2" t="str">
        <f t="shared" si="32"/>
        <v>76.0</v>
      </c>
      <c r="AL3" s="2" t="str">
        <f t="shared" si="33"/>
        <v>69.7</v>
      </c>
      <c r="AM3" s="2" t="str">
        <f t="shared" si="34"/>
        <v>50.9</v>
      </c>
      <c r="AN3" s="2" t="str">
        <f t="shared" si="35"/>
        <v>47.9</v>
      </c>
      <c r="AO3" s="2" t="str">
        <f t="shared" si="36"/>
        <v>67.4</v>
      </c>
      <c r="AP3" s="2" t="str">
        <f t="shared" si="37"/>
        <v>41.1</v>
      </c>
      <c r="AQ3" s="2" t="str">
        <f t="shared" si="38"/>
        <v>52.1</v>
      </c>
      <c r="AR3" s="2" t="str">
        <f t="shared" si="39"/>
        <v>47.2</v>
      </c>
      <c r="AS3" s="2" t="str">
        <f t="shared" si="40"/>
        <v>54.9</v>
      </c>
      <c r="AT3" s="2" t="str">
        <f t="shared" ref="AT3:BH3" si="41">INDEX(INDIRECT("'" &amp; $A3 &amp; " IMD'!$C$2:$C$16"), MATCH(AT$1, INDIRECT("'" &amp; $A3 &amp; " IMD'!$B$2:$B$16"), 0))</f>
        <v>78.3</v>
      </c>
      <c r="AU3" s="2" t="str">
        <f t="shared" si="41"/>
        <v>23.5</v>
      </c>
      <c r="AV3" s="2" t="str">
        <f t="shared" si="41"/>
        <v>15.1</v>
      </c>
      <c r="AW3" s="2" t="str">
        <f t="shared" si="41"/>
        <v>10.1</v>
      </c>
      <c r="AX3" s="2" t="str">
        <f t="shared" si="41"/>
        <v>25.0</v>
      </c>
      <c r="AY3" s="2" t="str">
        <f t="shared" si="41"/>
        <v>29.3</v>
      </c>
      <c r="AZ3" s="2" t="str">
        <f t="shared" si="41"/>
        <v>14.8</v>
      </c>
      <c r="BA3" s="2" t="str">
        <f t="shared" si="41"/>
        <v>28.3</v>
      </c>
      <c r="BB3" s="2" t="str">
        <f t="shared" si="41"/>
        <v>44.3</v>
      </c>
      <c r="BC3" s="2" t="str">
        <f t="shared" si="41"/>
        <v>15.1</v>
      </c>
      <c r="BD3" s="2" t="str">
        <f t="shared" si="41"/>
        <v>58.8</v>
      </c>
      <c r="BE3" s="2" t="str">
        <f t="shared" si="41"/>
        <v>27.5</v>
      </c>
      <c r="BF3" s="2" t="str">
        <f t="shared" si="41"/>
        <v>40.7</v>
      </c>
      <c r="BG3" s="2" t="str">
        <f t="shared" si="41"/>
        <v>17.8</v>
      </c>
      <c r="BH3" s="2" t="str">
        <f t="shared" si="41"/>
        <v>30.7</v>
      </c>
    </row>
    <row r="4">
      <c r="A4" s="1" t="s">
        <v>631</v>
      </c>
      <c r="B4" s="1">
        <v>0.94</v>
      </c>
      <c r="C4" s="1">
        <v>26.0</v>
      </c>
      <c r="D4" s="1">
        <v>13.0</v>
      </c>
      <c r="E4" s="1">
        <v>26.0</v>
      </c>
      <c r="F4" s="1">
        <v>39.0</v>
      </c>
      <c r="G4" s="2" t="str">
        <f t="shared" si="2"/>
        <v>57.3</v>
      </c>
      <c r="H4" s="5" t="str">
        <f t="shared" si="3"/>
        <v>64.0</v>
      </c>
      <c r="I4" s="2" t="str">
        <f t="shared" si="4"/>
        <v>39.5</v>
      </c>
      <c r="J4" s="2" t="str">
        <f t="shared" si="5"/>
        <v>46.6</v>
      </c>
      <c r="K4" s="2" t="str">
        <f t="shared" si="6"/>
        <v>59.0</v>
      </c>
      <c r="L4" s="2" t="str">
        <f t="shared" si="7"/>
        <v>32.9</v>
      </c>
      <c r="M4" s="2" t="str">
        <f t="shared" si="8"/>
        <v>29.3</v>
      </c>
      <c r="N4" s="2" t="str">
        <f t="shared" si="9"/>
        <v>56.7</v>
      </c>
      <c r="O4" s="2" t="str">
        <f t="shared" si="10"/>
        <v>64.8</v>
      </c>
      <c r="P4" s="2" t="str">
        <f t="shared" si="11"/>
        <v>81.7</v>
      </c>
      <c r="Q4" s="2" t="str">
        <f t="shared" si="12"/>
        <v>63.1</v>
      </c>
      <c r="R4" s="2" t="str">
        <f t="shared" si="13"/>
        <v>53.2</v>
      </c>
      <c r="S4" s="2" t="str">
        <f t="shared" si="14"/>
        <v>61.5</v>
      </c>
      <c r="T4" s="2" t="str">
        <f t="shared" si="15"/>
        <v>64.6</v>
      </c>
      <c r="U4" s="2" t="str">
        <f t="shared" si="16"/>
        <v>62.9</v>
      </c>
      <c r="V4" s="2" t="str">
        <f t="shared" si="17"/>
        <v>66.2</v>
      </c>
      <c r="W4" s="2" t="str">
        <f t="shared" si="18"/>
        <v>38.8</v>
      </c>
      <c r="X4" s="2" t="str">
        <f t="shared" si="19"/>
        <v>54.3</v>
      </c>
      <c r="Y4" s="2" t="str">
        <f t="shared" si="20"/>
        <v>60.5</v>
      </c>
      <c r="Z4" s="2" t="str">
        <f t="shared" si="21"/>
        <v>46.5</v>
      </c>
      <c r="AA4" s="2" t="str">
        <f t="shared" si="22"/>
        <v>63.4</v>
      </c>
      <c r="AB4" s="2" t="str">
        <f t="shared" si="23"/>
        <v>56.8</v>
      </c>
      <c r="AC4" s="2" t="str">
        <f t="shared" si="24"/>
        <v>50.3</v>
      </c>
      <c r="AD4" s="2" t="str">
        <f t="shared" si="25"/>
        <v>43.3</v>
      </c>
      <c r="AE4" s="2" t="str">
        <f t="shared" si="26"/>
        <v>68.1</v>
      </c>
      <c r="AF4" s="2" t="str">
        <f t="shared" si="27"/>
        <v>50.2</v>
      </c>
      <c r="AG4" s="2" t="str">
        <f t="shared" si="28"/>
        <v>53.3</v>
      </c>
      <c r="AH4" s="2" t="str">
        <f t="shared" si="29"/>
        <v>48.6</v>
      </c>
      <c r="AI4" s="2" t="str">
        <f t="shared" si="30"/>
        <v>56.7</v>
      </c>
      <c r="AJ4" s="2" t="str">
        <f t="shared" si="31"/>
        <v>61.4</v>
      </c>
      <c r="AK4" s="2" t="str">
        <f t="shared" si="32"/>
        <v>74.7</v>
      </c>
      <c r="AL4" s="2" t="str">
        <f t="shared" si="33"/>
        <v>69.7</v>
      </c>
      <c r="AM4" s="2" t="str">
        <f t="shared" si="34"/>
        <v>49.4</v>
      </c>
      <c r="AN4" s="2" t="str">
        <f t="shared" si="35"/>
        <v>50.7</v>
      </c>
      <c r="AO4" s="2" t="str">
        <f t="shared" si="36"/>
        <v>66.0</v>
      </c>
      <c r="AP4" s="2" t="str">
        <f t="shared" si="37"/>
        <v>43.3</v>
      </c>
      <c r="AQ4" s="2" t="str">
        <f t="shared" si="38"/>
        <v>59.4</v>
      </c>
      <c r="AR4" s="2" t="str">
        <f t="shared" si="39"/>
        <v>50.6</v>
      </c>
      <c r="AS4" s="2" t="str">
        <f t="shared" si="40"/>
        <v>59.2</v>
      </c>
      <c r="AT4" s="2" t="str">
        <f t="shared" ref="AT4:BH4" si="42">INDEX(INDIRECT("'" &amp; $A4 &amp; " IMD'!$C$2:$C$16"), MATCH(AT$1, INDIRECT("'" &amp; $A4 &amp; " IMD'!$B$2:$B$16"), 0))</f>
        <v>69.0</v>
      </c>
      <c r="AU4" s="2" t="str">
        <f t="shared" si="42"/>
        <v>26.1</v>
      </c>
      <c r="AV4" s="2" t="str">
        <f t="shared" si="42"/>
        <v>19.6</v>
      </c>
      <c r="AW4" s="2" t="str">
        <f t="shared" si="42"/>
        <v>12.1</v>
      </c>
      <c r="AX4" s="2" t="str">
        <f t="shared" si="42"/>
        <v>22.6</v>
      </c>
      <c r="AY4" s="2" t="str">
        <f t="shared" si="42"/>
        <v>28.8</v>
      </c>
      <c r="AZ4" s="2" t="str">
        <f t="shared" si="42"/>
        <v>12.8</v>
      </c>
      <c r="BA4" s="2" t="str">
        <f t="shared" si="42"/>
        <v>47.4</v>
      </c>
      <c r="BB4" s="2" t="str">
        <f t="shared" si="42"/>
        <v>28.5</v>
      </c>
      <c r="BC4" s="2" t="str">
        <f t="shared" si="42"/>
        <v>14.4</v>
      </c>
      <c r="BD4" s="2" t="str">
        <f t="shared" si="42"/>
        <v>47.4</v>
      </c>
      <c r="BE4" s="2" t="str">
        <f t="shared" si="42"/>
        <v>33.6</v>
      </c>
      <c r="BF4" s="2" t="str">
        <f t="shared" si="42"/>
        <v>47.6</v>
      </c>
      <c r="BG4" s="2" t="str">
        <f t="shared" si="42"/>
        <v>13.1</v>
      </c>
      <c r="BH4" s="2" t="str">
        <f t="shared" si="42"/>
        <v>37.9</v>
      </c>
    </row>
    <row r="5">
      <c r="A5" s="1" t="s">
        <v>632</v>
      </c>
      <c r="B5" s="1">
        <v>0.931</v>
      </c>
      <c r="C5" s="1">
        <v>44.0</v>
      </c>
      <c r="D5" s="1">
        <v>36.0</v>
      </c>
      <c r="E5" s="1">
        <v>30.0</v>
      </c>
      <c r="F5" s="1">
        <v>50.0</v>
      </c>
      <c r="G5" s="2" t="str">
        <f t="shared" si="2"/>
        <v>54.2</v>
      </c>
      <c r="H5" s="5" t="str">
        <f t="shared" si="3"/>
        <v>64.3</v>
      </c>
      <c r="I5" s="2" t="str">
        <f t="shared" si="4"/>
        <v>36.5</v>
      </c>
      <c r="J5" s="2" t="str">
        <f t="shared" si="5"/>
        <v>32.7</v>
      </c>
      <c r="K5" s="2" t="str">
        <f t="shared" si="6"/>
        <v>56.2</v>
      </c>
      <c r="L5" s="2" t="str">
        <f t="shared" si="7"/>
        <v>32.8</v>
      </c>
      <c r="M5" s="2" t="str">
        <f t="shared" si="8"/>
        <v>25.1</v>
      </c>
      <c r="N5" s="2" t="str">
        <f t="shared" si="9"/>
        <v>47.7</v>
      </c>
      <c r="O5" s="2" t="str">
        <f t="shared" si="10"/>
        <v>60.7</v>
      </c>
      <c r="P5" s="2" t="str">
        <f t="shared" si="11"/>
        <v>75.4</v>
      </c>
      <c r="Q5" s="2" t="str">
        <f t="shared" si="12"/>
        <v>63.0</v>
      </c>
      <c r="R5" s="2" t="str">
        <f t="shared" si="13"/>
        <v>52.9</v>
      </c>
      <c r="S5" s="2" t="str">
        <f t="shared" si="14"/>
        <v>58.2</v>
      </c>
      <c r="T5" s="2" t="str">
        <f t="shared" si="15"/>
        <v>64.7</v>
      </c>
      <c r="U5" s="2" t="str">
        <f t="shared" si="16"/>
        <v>58.3</v>
      </c>
      <c r="V5" s="2" t="str">
        <f t="shared" si="17"/>
        <v>65.8</v>
      </c>
      <c r="W5" s="2" t="str">
        <f t="shared" si="18"/>
        <v>35.5</v>
      </c>
      <c r="X5" s="2" t="str">
        <f t="shared" si="19"/>
        <v>56.5</v>
      </c>
      <c r="Y5" s="2" t="str">
        <f t="shared" si="20"/>
        <v>59.7</v>
      </c>
      <c r="Z5" s="2" t="str">
        <f t="shared" si="21"/>
        <v>50.3</v>
      </c>
      <c r="AA5" s="2" t="str">
        <f t="shared" si="22"/>
        <v>61.7</v>
      </c>
      <c r="AB5" s="2" t="str">
        <f t="shared" si="23"/>
        <v>60.0</v>
      </c>
      <c r="AC5" s="2" t="str">
        <f t="shared" si="24"/>
        <v>54.0</v>
      </c>
      <c r="AD5" s="2" t="str">
        <f t="shared" si="25"/>
        <v>53.8</v>
      </c>
      <c r="AE5" s="2" t="str">
        <f t="shared" si="26"/>
        <v>64.9</v>
      </c>
      <c r="AF5" s="2" t="str">
        <f t="shared" si="27"/>
        <v>53.1</v>
      </c>
      <c r="AG5" s="2" t="str">
        <f t="shared" si="28"/>
        <v>53.6</v>
      </c>
      <c r="AH5" s="2" t="str">
        <f t="shared" si="29"/>
        <v>49.1</v>
      </c>
      <c r="AI5" s="2" t="str">
        <f t="shared" si="30"/>
        <v>60.7</v>
      </c>
      <c r="AJ5" s="2" t="str">
        <f t="shared" si="31"/>
        <v>65.5</v>
      </c>
      <c r="AK5" s="2" t="str">
        <f t="shared" si="32"/>
        <v>76.2</v>
      </c>
      <c r="AL5" s="2" t="str">
        <f t="shared" si="33"/>
        <v>68.0</v>
      </c>
      <c r="AM5" s="2" t="str">
        <f t="shared" si="34"/>
        <v>54.1</v>
      </c>
      <c r="AN5" s="2" t="str">
        <f t="shared" si="35"/>
        <v>55.8</v>
      </c>
      <c r="AO5" s="2" t="str">
        <f t="shared" si="36"/>
        <v>67.7</v>
      </c>
      <c r="AP5" s="2" t="str">
        <f t="shared" si="37"/>
        <v>49.0</v>
      </c>
      <c r="AQ5" s="2" t="str">
        <f t="shared" si="38"/>
        <v>65.3</v>
      </c>
      <c r="AR5" s="2" t="str">
        <f t="shared" si="39"/>
        <v>54.6</v>
      </c>
      <c r="AS5" s="2" t="str">
        <f t="shared" si="40"/>
        <v>65.2</v>
      </c>
      <c r="AT5" s="2" t="str">
        <f t="shared" ref="AT5:BH5" si="43">INDEX(INDIRECT("'" &amp; $A5 &amp; " IMD'!$C$2:$C$16"), MATCH(AT$1, INDIRECT("'" &amp; $A5 &amp; " IMD'!$B$2:$B$16"), 0))</f>
        <v>66.2</v>
      </c>
      <c r="AU5" s="2" t="str">
        <f t="shared" si="43"/>
        <v>41.2</v>
      </c>
      <c r="AV5" s="2" t="str">
        <f t="shared" si="43"/>
        <v>21.4</v>
      </c>
      <c r="AW5" s="2" t="str">
        <f t="shared" si="43"/>
        <v>8.7</v>
      </c>
      <c r="AX5" s="2" t="str">
        <f t="shared" si="43"/>
        <v>30.5</v>
      </c>
      <c r="AY5" s="2" t="str">
        <f t="shared" si="43"/>
        <v>28.4</v>
      </c>
      <c r="AZ5" s="2" t="str">
        <f t="shared" si="43"/>
        <v>16.4</v>
      </c>
      <c r="BA5" s="2" t="str">
        <f t="shared" si="43"/>
        <v>43.8</v>
      </c>
      <c r="BB5" s="2" t="str">
        <f t="shared" si="43"/>
        <v>19.1</v>
      </c>
      <c r="BC5" s="2" t="str">
        <f t="shared" si="43"/>
        <v>15.3</v>
      </c>
      <c r="BD5" s="2" t="str">
        <f t="shared" si="43"/>
        <v>47.1</v>
      </c>
      <c r="BE5" s="2" t="str">
        <f t="shared" si="43"/>
        <v>31.1</v>
      </c>
      <c r="BF5" s="2" t="str">
        <f t="shared" si="43"/>
        <v>50.1</v>
      </c>
      <c r="BG5" s="2" t="str">
        <f t="shared" si="43"/>
        <v>13.1</v>
      </c>
      <c r="BH5" s="2" t="str">
        <f t="shared" si="43"/>
        <v>30.1</v>
      </c>
    </row>
    <row r="6">
      <c r="A6" s="1" t="s">
        <v>633</v>
      </c>
      <c r="B6" s="1">
        <v>0.942</v>
      </c>
      <c r="C6" s="1">
        <v>27.0</v>
      </c>
      <c r="D6" s="1">
        <v>31.0</v>
      </c>
      <c r="E6" s="1">
        <v>34.0</v>
      </c>
      <c r="F6" s="1">
        <v>53.0</v>
      </c>
      <c r="G6" s="2" t="str">
        <f t="shared" si="2"/>
        <v>49.6</v>
      </c>
      <c r="H6" s="5" t="str">
        <f t="shared" si="3"/>
        <v>62.0</v>
      </c>
      <c r="I6" s="2" t="str">
        <f t="shared" si="4"/>
        <v>36.1</v>
      </c>
      <c r="J6" s="2" t="str">
        <f t="shared" si="5"/>
        <v>30.2</v>
      </c>
      <c r="K6" s="2" t="str">
        <f t="shared" si="6"/>
        <v>61.7</v>
      </c>
      <c r="L6" s="2" t="str">
        <f t="shared" si="7"/>
        <v>17.2</v>
      </c>
      <c r="M6" s="2" t="str">
        <f t="shared" si="8"/>
        <v>20.8</v>
      </c>
      <c r="N6" s="2" t="str">
        <f t="shared" si="9"/>
        <v>49.1</v>
      </c>
      <c r="O6" s="2" t="str">
        <f t="shared" si="10"/>
        <v>66.8</v>
      </c>
      <c r="P6" s="2" t="str">
        <f t="shared" si="11"/>
        <v>78.9</v>
      </c>
      <c r="Q6" s="2" t="str">
        <f t="shared" si="12"/>
        <v>69.0</v>
      </c>
      <c r="R6" s="2" t="str">
        <f t="shared" si="13"/>
        <v>57.8</v>
      </c>
      <c r="S6" s="2" t="str">
        <f t="shared" si="14"/>
        <v>61.8</v>
      </c>
      <c r="T6" s="2" t="str">
        <f t="shared" si="15"/>
        <v>64.2</v>
      </c>
      <c r="U6" s="2" t="str">
        <f t="shared" si="16"/>
        <v>58.4</v>
      </c>
      <c r="V6" s="2" t="str">
        <f t="shared" si="17"/>
        <v>59.2</v>
      </c>
      <c r="W6" s="2" t="str">
        <f t="shared" si="18"/>
        <v>42.1</v>
      </c>
      <c r="X6" s="2" t="str">
        <f t="shared" si="19"/>
        <v>53.6</v>
      </c>
      <c r="Y6" s="2" t="str">
        <f t="shared" si="20"/>
        <v>62.4</v>
      </c>
      <c r="Z6" s="2" t="str">
        <f t="shared" si="21"/>
        <v>40.9</v>
      </c>
      <c r="AA6" s="2" t="str">
        <f t="shared" si="22"/>
        <v>59.8</v>
      </c>
      <c r="AB6" s="2" t="str">
        <f t="shared" si="23"/>
        <v>42.1</v>
      </c>
      <c r="AC6" s="2" t="str">
        <f t="shared" si="24"/>
        <v>38.0</v>
      </c>
      <c r="AD6" s="2" t="str">
        <f t="shared" si="25"/>
        <v>43.8</v>
      </c>
      <c r="AE6" s="2" t="str">
        <f t="shared" si="26"/>
        <v>66.3</v>
      </c>
      <c r="AF6" s="2" t="str">
        <f t="shared" si="27"/>
        <v>41.2</v>
      </c>
      <c r="AG6" s="2" t="str">
        <f t="shared" si="28"/>
        <v>38.0</v>
      </c>
      <c r="AH6" s="2" t="str">
        <f t="shared" si="29"/>
        <v>37.6</v>
      </c>
      <c r="AI6" s="2" t="str">
        <f t="shared" si="30"/>
        <v>56.2</v>
      </c>
      <c r="AJ6" s="2" t="str">
        <f t="shared" si="31"/>
        <v>56.0</v>
      </c>
      <c r="AK6" s="2" t="str">
        <f t="shared" si="32"/>
        <v>75.4</v>
      </c>
      <c r="AL6" s="2" t="str">
        <f t="shared" si="33"/>
        <v>69.8</v>
      </c>
      <c r="AM6" s="2" t="str">
        <f t="shared" si="34"/>
        <v>43.8</v>
      </c>
      <c r="AN6" s="2" t="str">
        <f t="shared" si="35"/>
        <v>44.8</v>
      </c>
      <c r="AO6" s="2" t="str">
        <f t="shared" si="36"/>
        <v>63.4</v>
      </c>
      <c r="AP6" s="2" t="str">
        <f t="shared" si="37"/>
        <v>38.8</v>
      </c>
      <c r="AQ6" s="2" t="str">
        <f t="shared" si="38"/>
        <v>54.2</v>
      </c>
      <c r="AR6" s="2" t="str">
        <f t="shared" si="39"/>
        <v>42.7</v>
      </c>
      <c r="AS6" s="2" t="str">
        <f t="shared" si="40"/>
        <v>54.4</v>
      </c>
      <c r="AT6" s="2" t="str">
        <f t="shared" ref="AT6:BH6" si="44">INDEX(INDIRECT("'" &amp; $A6 &amp; " IMD'!$C$2:$C$16"), MATCH(AT$1, INDIRECT("'" &amp; $A6 &amp; " IMD'!$B$2:$B$16"), 0))</f>
        <v>83.5</v>
      </c>
      <c r="AU6" s="2" t="str">
        <f t="shared" si="44"/>
        <v>42.6</v>
      </c>
      <c r="AV6" s="2" t="str">
        <f t="shared" si="44"/>
        <v>16.1</v>
      </c>
      <c r="AW6" s="2" t="str">
        <f t="shared" si="44"/>
        <v>7.8</v>
      </c>
      <c r="AX6" s="2" t="str">
        <f t="shared" si="44"/>
        <v>19.2</v>
      </c>
      <c r="AY6" s="2" t="str">
        <f t="shared" si="44"/>
        <v>23.2</v>
      </c>
      <c r="AZ6" s="2" t="str">
        <f t="shared" si="44"/>
        <v>12.8</v>
      </c>
      <c r="BA6" s="2" t="str">
        <f t="shared" si="44"/>
        <v>28.8</v>
      </c>
      <c r="BB6" s="2" t="str">
        <f t="shared" si="44"/>
        <v>22.1</v>
      </c>
      <c r="BC6" s="2" t="str">
        <f t="shared" si="44"/>
        <v>15.4</v>
      </c>
      <c r="BD6" s="2" t="str">
        <f t="shared" si="44"/>
        <v>57.8</v>
      </c>
      <c r="BE6" s="2" t="str">
        <f t="shared" si="44"/>
        <v>33.5</v>
      </c>
      <c r="BF6" s="2" t="str">
        <f t="shared" si="44"/>
        <v>39.7</v>
      </c>
      <c r="BG6" s="2" t="str">
        <f t="shared" si="44"/>
        <v>14.0</v>
      </c>
      <c r="BH6" s="2" t="str">
        <f t="shared" si="44"/>
        <v>31.7</v>
      </c>
    </row>
    <row r="7">
      <c r="A7" s="1" t="s">
        <v>634</v>
      </c>
      <c r="B7" s="1">
        <v>0.94</v>
      </c>
      <c r="C7" s="1">
        <v>31.0</v>
      </c>
      <c r="D7" s="1">
        <v>41.0</v>
      </c>
      <c r="E7" s="1">
        <v>38.0</v>
      </c>
      <c r="F7" s="1">
        <v>55.0</v>
      </c>
      <c r="G7" s="2" t="str">
        <f t="shared" si="2"/>
        <v>43.1</v>
      </c>
      <c r="H7" s="5" t="str">
        <f t="shared" si="3"/>
        <v>71.0</v>
      </c>
      <c r="I7" s="2" t="str">
        <f t="shared" si="4"/>
        <v>27.0</v>
      </c>
      <c r="J7" s="2" t="str">
        <f t="shared" si="5"/>
        <v>43.6</v>
      </c>
      <c r="K7" s="2" t="str">
        <f t="shared" si="6"/>
        <v>64.1</v>
      </c>
      <c r="L7" s="2" t="str">
        <f t="shared" si="7"/>
        <v>18.9</v>
      </c>
      <c r="M7" s="2" t="str">
        <f t="shared" si="8"/>
        <v>15.8</v>
      </c>
      <c r="N7" s="2" t="str">
        <f t="shared" si="9"/>
        <v>54.4</v>
      </c>
      <c r="O7" s="2" t="str">
        <f t="shared" si="10"/>
        <v>64.3</v>
      </c>
      <c r="P7" s="2" t="str">
        <f t="shared" si="11"/>
        <v>78.1</v>
      </c>
      <c r="Q7" s="2" t="str">
        <f t="shared" si="12"/>
        <v>64.9</v>
      </c>
      <c r="R7" s="2" t="str">
        <f t="shared" si="13"/>
        <v>61.2</v>
      </c>
      <c r="S7" s="2" t="str">
        <f t="shared" si="14"/>
        <v>63.1</v>
      </c>
      <c r="T7" s="2" t="str">
        <f t="shared" si="15"/>
        <v>61.6</v>
      </c>
      <c r="U7" s="2" t="str">
        <f t="shared" si="16"/>
        <v>61.2</v>
      </c>
      <c r="V7" s="2" t="str">
        <f t="shared" si="17"/>
        <v>63.8</v>
      </c>
      <c r="W7" s="2" t="str">
        <f t="shared" si="18"/>
        <v>41.5</v>
      </c>
      <c r="X7" s="2" t="str">
        <f t="shared" si="19"/>
        <v>49.5</v>
      </c>
      <c r="Y7" s="2" t="str">
        <f t="shared" si="20"/>
        <v>61.1</v>
      </c>
      <c r="Z7" s="2" t="str">
        <f t="shared" si="21"/>
        <v>43.0</v>
      </c>
      <c r="AA7" s="2" t="str">
        <f t="shared" si="22"/>
        <v>60.5</v>
      </c>
      <c r="AB7" s="2" t="str">
        <f t="shared" si="23"/>
        <v>44.3</v>
      </c>
      <c r="AC7" s="2" t="str">
        <f t="shared" si="24"/>
        <v>37.8</v>
      </c>
      <c r="AD7" s="2" t="str">
        <f t="shared" si="25"/>
        <v>43.0</v>
      </c>
      <c r="AE7" s="2" t="str">
        <f t="shared" si="26"/>
        <v>67.6</v>
      </c>
      <c r="AF7" s="2" t="str">
        <f t="shared" si="27"/>
        <v>40.9</v>
      </c>
      <c r="AG7" s="2" t="str">
        <f t="shared" si="28"/>
        <v>40.1</v>
      </c>
      <c r="AH7" s="2" t="str">
        <f t="shared" si="29"/>
        <v>37.8</v>
      </c>
      <c r="AI7" s="2" t="str">
        <f t="shared" si="30"/>
        <v>54.9</v>
      </c>
      <c r="AJ7" s="2" t="str">
        <f t="shared" si="31"/>
        <v>57.8</v>
      </c>
      <c r="AK7" s="2" t="str">
        <f t="shared" si="32"/>
        <v>71.0</v>
      </c>
      <c r="AL7" s="2" t="str">
        <f t="shared" si="33"/>
        <v>66.9</v>
      </c>
      <c r="AM7" s="2" t="str">
        <f t="shared" si="34"/>
        <v>47.0</v>
      </c>
      <c r="AN7" s="2" t="str">
        <f t="shared" si="35"/>
        <v>40.9</v>
      </c>
      <c r="AO7" s="2" t="str">
        <f t="shared" si="36"/>
        <v>64.1</v>
      </c>
      <c r="AP7" s="2" t="str">
        <f t="shared" si="37"/>
        <v>34.3</v>
      </c>
      <c r="AQ7" s="2" t="str">
        <f t="shared" si="38"/>
        <v>52.8</v>
      </c>
      <c r="AR7" s="2" t="str">
        <f t="shared" si="39"/>
        <v>43.9</v>
      </c>
      <c r="AS7" s="2" t="str">
        <f t="shared" si="40"/>
        <v>51.9</v>
      </c>
      <c r="AT7" s="2" t="str">
        <f t="shared" ref="AT7:BH7" si="45">INDEX(INDIRECT("'" &amp; $A7 &amp; " IMD'!$C$2:$C$16"), MATCH(AT$1, INDIRECT("'" &amp; $A7 &amp; " IMD'!$B$2:$B$16"), 0))</f>
        <v>81.2</v>
      </c>
      <c r="AU7" s="2" t="str">
        <f t="shared" si="45"/>
        <v>16.2</v>
      </c>
      <c r="AV7" s="2" t="str">
        <f t="shared" si="45"/>
        <v>17.3</v>
      </c>
      <c r="AW7" s="2" t="str">
        <f t="shared" si="45"/>
        <v>13.8</v>
      </c>
      <c r="AX7" s="2" t="str">
        <f t="shared" si="45"/>
        <v>23.3</v>
      </c>
      <c r="AY7" s="2" t="str">
        <f t="shared" si="45"/>
        <v>26.2</v>
      </c>
      <c r="AZ7" s="2" t="str">
        <f t="shared" si="45"/>
        <v>15.5</v>
      </c>
      <c r="BA7" s="2" t="str">
        <f t="shared" si="45"/>
        <v>39.4</v>
      </c>
      <c r="BB7" s="2" t="str">
        <f t="shared" si="45"/>
        <v>23.5</v>
      </c>
      <c r="BC7" s="2" t="str">
        <f t="shared" si="45"/>
        <v>15.3</v>
      </c>
      <c r="BD7" s="2" t="str">
        <f t="shared" si="45"/>
        <v>60.2</v>
      </c>
      <c r="BE7" s="2" t="str">
        <f t="shared" si="45"/>
        <v>28.2</v>
      </c>
      <c r="BF7" s="2" t="str">
        <f t="shared" si="45"/>
        <v>55.2</v>
      </c>
      <c r="BG7" s="2" t="str">
        <f t="shared" si="45"/>
        <v>12.3</v>
      </c>
      <c r="BH7" s="2" t="str">
        <f t="shared" si="45"/>
        <v>39.6</v>
      </c>
    </row>
    <row r="8">
      <c r="A8" s="1" t="s">
        <v>635</v>
      </c>
      <c r="B8" s="1">
        <v>0.929</v>
      </c>
      <c r="C8" s="1">
        <v>57.0</v>
      </c>
      <c r="D8" s="1">
        <v>54.0</v>
      </c>
      <c r="E8" s="1">
        <v>56.0</v>
      </c>
      <c r="F8" s="1">
        <v>61.0</v>
      </c>
      <c r="G8" s="2" t="str">
        <f t="shared" si="2"/>
        <v>51.3</v>
      </c>
      <c r="H8" s="5" t="str">
        <f t="shared" si="3"/>
        <v>60.5</v>
      </c>
      <c r="I8" s="2" t="str">
        <f t="shared" si="4"/>
        <v>28.7</v>
      </c>
      <c r="J8" s="2" t="str">
        <f t="shared" si="5"/>
        <v>34.8</v>
      </c>
      <c r="K8" s="2" t="str">
        <f t="shared" si="6"/>
        <v>55.6</v>
      </c>
      <c r="L8" s="2" t="str">
        <f t="shared" si="7"/>
        <v>36.3</v>
      </c>
      <c r="M8" s="2" t="str">
        <f t="shared" si="8"/>
        <v>27.9</v>
      </c>
      <c r="N8" s="2" t="str">
        <f t="shared" si="9"/>
        <v>54.0</v>
      </c>
      <c r="O8" s="2" t="str">
        <f t="shared" si="10"/>
        <v>63.0</v>
      </c>
      <c r="P8" s="2" t="str">
        <f t="shared" si="11"/>
        <v>77.1</v>
      </c>
      <c r="Q8" s="2" t="str">
        <f t="shared" si="12"/>
        <v>63.6</v>
      </c>
      <c r="R8" s="2" t="str">
        <f t="shared" si="13"/>
        <v>50.1</v>
      </c>
      <c r="S8" s="2" t="str">
        <f t="shared" si="14"/>
        <v>54.5</v>
      </c>
      <c r="T8" s="2" t="str">
        <f t="shared" si="15"/>
        <v>62.8</v>
      </c>
      <c r="U8" s="2" t="str">
        <f t="shared" si="16"/>
        <v>60.4</v>
      </c>
      <c r="V8" s="2" t="str">
        <f t="shared" si="17"/>
        <v>60.1</v>
      </c>
      <c r="W8" s="2" t="str">
        <f t="shared" si="18"/>
        <v>28.1</v>
      </c>
      <c r="X8" s="2" t="str">
        <f t="shared" si="19"/>
        <v>49.3</v>
      </c>
      <c r="Y8" s="2" t="str">
        <f t="shared" si="20"/>
        <v>55.3</v>
      </c>
      <c r="Z8" s="2" t="str">
        <f t="shared" si="21"/>
        <v>43.8</v>
      </c>
      <c r="AA8" s="2" t="str">
        <f t="shared" si="22"/>
        <v>54.1</v>
      </c>
      <c r="AB8" s="2" t="str">
        <f t="shared" si="23"/>
        <v>53.7</v>
      </c>
      <c r="AC8" s="2" t="str">
        <f t="shared" si="24"/>
        <v>49.4</v>
      </c>
      <c r="AD8" s="2" t="str">
        <f t="shared" si="25"/>
        <v>44.7</v>
      </c>
      <c r="AE8" s="2" t="str">
        <f t="shared" si="26"/>
        <v>66.0</v>
      </c>
      <c r="AF8" s="2" t="str">
        <f t="shared" si="27"/>
        <v>48.7</v>
      </c>
      <c r="AG8" s="2" t="str">
        <f t="shared" si="28"/>
        <v>54.1</v>
      </c>
      <c r="AH8" s="2" t="str">
        <f t="shared" si="29"/>
        <v>49.2</v>
      </c>
      <c r="AI8" s="2" t="str">
        <f t="shared" si="30"/>
        <v>60.8</v>
      </c>
      <c r="AJ8" s="2" t="str">
        <f t="shared" si="31"/>
        <v>61.5</v>
      </c>
      <c r="AK8" s="2" t="str">
        <f t="shared" si="32"/>
        <v>74.3</v>
      </c>
      <c r="AL8" s="2" t="str">
        <f t="shared" si="33"/>
        <v>66.1</v>
      </c>
      <c r="AM8" s="2" t="str">
        <f t="shared" si="34"/>
        <v>50.8</v>
      </c>
      <c r="AN8" s="2" t="str">
        <f t="shared" si="35"/>
        <v>50.2</v>
      </c>
      <c r="AO8" s="2" t="str">
        <f t="shared" si="36"/>
        <v>63.8</v>
      </c>
      <c r="AP8" s="2" t="str">
        <f t="shared" si="37"/>
        <v>39.1</v>
      </c>
      <c r="AQ8" s="2" t="str">
        <f t="shared" si="38"/>
        <v>58.6</v>
      </c>
      <c r="AR8" s="2" t="str">
        <f t="shared" si="39"/>
        <v>51.6</v>
      </c>
      <c r="AS8" s="2" t="str">
        <f t="shared" si="40"/>
        <v>56.8</v>
      </c>
      <c r="AT8" s="2" t="str">
        <f t="shared" ref="AT8:BH8" si="46">INDEX(INDIRECT("'" &amp; $A8 &amp; " IMD'!$C$2:$C$16"), MATCH(AT$1, INDIRECT("'" &amp; $A8 &amp; " IMD'!$B$2:$B$16"), 0))</f>
        <v>61.3</v>
      </c>
      <c r="AU8" s="2" t="str">
        <f t="shared" si="46"/>
        <v>22.2</v>
      </c>
      <c r="AV8" s="2" t="str">
        <f t="shared" si="46"/>
        <v>17.5</v>
      </c>
      <c r="AW8" s="2" t="str">
        <f t="shared" si="46"/>
        <v>11.5</v>
      </c>
      <c r="AX8" s="2" t="str">
        <f t="shared" si="46"/>
        <v>41.4</v>
      </c>
      <c r="AY8" s="2" t="str">
        <f t="shared" si="46"/>
        <v>33.2</v>
      </c>
      <c r="AZ8" s="2" t="str">
        <f t="shared" si="46"/>
        <v>12.2</v>
      </c>
      <c r="BA8" s="2" t="str">
        <f t="shared" si="46"/>
        <v>45.8</v>
      </c>
      <c r="BB8" s="2" t="str">
        <f t="shared" si="46"/>
        <v>21.5</v>
      </c>
      <c r="BC8" s="2" t="str">
        <f t="shared" si="46"/>
        <v>12.9</v>
      </c>
      <c r="BD8" s="2" t="str">
        <f t="shared" si="46"/>
        <v>33.1</v>
      </c>
      <c r="BE8" s="2" t="str">
        <f t="shared" si="46"/>
        <v>37.8</v>
      </c>
      <c r="BF8" s="2" t="str">
        <f t="shared" si="46"/>
        <v>61.7</v>
      </c>
      <c r="BG8" s="2" t="str">
        <f t="shared" si="46"/>
        <v>14.3</v>
      </c>
      <c r="BH8" s="2" t="str">
        <f t="shared" si="46"/>
        <v>37.5</v>
      </c>
    </row>
    <row r="9">
      <c r="A9" s="1" t="s">
        <v>636</v>
      </c>
      <c r="B9" s="1">
        <v>0.931</v>
      </c>
      <c r="C9" s="1">
        <v>28.0</v>
      </c>
      <c r="D9" s="1">
        <v>49.0</v>
      </c>
      <c r="E9" s="1">
        <v>54.0</v>
      </c>
      <c r="F9" s="1">
        <v>68.0</v>
      </c>
      <c r="G9" s="2" t="str">
        <f t="shared" si="2"/>
        <v>41.8</v>
      </c>
      <c r="H9" s="5" t="str">
        <f t="shared" si="3"/>
        <v>61.5</v>
      </c>
      <c r="I9" s="2" t="str">
        <f t="shared" si="4"/>
        <v>28.0</v>
      </c>
      <c r="J9" s="2" t="str">
        <f t="shared" si="5"/>
        <v>43.1</v>
      </c>
      <c r="K9" s="2" t="str">
        <f t="shared" si="6"/>
        <v>58.5</v>
      </c>
      <c r="L9" s="2" t="str">
        <f t="shared" si="7"/>
        <v>21.7</v>
      </c>
      <c r="M9" s="2" t="str">
        <f t="shared" si="8"/>
        <v>20.5</v>
      </c>
      <c r="N9" s="2" t="str">
        <f t="shared" si="9"/>
        <v>49.1</v>
      </c>
      <c r="O9" s="2" t="str">
        <f t="shared" si="10"/>
        <v>63.3</v>
      </c>
      <c r="P9" s="2" t="str">
        <f t="shared" si="11"/>
        <v>76.2</v>
      </c>
      <c r="Q9" s="2" t="str">
        <f t="shared" si="12"/>
        <v>59.2</v>
      </c>
      <c r="R9" s="2" t="str">
        <f t="shared" si="13"/>
        <v>52.6</v>
      </c>
      <c r="S9" s="2" t="str">
        <f t="shared" si="14"/>
        <v>60.5</v>
      </c>
      <c r="T9" s="2" t="str">
        <f t="shared" si="15"/>
        <v>60.0</v>
      </c>
      <c r="U9" s="2" t="str">
        <f t="shared" si="16"/>
        <v>59.3</v>
      </c>
      <c r="V9" s="2" t="str">
        <f t="shared" si="17"/>
        <v>63.5</v>
      </c>
      <c r="W9" s="2" t="str">
        <f t="shared" si="18"/>
        <v>38.1</v>
      </c>
      <c r="X9" s="2" t="str">
        <f t="shared" si="19"/>
        <v>52.9</v>
      </c>
      <c r="Y9" s="2" t="str">
        <f t="shared" si="20"/>
        <v>62.1</v>
      </c>
      <c r="Z9" s="2" t="str">
        <f t="shared" si="21"/>
        <v>39.6</v>
      </c>
      <c r="AA9" s="2" t="str">
        <f t="shared" si="22"/>
        <v>56.0</v>
      </c>
      <c r="AB9" s="2" t="str">
        <f t="shared" si="23"/>
        <v>51.0</v>
      </c>
      <c r="AC9" s="2" t="str">
        <f t="shared" si="24"/>
        <v>43.5</v>
      </c>
      <c r="AD9" s="2" t="str">
        <f t="shared" si="25"/>
        <v>48.0</v>
      </c>
      <c r="AE9" s="2" t="str">
        <f t="shared" si="26"/>
        <v>64.9</v>
      </c>
      <c r="AF9" s="2" t="str">
        <f t="shared" si="27"/>
        <v>47.2</v>
      </c>
      <c r="AG9" s="2" t="str">
        <f t="shared" si="28"/>
        <v>51.8</v>
      </c>
      <c r="AH9" s="2" t="str">
        <f t="shared" si="29"/>
        <v>46.7</v>
      </c>
      <c r="AI9" s="2" t="str">
        <f t="shared" si="30"/>
        <v>61.9</v>
      </c>
      <c r="AJ9" s="2" t="str">
        <f t="shared" si="31"/>
        <v>57.6</v>
      </c>
      <c r="AK9" s="2" t="str">
        <f t="shared" si="32"/>
        <v>72.4</v>
      </c>
      <c r="AL9" s="2" t="str">
        <f t="shared" si="33"/>
        <v>66.3</v>
      </c>
      <c r="AM9" s="2" t="str">
        <f t="shared" si="34"/>
        <v>45.6</v>
      </c>
      <c r="AN9" s="2" t="str">
        <f t="shared" si="35"/>
        <v>46.4</v>
      </c>
      <c r="AO9" s="2" t="str">
        <f t="shared" si="36"/>
        <v>64.6</v>
      </c>
      <c r="AP9" s="2" t="str">
        <f t="shared" si="37"/>
        <v>39.5</v>
      </c>
      <c r="AQ9" s="2" t="str">
        <f t="shared" si="38"/>
        <v>53.4</v>
      </c>
      <c r="AR9" s="2" t="str">
        <f t="shared" si="39"/>
        <v>48.3</v>
      </c>
      <c r="AS9" s="2" t="str">
        <f t="shared" si="40"/>
        <v>51.2</v>
      </c>
      <c r="AT9" s="2" t="str">
        <f t="shared" ref="AT9:BH9" si="47">INDEX(INDIRECT("'" &amp; $A9 &amp; " IMD'!$C$2:$C$16"), MATCH(AT$1, INDIRECT("'" &amp; $A9 &amp; " IMD'!$B$2:$B$16"), 0))</f>
        <v>82.3</v>
      </c>
      <c r="AU9" s="2" t="str">
        <f t="shared" si="47"/>
        <v>22.3</v>
      </c>
      <c r="AV9" s="2" t="str">
        <f t="shared" si="47"/>
        <v>21.3</v>
      </c>
      <c r="AW9" s="2" t="str">
        <f t="shared" si="47"/>
        <v>10.7</v>
      </c>
      <c r="AX9" s="2" t="str">
        <f t="shared" si="47"/>
        <v>27.3</v>
      </c>
      <c r="AY9" s="2" t="str">
        <f t="shared" si="47"/>
        <v>23.3</v>
      </c>
      <c r="AZ9" s="2" t="str">
        <f t="shared" si="47"/>
        <v>13.3</v>
      </c>
      <c r="BA9" s="2" t="str">
        <f t="shared" si="47"/>
        <v>41.2</v>
      </c>
      <c r="BB9" s="2" t="str">
        <f t="shared" si="47"/>
        <v>22.2</v>
      </c>
      <c r="BC9" s="2" t="str">
        <f t="shared" si="47"/>
        <v>13.3</v>
      </c>
      <c r="BD9" s="2" t="str">
        <f t="shared" si="47"/>
        <v>49.7</v>
      </c>
      <c r="BE9" s="2" t="str">
        <f t="shared" si="47"/>
        <v>28.8</v>
      </c>
      <c r="BF9" s="2" t="str">
        <f t="shared" si="47"/>
        <v>53.7</v>
      </c>
      <c r="BG9" s="2" t="str">
        <f t="shared" si="47"/>
        <v>18.1</v>
      </c>
      <c r="BH9" s="2" t="str">
        <f t="shared" si="47"/>
        <v>35.0</v>
      </c>
    </row>
    <row r="10">
      <c r="A10" s="1" t="s">
        <v>637</v>
      </c>
      <c r="B10" s="1">
        <v>0.923</v>
      </c>
      <c r="C10" s="1">
        <v>71.0</v>
      </c>
      <c r="D10" s="1">
        <v>79.0</v>
      </c>
      <c r="E10" s="1">
        <v>85.0</v>
      </c>
      <c r="F10" s="1">
        <v>92.0</v>
      </c>
      <c r="G10" s="2" t="str">
        <f t="shared" si="2"/>
        <v>45.0</v>
      </c>
      <c r="H10" s="5" t="str">
        <f t="shared" si="3"/>
        <v>54.0</v>
      </c>
      <c r="I10" s="2" t="str">
        <f t="shared" si="4"/>
        <v>23.6</v>
      </c>
      <c r="J10" s="2" t="str">
        <f t="shared" si="5"/>
        <v>29.9</v>
      </c>
      <c r="K10" s="2" t="str">
        <f t="shared" si="6"/>
        <v>60.7</v>
      </c>
      <c r="L10" s="2" t="str">
        <f t="shared" si="7"/>
        <v>32.1</v>
      </c>
      <c r="M10" s="2" t="str">
        <f t="shared" si="8"/>
        <v>22.0</v>
      </c>
      <c r="N10" s="2" t="str">
        <f t="shared" si="9"/>
        <v>49.8</v>
      </c>
      <c r="O10" s="2" t="str">
        <f t="shared" si="10"/>
        <v>51.4</v>
      </c>
      <c r="P10" s="2" t="str">
        <f t="shared" si="11"/>
        <v>74.8</v>
      </c>
      <c r="Q10" s="2" t="str">
        <f t="shared" si="12"/>
        <v>58.3</v>
      </c>
      <c r="R10" s="2" t="str">
        <f t="shared" si="13"/>
        <v>38.6</v>
      </c>
      <c r="S10" s="2" t="str">
        <f t="shared" si="14"/>
        <v>50.1</v>
      </c>
      <c r="T10" s="2" t="str">
        <f t="shared" si="15"/>
        <v>54.4</v>
      </c>
      <c r="U10" s="2" t="str">
        <f t="shared" si="16"/>
        <v>57.7</v>
      </c>
      <c r="V10" s="2" t="str">
        <f t="shared" si="17"/>
        <v>55.0</v>
      </c>
      <c r="W10" s="2" t="str">
        <f t="shared" si="18"/>
        <v>34.2</v>
      </c>
      <c r="X10" s="2" t="str">
        <f t="shared" si="19"/>
        <v>45.2</v>
      </c>
      <c r="Y10" s="2" t="str">
        <f t="shared" si="20"/>
        <v>51.3</v>
      </c>
      <c r="Z10" s="2" t="str">
        <f t="shared" si="21"/>
        <v>39.7</v>
      </c>
      <c r="AA10" s="2" t="str">
        <f t="shared" si="22"/>
        <v>56.7</v>
      </c>
      <c r="AB10" s="2" t="str">
        <f t="shared" si="23"/>
        <v>47.1</v>
      </c>
      <c r="AC10" s="2" t="str">
        <f t="shared" si="24"/>
        <v>46.5</v>
      </c>
      <c r="AD10" s="2" t="str">
        <f t="shared" si="25"/>
        <v>35.2</v>
      </c>
      <c r="AE10" s="2" t="str">
        <f t="shared" si="26"/>
        <v>60.3</v>
      </c>
      <c r="AF10" s="2" t="str">
        <f t="shared" si="27"/>
        <v>43.8</v>
      </c>
      <c r="AG10" s="2" t="str">
        <f t="shared" si="28"/>
        <v>46.7</v>
      </c>
      <c r="AH10" s="2" t="str">
        <f t="shared" si="29"/>
        <v>44.1</v>
      </c>
      <c r="AI10" s="2" t="str">
        <f t="shared" si="30"/>
        <v>57.6</v>
      </c>
      <c r="AJ10" s="2" t="str">
        <f t="shared" si="31"/>
        <v>54.2</v>
      </c>
      <c r="AK10" s="2" t="str">
        <f t="shared" si="32"/>
        <v>73.3</v>
      </c>
      <c r="AL10" s="2" t="str">
        <f t="shared" si="33"/>
        <v>65.4</v>
      </c>
      <c r="AM10" s="2" t="str">
        <f t="shared" si="34"/>
        <v>43.9</v>
      </c>
      <c r="AN10" s="2" t="str">
        <f t="shared" si="35"/>
        <v>44.3</v>
      </c>
      <c r="AO10" s="2" t="str">
        <f t="shared" si="36"/>
        <v>61.4</v>
      </c>
      <c r="AP10" s="2" t="str">
        <f t="shared" si="37"/>
        <v>36.9</v>
      </c>
      <c r="AQ10" s="2" t="str">
        <f t="shared" si="38"/>
        <v>51.9</v>
      </c>
      <c r="AR10" s="2" t="str">
        <f t="shared" si="39"/>
        <v>43.5</v>
      </c>
      <c r="AS10" s="2" t="str">
        <f t="shared" si="40"/>
        <v>52.4</v>
      </c>
      <c r="AT10" s="2" t="str">
        <f t="shared" ref="AT10:BH10" si="48">INDEX(INDIRECT("'" &amp; $A10 &amp; " IMD'!$C$2:$C$16"), MATCH(AT$1, INDIRECT("'" &amp; $A10 &amp; " IMD'!$B$2:$B$16"), 0))</f>
        <v>65.9</v>
      </c>
      <c r="AU10" s="2" t="str">
        <f t="shared" si="48"/>
        <v>25.1</v>
      </c>
      <c r="AV10" s="2" t="str">
        <f t="shared" si="48"/>
        <v>22.5</v>
      </c>
      <c r="AW10" s="2" t="str">
        <f t="shared" si="48"/>
        <v>11.0</v>
      </c>
      <c r="AX10" s="2" t="str">
        <f t="shared" si="48"/>
        <v>33.4</v>
      </c>
      <c r="AY10" s="2" t="str">
        <f t="shared" si="48"/>
        <v>26.8</v>
      </c>
      <c r="AZ10" s="2" t="str">
        <f t="shared" si="48"/>
        <v>21.8</v>
      </c>
      <c r="BA10" s="2" t="str">
        <f t="shared" si="48"/>
        <v>33.9</v>
      </c>
      <c r="BB10" s="2" t="str">
        <f t="shared" si="48"/>
        <v>19.9</v>
      </c>
      <c r="BC10" s="2" t="str">
        <f t="shared" si="48"/>
        <v>17.4</v>
      </c>
      <c r="BD10" s="2" t="str">
        <f t="shared" si="48"/>
        <v>37.8</v>
      </c>
      <c r="BE10" s="2" t="str">
        <f t="shared" si="48"/>
        <v>45.9</v>
      </c>
      <c r="BF10" s="2" t="str">
        <f t="shared" si="48"/>
        <v>62.5</v>
      </c>
      <c r="BG10" s="2" t="str">
        <f t="shared" si="48"/>
        <v>8.4</v>
      </c>
      <c r="BH10" s="2" t="str">
        <f t="shared" si="48"/>
        <v>34.9</v>
      </c>
    </row>
    <row r="11">
      <c r="A11" s="1" t="s">
        <v>638</v>
      </c>
      <c r="B11" s="1">
        <v>0.908</v>
      </c>
      <c r="D11" s="1">
        <v>72.0</v>
      </c>
      <c r="E11" s="1">
        <v>77.0</v>
      </c>
      <c r="F11" s="1">
        <v>93.0</v>
      </c>
      <c r="G11" s="2" t="str">
        <f t="shared" si="2"/>
        <v>51.8</v>
      </c>
      <c r="H11" s="5" t="str">
        <f t="shared" si="3"/>
        <v>63.2</v>
      </c>
      <c r="I11" s="2" t="str">
        <f t="shared" si="4"/>
        <v>38.8</v>
      </c>
      <c r="J11" s="2" t="str">
        <f t="shared" si="5"/>
        <v>30.6</v>
      </c>
      <c r="K11" s="2" t="str">
        <f t="shared" si="6"/>
        <v>65.9</v>
      </c>
      <c r="L11" s="2" t="str">
        <f t="shared" si="7"/>
        <v>27.6</v>
      </c>
      <c r="M11" s="2" t="str">
        <f t="shared" si="8"/>
        <v>21.5</v>
      </c>
      <c r="N11" s="2" t="str">
        <f t="shared" si="9"/>
        <v>44.6</v>
      </c>
      <c r="O11" s="2" t="str">
        <f t="shared" si="10"/>
        <v>52.7</v>
      </c>
      <c r="P11" s="2" t="str">
        <f t="shared" si="11"/>
        <v>72.8</v>
      </c>
      <c r="Q11" s="2" t="str">
        <f t="shared" si="12"/>
        <v>69.5</v>
      </c>
      <c r="R11" s="2" t="str">
        <f t="shared" si="13"/>
        <v>57.3</v>
      </c>
      <c r="S11" s="2" t="str">
        <f t="shared" si="14"/>
        <v>59.3</v>
      </c>
      <c r="T11" s="2" t="str">
        <f t="shared" si="15"/>
        <v>64.6</v>
      </c>
      <c r="U11" s="2" t="str">
        <f t="shared" si="16"/>
        <v>57.2</v>
      </c>
      <c r="V11" s="2" t="str">
        <f t="shared" si="17"/>
        <v>59.7</v>
      </c>
      <c r="W11" s="2" t="str">
        <f t="shared" si="18"/>
        <v>37.9</v>
      </c>
      <c r="X11" s="2" t="str">
        <f t="shared" si="19"/>
        <v>47.2</v>
      </c>
      <c r="Y11" s="2" t="str">
        <f t="shared" si="20"/>
        <v>56.6</v>
      </c>
      <c r="Z11" s="2" t="str">
        <f t="shared" si="21"/>
        <v>43.8</v>
      </c>
      <c r="AA11" s="2" t="str">
        <f t="shared" si="22"/>
        <v>61.1</v>
      </c>
      <c r="AB11" s="2" t="str">
        <f t="shared" si="23"/>
        <v>45.2</v>
      </c>
      <c r="AC11" s="2" t="str">
        <f t="shared" si="24"/>
        <v>40.0</v>
      </c>
      <c r="AD11" s="2" t="str">
        <f t="shared" si="25"/>
        <v>45.5</v>
      </c>
      <c r="AE11" s="2" t="str">
        <f t="shared" si="26"/>
        <v>64.1</v>
      </c>
      <c r="AF11" s="2" t="str">
        <f t="shared" si="27"/>
        <v>39.7</v>
      </c>
      <c r="AG11" s="2" t="str">
        <f t="shared" si="28"/>
        <v>32.7</v>
      </c>
      <c r="AH11" s="2" t="str">
        <f t="shared" si="29"/>
        <v>30.6</v>
      </c>
      <c r="AI11" s="2" t="str">
        <f t="shared" si="30"/>
        <v>48.2</v>
      </c>
      <c r="AJ11" s="2" t="str">
        <f t="shared" si="31"/>
        <v>58.2</v>
      </c>
      <c r="AK11" s="2" t="str">
        <f t="shared" si="32"/>
        <v>76.0</v>
      </c>
      <c r="AL11" s="2" t="str">
        <f t="shared" si="33"/>
        <v>71.3</v>
      </c>
      <c r="AM11" s="2" t="str">
        <f t="shared" si="34"/>
        <v>41.6</v>
      </c>
      <c r="AN11" s="2" t="str">
        <f t="shared" si="35"/>
        <v>42.9</v>
      </c>
      <c r="AO11" s="2" t="str">
        <f t="shared" si="36"/>
        <v>66.6</v>
      </c>
      <c r="AP11" s="2" t="str">
        <f t="shared" si="37"/>
        <v>33.0</v>
      </c>
      <c r="AQ11" s="2" t="str">
        <f t="shared" si="38"/>
        <v>46.8</v>
      </c>
      <c r="AR11" s="2" t="str">
        <f t="shared" si="39"/>
        <v>39.1</v>
      </c>
      <c r="AS11" s="2" t="str">
        <f t="shared" si="40"/>
        <v>54.0</v>
      </c>
      <c r="AT11" s="2" t="str">
        <f t="shared" ref="AT11:BH11" si="49">INDEX(INDIRECT("'" &amp; $A11 &amp; " IMD'!$C$2:$C$16"), MATCH(AT$1, INDIRECT("'" &amp; $A11 &amp; " IMD'!$B$2:$B$16"), 0))</f>
        <v>77.8</v>
      </c>
      <c r="AU11" s="2" t="str">
        <f t="shared" si="49"/>
        <v>45.2</v>
      </c>
      <c r="AV11" s="2" t="str">
        <f t="shared" si="49"/>
        <v>26.5</v>
      </c>
      <c r="AW11" s="2" t="str">
        <f t="shared" si="49"/>
        <v>12.0</v>
      </c>
      <c r="AX11" s="2" t="str">
        <f t="shared" si="49"/>
        <v>25.7</v>
      </c>
      <c r="AY11" s="2" t="str">
        <f t="shared" si="49"/>
        <v>26.6</v>
      </c>
      <c r="AZ11" s="2" t="str">
        <f t="shared" si="49"/>
        <v>9.7</v>
      </c>
      <c r="BA11" s="2" t="str">
        <f t="shared" si="49"/>
        <v>33.9</v>
      </c>
      <c r="BB11" s="2" t="str">
        <f t="shared" si="49"/>
        <v>18.9</v>
      </c>
      <c r="BC11" s="2" t="str">
        <f t="shared" si="49"/>
        <v>20.3</v>
      </c>
      <c r="BD11" s="2" t="str">
        <f t="shared" si="49"/>
        <v>47.2</v>
      </c>
      <c r="BE11" s="2" t="str">
        <f t="shared" si="49"/>
        <v>38.3</v>
      </c>
      <c r="BF11" s="2" t="str">
        <f t="shared" si="49"/>
        <v>37.2</v>
      </c>
      <c r="BG11" s="2" t="str">
        <f t="shared" si="49"/>
        <v>8.3</v>
      </c>
      <c r="BH11" s="2" t="str">
        <f t="shared" si="49"/>
        <v>38.1</v>
      </c>
    </row>
    <row r="12">
      <c r="H12" s="5"/>
    </row>
    <row r="13">
      <c r="H13" s="5"/>
    </row>
    <row r="14">
      <c r="H14" s="5"/>
    </row>
    <row r="15">
      <c r="H15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639</v>
      </c>
    </row>
    <row r="2">
      <c r="A2" s="1" t="s">
        <v>569</v>
      </c>
    </row>
    <row r="3">
      <c r="A3" s="1" t="s">
        <v>640</v>
      </c>
    </row>
    <row r="4">
      <c r="A4" s="1" t="s">
        <v>641</v>
      </c>
    </row>
    <row r="5">
      <c r="A5" s="1" t="s">
        <v>639</v>
      </c>
    </row>
    <row r="6">
      <c r="A6" s="1" t="s">
        <v>569</v>
      </c>
    </row>
    <row r="7">
      <c r="A7" s="1" t="s">
        <v>640</v>
      </c>
    </row>
    <row r="8">
      <c r="A8" s="1" t="s">
        <v>641</v>
      </c>
    </row>
    <row r="9">
      <c r="A9" s="1">
        <v>1.0</v>
      </c>
    </row>
    <row r="10">
      <c r="A10" s="1" t="s">
        <v>642</v>
      </c>
    </row>
    <row r="11">
      <c r="A11" s="1" t="s">
        <v>643</v>
      </c>
    </row>
    <row r="12">
      <c r="A12" s="1" t="s">
        <v>644</v>
      </c>
    </row>
    <row r="13">
      <c r="A13" s="1">
        <v>37.0</v>
      </c>
    </row>
    <row r="14">
      <c r="A14" s="1" t="s">
        <v>645</v>
      </c>
    </row>
    <row r="15">
      <c r="A15" s="1" t="s">
        <v>646</v>
      </c>
    </row>
    <row r="16">
      <c r="A16" s="1" t="s">
        <v>647</v>
      </c>
    </row>
    <row r="17">
      <c r="A17" s="1">
        <v>2.0</v>
      </c>
    </row>
    <row r="18">
      <c r="A18" s="1" t="s">
        <v>648</v>
      </c>
    </row>
    <row r="19">
      <c r="A19" s="1" t="s">
        <v>649</v>
      </c>
    </row>
    <row r="20">
      <c r="A20" s="1" t="s">
        <v>650</v>
      </c>
    </row>
    <row r="21">
      <c r="A21" s="1">
        <v>38.0</v>
      </c>
    </row>
    <row r="22">
      <c r="A22" s="1" t="s">
        <v>651</v>
      </c>
    </row>
    <row r="23">
      <c r="A23" s="1" t="s">
        <v>646</v>
      </c>
    </row>
    <row r="24">
      <c r="A24" s="1" t="s">
        <v>652</v>
      </c>
    </row>
    <row r="25">
      <c r="A25" s="1">
        <v>3.0</v>
      </c>
    </row>
    <row r="26">
      <c r="A26" s="1" t="s">
        <v>653</v>
      </c>
    </row>
    <row r="27">
      <c r="A27" s="1" t="s">
        <v>649</v>
      </c>
    </row>
    <row r="28">
      <c r="A28" s="1" t="s">
        <v>654</v>
      </c>
    </row>
    <row r="29">
      <c r="A29" s="1">
        <v>39.0</v>
      </c>
    </row>
    <row r="30">
      <c r="A30" s="1" t="s">
        <v>655</v>
      </c>
    </row>
    <row r="31">
      <c r="A31" s="1" t="s">
        <v>646</v>
      </c>
    </row>
    <row r="32">
      <c r="A32" s="1" t="s">
        <v>656</v>
      </c>
    </row>
    <row r="33">
      <c r="A33" s="1">
        <v>4.0</v>
      </c>
    </row>
    <row r="34">
      <c r="A34" s="1" t="s">
        <v>657</v>
      </c>
    </row>
    <row r="35">
      <c r="A35" s="1" t="s">
        <v>649</v>
      </c>
    </row>
    <row r="36">
      <c r="A36" s="1" t="s">
        <v>658</v>
      </c>
    </row>
    <row r="37">
      <c r="A37" s="1">
        <v>40.0</v>
      </c>
    </row>
    <row r="38">
      <c r="A38" s="1" t="s">
        <v>659</v>
      </c>
    </row>
    <row r="39">
      <c r="A39" s="1" t="s">
        <v>646</v>
      </c>
    </row>
    <row r="40">
      <c r="A40" s="1" t="s">
        <v>660</v>
      </c>
    </row>
    <row r="41">
      <c r="A41" s="1">
        <v>5.0</v>
      </c>
    </row>
    <row r="42">
      <c r="A42" s="1" t="s">
        <v>661</v>
      </c>
    </row>
    <row r="43">
      <c r="A43" s="1" t="s">
        <v>649</v>
      </c>
    </row>
    <row r="44">
      <c r="A44" s="1" t="s">
        <v>662</v>
      </c>
    </row>
    <row r="45">
      <c r="A45" s="1">
        <v>41.0</v>
      </c>
    </row>
    <row r="46">
      <c r="A46" s="1" t="s">
        <v>663</v>
      </c>
    </row>
    <row r="47">
      <c r="A47" s="1" t="s">
        <v>646</v>
      </c>
    </row>
    <row r="48">
      <c r="A48" s="1" t="s">
        <v>664</v>
      </c>
    </row>
    <row r="49">
      <c r="A49" s="1">
        <v>6.0</v>
      </c>
    </row>
    <row r="50">
      <c r="A50" s="1" t="s">
        <v>665</v>
      </c>
    </row>
    <row r="51">
      <c r="A51" s="1" t="s">
        <v>649</v>
      </c>
    </row>
    <row r="52">
      <c r="A52" s="1" t="s">
        <v>666</v>
      </c>
    </row>
    <row r="53">
      <c r="A53" s="1">
        <v>42.0</v>
      </c>
    </row>
    <row r="54">
      <c r="A54" s="1" t="s">
        <v>667</v>
      </c>
    </row>
    <row r="55">
      <c r="A55" s="1" t="s">
        <v>646</v>
      </c>
    </row>
    <row r="56">
      <c r="A56" s="1" t="s">
        <v>668</v>
      </c>
    </row>
    <row r="57">
      <c r="A57" s="1">
        <v>7.0</v>
      </c>
    </row>
    <row r="58">
      <c r="A58" s="1" t="s">
        <v>669</v>
      </c>
    </row>
    <row r="59">
      <c r="A59" s="1" t="s">
        <v>649</v>
      </c>
    </row>
    <row r="60">
      <c r="A60" s="1" t="s">
        <v>670</v>
      </c>
    </row>
    <row r="61">
      <c r="A61" s="1">
        <v>43.0</v>
      </c>
    </row>
    <row r="62">
      <c r="A62" s="1" t="s">
        <v>671</v>
      </c>
    </row>
    <row r="63">
      <c r="A63" s="1" t="s">
        <v>646</v>
      </c>
    </row>
    <row r="64">
      <c r="A64" s="1" t="s">
        <v>672</v>
      </c>
    </row>
    <row r="65">
      <c r="A65" s="1">
        <v>8.0</v>
      </c>
    </row>
    <row r="66">
      <c r="A66" s="1" t="s">
        <v>673</v>
      </c>
    </row>
    <row r="67">
      <c r="A67" s="1" t="s">
        <v>649</v>
      </c>
    </row>
    <row r="68">
      <c r="A68" s="1" t="s">
        <v>674</v>
      </c>
    </row>
    <row r="69">
      <c r="A69" s="1">
        <v>44.0</v>
      </c>
    </row>
    <row r="70">
      <c r="A70" s="1" t="s">
        <v>675</v>
      </c>
    </row>
    <row r="71">
      <c r="A71" s="1" t="s">
        <v>646</v>
      </c>
    </row>
    <row r="72">
      <c r="A72" s="1" t="s">
        <v>676</v>
      </c>
    </row>
    <row r="73">
      <c r="A73" s="1">
        <v>9.0</v>
      </c>
    </row>
    <row r="74">
      <c r="A74" s="1" t="s">
        <v>677</v>
      </c>
    </row>
    <row r="75">
      <c r="A75" s="1" t="s">
        <v>649</v>
      </c>
    </row>
    <row r="76">
      <c r="A76" s="1" t="s">
        <v>678</v>
      </c>
    </row>
    <row r="77">
      <c r="A77" s="1">
        <v>45.0</v>
      </c>
    </row>
    <row r="78">
      <c r="A78" s="1" t="s">
        <v>679</v>
      </c>
    </row>
    <row r="79">
      <c r="A79" s="1" t="s">
        <v>646</v>
      </c>
    </row>
    <row r="80">
      <c r="A80" s="1" t="s">
        <v>680</v>
      </c>
    </row>
    <row r="81">
      <c r="A81" s="1">
        <v>10.0</v>
      </c>
    </row>
    <row r="82">
      <c r="A82" s="1" t="s">
        <v>681</v>
      </c>
    </row>
    <row r="83">
      <c r="A83" s="1" t="s">
        <v>649</v>
      </c>
    </row>
    <row r="84">
      <c r="A84" s="1" t="s">
        <v>682</v>
      </c>
    </row>
    <row r="85">
      <c r="A85" s="1">
        <v>46.0</v>
      </c>
    </row>
    <row r="86">
      <c r="A86" s="1" t="s">
        <v>683</v>
      </c>
    </row>
    <row r="87">
      <c r="A87" s="1" t="s">
        <v>646</v>
      </c>
    </row>
    <row r="88">
      <c r="A88" s="1" t="s">
        <v>684</v>
      </c>
    </row>
    <row r="89">
      <c r="A89" s="1">
        <v>11.0</v>
      </c>
    </row>
    <row r="90">
      <c r="A90" s="1" t="s">
        <v>685</v>
      </c>
    </row>
    <row r="91">
      <c r="A91" s="1" t="s">
        <v>649</v>
      </c>
    </row>
    <row r="92">
      <c r="A92" s="1" t="s">
        <v>686</v>
      </c>
    </row>
    <row r="93">
      <c r="A93" s="1">
        <v>47.0</v>
      </c>
    </row>
    <row r="94">
      <c r="A94" s="1" t="s">
        <v>687</v>
      </c>
    </row>
    <row r="95">
      <c r="A95" s="1" t="s">
        <v>646</v>
      </c>
    </row>
    <row r="96">
      <c r="A96" s="1" t="s">
        <v>688</v>
      </c>
    </row>
    <row r="97">
      <c r="A97" s="1">
        <v>12.0</v>
      </c>
    </row>
    <row r="98">
      <c r="A98" s="1" t="s">
        <v>689</v>
      </c>
    </row>
    <row r="99">
      <c r="A99" s="1" t="s">
        <v>649</v>
      </c>
    </row>
    <row r="100">
      <c r="A100" s="1" t="s">
        <v>690</v>
      </c>
    </row>
    <row r="101">
      <c r="A101" s="1">
        <v>48.0</v>
      </c>
    </row>
    <row r="102">
      <c r="A102" s="1" t="s">
        <v>691</v>
      </c>
    </row>
    <row r="103">
      <c r="A103" s="1" t="s">
        <v>646</v>
      </c>
    </row>
    <row r="104">
      <c r="A104" s="1" t="s">
        <v>692</v>
      </c>
    </row>
    <row r="105">
      <c r="A105" s="1">
        <v>13.0</v>
      </c>
    </row>
    <row r="106">
      <c r="A106" s="1" t="s">
        <v>693</v>
      </c>
    </row>
    <row r="107">
      <c r="A107" s="1" t="s">
        <v>649</v>
      </c>
    </row>
    <row r="108">
      <c r="A108" s="1" t="s">
        <v>694</v>
      </c>
    </row>
    <row r="109">
      <c r="A109" s="1">
        <v>49.0</v>
      </c>
    </row>
    <row r="110">
      <c r="A110" s="1" t="s">
        <v>695</v>
      </c>
    </row>
    <row r="111">
      <c r="A111" s="1" t="s">
        <v>646</v>
      </c>
    </row>
    <row r="112">
      <c r="A112" s="1" t="s">
        <v>696</v>
      </c>
    </row>
    <row r="113">
      <c r="A113" s="1">
        <v>14.0</v>
      </c>
    </row>
    <row r="114">
      <c r="A114" s="1" t="s">
        <v>697</v>
      </c>
    </row>
    <row r="115">
      <c r="A115" s="1" t="s">
        <v>649</v>
      </c>
    </row>
    <row r="116">
      <c r="A116" s="1" t="s">
        <v>698</v>
      </c>
    </row>
    <row r="117">
      <c r="A117" s="1">
        <v>50.0</v>
      </c>
    </row>
    <row r="118">
      <c r="A118" s="1" t="s">
        <v>699</v>
      </c>
    </row>
    <row r="119">
      <c r="A119" s="1" t="s">
        <v>646</v>
      </c>
    </row>
    <row r="120">
      <c r="A120" s="1" t="s">
        <v>700</v>
      </c>
    </row>
    <row r="121">
      <c r="A121" s="1">
        <v>15.0</v>
      </c>
    </row>
    <row r="122">
      <c r="A122" s="1" t="s">
        <v>701</v>
      </c>
    </row>
    <row r="123">
      <c r="A123" s="1" t="s">
        <v>649</v>
      </c>
    </row>
    <row r="124">
      <c r="A124" s="1" t="s">
        <v>702</v>
      </c>
    </row>
    <row r="125">
      <c r="A125" s="1">
        <v>51.0</v>
      </c>
    </row>
    <row r="126">
      <c r="A126" s="1" t="s">
        <v>703</v>
      </c>
    </row>
    <row r="127">
      <c r="A127" s="1" t="s">
        <v>646</v>
      </c>
    </row>
    <row r="128">
      <c r="A128" s="1" t="s">
        <v>704</v>
      </c>
    </row>
    <row r="129">
      <c r="A129" s="1">
        <v>16.0</v>
      </c>
    </row>
    <row r="130">
      <c r="A130" s="1" t="s">
        <v>705</v>
      </c>
    </row>
    <row r="131">
      <c r="A131" s="1" t="s">
        <v>649</v>
      </c>
    </row>
    <row r="132">
      <c r="A132" s="1" t="s">
        <v>706</v>
      </c>
    </row>
    <row r="133">
      <c r="A133" s="1">
        <v>52.0</v>
      </c>
    </row>
    <row r="134">
      <c r="A134" s="1" t="s">
        <v>707</v>
      </c>
    </row>
    <row r="135">
      <c r="A135" s="1" t="s">
        <v>646</v>
      </c>
    </row>
    <row r="136">
      <c r="A136" s="1" t="s">
        <v>708</v>
      </c>
    </row>
    <row r="137">
      <c r="A137" s="1">
        <v>17.0</v>
      </c>
    </row>
    <row r="138">
      <c r="A138" s="1" t="s">
        <v>709</v>
      </c>
    </row>
    <row r="139">
      <c r="A139" s="1" t="s">
        <v>649</v>
      </c>
    </row>
    <row r="140">
      <c r="A140" s="1" t="s">
        <v>710</v>
      </c>
    </row>
    <row r="141">
      <c r="A141" s="1">
        <v>53.0</v>
      </c>
    </row>
    <row r="142">
      <c r="A142" s="1" t="s">
        <v>711</v>
      </c>
    </row>
    <row r="143">
      <c r="A143" s="1" t="s">
        <v>646</v>
      </c>
    </row>
    <row r="144">
      <c r="A144" s="1" t="s">
        <v>712</v>
      </c>
    </row>
    <row r="145">
      <c r="A145" s="1">
        <v>18.0</v>
      </c>
    </row>
    <row r="146">
      <c r="A146" s="1" t="s">
        <v>713</v>
      </c>
    </row>
    <row r="147">
      <c r="A147" s="1" t="s">
        <v>649</v>
      </c>
    </row>
    <row r="148">
      <c r="A148" s="1" t="s">
        <v>714</v>
      </c>
    </row>
    <row r="149">
      <c r="A149" s="1">
        <v>54.0</v>
      </c>
    </row>
    <row r="150">
      <c r="A150" s="1" t="s">
        <v>715</v>
      </c>
    </row>
    <row r="151">
      <c r="A151" s="1" t="s">
        <v>646</v>
      </c>
    </row>
    <row r="152">
      <c r="A152" s="1" t="s">
        <v>712</v>
      </c>
    </row>
    <row r="153">
      <c r="A153" s="1">
        <v>19.0</v>
      </c>
    </row>
    <row r="154">
      <c r="A154" s="1" t="s">
        <v>716</v>
      </c>
    </row>
    <row r="155">
      <c r="A155" s="1" t="s">
        <v>649</v>
      </c>
    </row>
    <row r="156">
      <c r="A156" s="1" t="s">
        <v>717</v>
      </c>
    </row>
    <row r="157">
      <c r="A157" s="1">
        <v>55.0</v>
      </c>
    </row>
    <row r="158">
      <c r="A158" s="1" t="s">
        <v>718</v>
      </c>
    </row>
    <row r="159">
      <c r="A159" s="1" t="s">
        <v>646</v>
      </c>
    </row>
    <row r="160">
      <c r="A160" s="1" t="s">
        <v>719</v>
      </c>
    </row>
    <row r="161">
      <c r="A161" s="1">
        <v>20.0</v>
      </c>
    </row>
    <row r="162">
      <c r="A162" s="1" t="s">
        <v>720</v>
      </c>
    </row>
    <row r="163">
      <c r="A163" s="1" t="s">
        <v>649</v>
      </c>
    </row>
    <row r="164">
      <c r="A164" s="1" t="s">
        <v>721</v>
      </c>
    </row>
    <row r="165">
      <c r="A165" s="1">
        <v>56.0</v>
      </c>
    </row>
    <row r="166">
      <c r="A166" s="1" t="s">
        <v>722</v>
      </c>
    </row>
    <row r="167">
      <c r="A167" s="1" t="s">
        <v>646</v>
      </c>
    </row>
    <row r="168">
      <c r="A168" s="1" t="s">
        <v>723</v>
      </c>
    </row>
    <row r="169">
      <c r="A169" s="1">
        <v>21.0</v>
      </c>
    </row>
    <row r="170">
      <c r="A170" s="1" t="s">
        <v>724</v>
      </c>
    </row>
    <row r="171">
      <c r="A171" s="1" t="s">
        <v>649</v>
      </c>
    </row>
    <row r="172">
      <c r="A172" s="1" t="s">
        <v>725</v>
      </c>
    </row>
    <row r="173">
      <c r="A173" s="1">
        <v>57.0</v>
      </c>
    </row>
    <row r="174">
      <c r="A174" s="1" t="s">
        <v>726</v>
      </c>
    </row>
    <row r="175">
      <c r="A175" s="1" t="s">
        <v>646</v>
      </c>
    </row>
    <row r="176">
      <c r="A176" s="1" t="s">
        <v>727</v>
      </c>
    </row>
    <row r="177">
      <c r="A177" s="1">
        <v>22.0</v>
      </c>
    </row>
    <row r="178">
      <c r="A178" s="1" t="s">
        <v>728</v>
      </c>
    </row>
    <row r="179">
      <c r="A179" s="1" t="s">
        <v>649</v>
      </c>
    </row>
    <row r="180">
      <c r="A180" s="1" t="s">
        <v>729</v>
      </c>
    </row>
    <row r="181">
      <c r="A181" s="1">
        <v>58.0</v>
      </c>
    </row>
    <row r="182">
      <c r="A182" s="1" t="s">
        <v>730</v>
      </c>
    </row>
    <row r="183">
      <c r="A183" s="1" t="s">
        <v>646</v>
      </c>
    </row>
    <row r="184">
      <c r="A184" s="1" t="s">
        <v>731</v>
      </c>
    </row>
    <row r="185">
      <c r="A185" s="1">
        <v>23.0</v>
      </c>
    </row>
    <row r="186">
      <c r="A186" s="1" t="s">
        <v>732</v>
      </c>
    </row>
    <row r="187">
      <c r="A187" s="1" t="s">
        <v>649</v>
      </c>
    </row>
    <row r="188">
      <c r="A188" s="1" t="s">
        <v>733</v>
      </c>
    </row>
    <row r="189">
      <c r="A189" s="1">
        <v>59.0</v>
      </c>
    </row>
    <row r="190">
      <c r="A190" s="1" t="s">
        <v>734</v>
      </c>
    </row>
    <row r="191">
      <c r="A191" s="1" t="s">
        <v>646</v>
      </c>
    </row>
    <row r="192">
      <c r="A192" s="1" t="s">
        <v>735</v>
      </c>
    </row>
    <row r="193">
      <c r="A193" s="1">
        <v>24.0</v>
      </c>
    </row>
    <row r="194">
      <c r="A194" s="1" t="s">
        <v>736</v>
      </c>
    </row>
    <row r="195">
      <c r="A195" s="1" t="s">
        <v>646</v>
      </c>
    </row>
    <row r="196">
      <c r="A196" s="1" t="s">
        <v>737</v>
      </c>
    </row>
    <row r="197">
      <c r="A197" s="1">
        <v>60.0</v>
      </c>
    </row>
    <row r="198">
      <c r="A198" s="1" t="s">
        <v>738</v>
      </c>
    </row>
    <row r="199">
      <c r="A199" s="1" t="s">
        <v>646</v>
      </c>
    </row>
    <row r="200">
      <c r="A200" s="1" t="s">
        <v>739</v>
      </c>
    </row>
    <row r="201">
      <c r="A201" s="1">
        <v>25.0</v>
      </c>
    </row>
    <row r="202">
      <c r="A202" s="1" t="s">
        <v>740</v>
      </c>
    </row>
    <row r="203">
      <c r="A203" s="1" t="s">
        <v>646</v>
      </c>
    </row>
    <row r="204">
      <c r="A204" s="1" t="s">
        <v>741</v>
      </c>
    </row>
    <row r="205">
      <c r="A205" s="1">
        <v>61.0</v>
      </c>
    </row>
    <row r="206">
      <c r="A206" s="1" t="s">
        <v>742</v>
      </c>
    </row>
    <row r="207">
      <c r="A207" s="1" t="s">
        <v>646</v>
      </c>
    </row>
    <row r="208">
      <c r="A208" s="1" t="s">
        <v>743</v>
      </c>
    </row>
    <row r="209">
      <c r="A209" s="1">
        <v>26.0</v>
      </c>
    </row>
    <row r="210">
      <c r="A210" s="1" t="s">
        <v>744</v>
      </c>
    </row>
    <row r="211">
      <c r="A211" s="1" t="s">
        <v>646</v>
      </c>
    </row>
    <row r="212">
      <c r="A212" s="1" t="s">
        <v>745</v>
      </c>
    </row>
    <row r="213">
      <c r="A213" s="1">
        <v>62.0</v>
      </c>
    </row>
    <row r="214">
      <c r="A214" s="1" t="s">
        <v>746</v>
      </c>
    </row>
    <row r="215">
      <c r="A215" s="1" t="s">
        <v>646</v>
      </c>
    </row>
    <row r="216">
      <c r="A216" s="1" t="s">
        <v>747</v>
      </c>
    </row>
    <row r="217">
      <c r="A217" s="1">
        <v>27.0</v>
      </c>
    </row>
    <row r="218">
      <c r="A218" s="1" t="s">
        <v>748</v>
      </c>
    </row>
    <row r="219">
      <c r="A219" s="1" t="s">
        <v>646</v>
      </c>
    </row>
    <row r="220">
      <c r="A220" s="1" t="s">
        <v>749</v>
      </c>
    </row>
    <row r="221">
      <c r="A221" s="1">
        <v>63.0</v>
      </c>
    </row>
    <row r="222">
      <c r="A222" s="1" t="s">
        <v>750</v>
      </c>
    </row>
    <row r="223">
      <c r="A223" s="1" t="s">
        <v>646</v>
      </c>
    </row>
    <row r="224">
      <c r="A224" s="1" t="s">
        <v>751</v>
      </c>
    </row>
    <row r="225">
      <c r="A225" s="1">
        <v>28.0</v>
      </c>
    </row>
    <row r="226">
      <c r="A226" s="1" t="s">
        <v>752</v>
      </c>
    </row>
    <row r="227">
      <c r="A227" s="1" t="s">
        <v>646</v>
      </c>
    </row>
    <row r="228">
      <c r="A228" s="1" t="s">
        <v>753</v>
      </c>
    </row>
    <row r="229">
      <c r="A229" s="1">
        <v>64.0</v>
      </c>
    </row>
    <row r="230">
      <c r="A230" s="1" t="s">
        <v>754</v>
      </c>
    </row>
    <row r="231">
      <c r="A231" s="1" t="s">
        <v>646</v>
      </c>
    </row>
    <row r="232">
      <c r="A232" s="1" t="s">
        <v>755</v>
      </c>
    </row>
    <row r="233">
      <c r="A233" s="1">
        <v>29.0</v>
      </c>
    </row>
    <row r="234">
      <c r="A234" s="1" t="s">
        <v>756</v>
      </c>
    </row>
    <row r="235">
      <c r="A235" s="1" t="s">
        <v>646</v>
      </c>
    </row>
    <row r="236">
      <c r="A236" s="1" t="s">
        <v>757</v>
      </c>
    </row>
    <row r="237">
      <c r="A237" s="1">
        <v>65.0</v>
      </c>
    </row>
    <row r="238">
      <c r="A238" s="1" t="s">
        <v>758</v>
      </c>
    </row>
    <row r="239">
      <c r="A239" s="1" t="s">
        <v>646</v>
      </c>
    </row>
    <row r="240">
      <c r="A240" s="1" t="s">
        <v>759</v>
      </c>
    </row>
    <row r="241">
      <c r="A241" s="1">
        <v>30.0</v>
      </c>
    </row>
    <row r="242">
      <c r="A242" s="1" t="s">
        <v>760</v>
      </c>
    </row>
    <row r="243">
      <c r="A243" s="1" t="s">
        <v>646</v>
      </c>
    </row>
    <row r="244">
      <c r="A244" s="1" t="s">
        <v>761</v>
      </c>
    </row>
    <row r="245">
      <c r="A245" s="1">
        <v>66.0</v>
      </c>
    </row>
    <row r="246">
      <c r="A246" s="1" t="s">
        <v>762</v>
      </c>
    </row>
    <row r="247">
      <c r="A247" s="1" t="s">
        <v>646</v>
      </c>
    </row>
    <row r="248">
      <c r="A248" s="1" t="s">
        <v>763</v>
      </c>
    </row>
    <row r="249">
      <c r="A249" s="1">
        <v>31.0</v>
      </c>
    </row>
    <row r="250">
      <c r="A250" s="1" t="s">
        <v>764</v>
      </c>
    </row>
    <row r="251">
      <c r="A251" s="1" t="s">
        <v>646</v>
      </c>
    </row>
    <row r="252">
      <c r="A252" s="1" t="s">
        <v>765</v>
      </c>
    </row>
    <row r="253">
      <c r="A253" s="1">
        <v>67.0</v>
      </c>
    </row>
    <row r="254">
      <c r="A254" s="1" t="s">
        <v>766</v>
      </c>
    </row>
    <row r="255">
      <c r="A255" s="1" t="s">
        <v>646</v>
      </c>
    </row>
    <row r="256">
      <c r="A256" s="1" t="s">
        <v>767</v>
      </c>
    </row>
    <row r="257">
      <c r="A257" s="1">
        <v>32.0</v>
      </c>
    </row>
    <row r="258">
      <c r="A258" s="1" t="s">
        <v>768</v>
      </c>
    </row>
    <row r="259">
      <c r="A259" s="1" t="s">
        <v>646</v>
      </c>
    </row>
    <row r="260">
      <c r="A260" s="1" t="s">
        <v>769</v>
      </c>
    </row>
    <row r="261">
      <c r="A261" s="1">
        <v>68.0</v>
      </c>
    </row>
    <row r="262">
      <c r="A262" s="1" t="s">
        <v>770</v>
      </c>
    </row>
    <row r="263">
      <c r="A263" s="1" t="s">
        <v>646</v>
      </c>
    </row>
    <row r="264">
      <c r="A264" s="1" t="s">
        <v>771</v>
      </c>
    </row>
    <row r="265">
      <c r="A265" s="1">
        <v>33.0</v>
      </c>
    </row>
    <row r="266">
      <c r="A266" s="1" t="s">
        <v>772</v>
      </c>
    </row>
    <row r="267">
      <c r="A267" s="1" t="s">
        <v>646</v>
      </c>
    </row>
    <row r="268">
      <c r="A268" s="1" t="s">
        <v>773</v>
      </c>
    </row>
    <row r="269">
      <c r="A269" s="1">
        <v>69.0</v>
      </c>
    </row>
    <row r="270">
      <c r="A270" s="1" t="s">
        <v>774</v>
      </c>
    </row>
    <row r="271">
      <c r="A271" s="1" t="s">
        <v>646</v>
      </c>
    </row>
    <row r="272">
      <c r="A272" s="1" t="s">
        <v>775</v>
      </c>
    </row>
    <row r="273">
      <c r="A273" s="1">
        <v>34.0</v>
      </c>
    </row>
    <row r="274">
      <c r="A274" s="1" t="s">
        <v>776</v>
      </c>
    </row>
    <row r="275">
      <c r="A275" s="1" t="s">
        <v>646</v>
      </c>
    </row>
    <row r="276">
      <c r="A276" s="1" t="s">
        <v>777</v>
      </c>
    </row>
    <row r="277">
      <c r="A277" s="1">
        <v>70.0</v>
      </c>
    </row>
    <row r="278">
      <c r="A278" s="1" t="s">
        <v>778</v>
      </c>
    </row>
    <row r="279">
      <c r="A279" s="1" t="s">
        <v>646</v>
      </c>
    </row>
    <row r="280">
      <c r="A280" s="1" t="s">
        <v>779</v>
      </c>
    </row>
    <row r="281">
      <c r="A281" s="1">
        <v>35.0</v>
      </c>
    </row>
    <row r="282">
      <c r="A282" s="1" t="s">
        <v>780</v>
      </c>
    </row>
    <row r="283">
      <c r="A283" s="1" t="s">
        <v>646</v>
      </c>
    </row>
    <row r="284">
      <c r="A284" s="1" t="s">
        <v>781</v>
      </c>
    </row>
    <row r="285">
      <c r="A285" s="1">
        <v>71.0</v>
      </c>
    </row>
    <row r="286">
      <c r="A286" s="1" t="s">
        <v>782</v>
      </c>
    </row>
    <row r="287">
      <c r="A287" s="1" t="s">
        <v>646</v>
      </c>
    </row>
    <row r="288">
      <c r="A288" s="1" t="s">
        <v>783</v>
      </c>
    </row>
    <row r="289">
      <c r="A289" s="1">
        <v>36.0</v>
      </c>
    </row>
    <row r="290">
      <c r="A290" s="1" t="s">
        <v>784</v>
      </c>
    </row>
    <row r="291">
      <c r="A291" s="1" t="s">
        <v>646</v>
      </c>
    </row>
    <row r="292">
      <c r="A292" s="1" t="s">
        <v>785</v>
      </c>
    </row>
    <row r="293">
      <c r="A293" s="1">
        <v>72.0</v>
      </c>
    </row>
    <row r="294">
      <c r="A294" s="1" t="s">
        <v>786</v>
      </c>
    </row>
    <row r="295">
      <c r="A295" s="1" t="s">
        <v>787</v>
      </c>
    </row>
    <row r="296">
      <c r="A296" s="1" t="s">
        <v>788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IFERROR(__xludf.DUMMYFUNCTION("FILTER(IESE2014rawa!A:A, MOD(ROW(IESE2014rawa!A:A)-1, 4) = 0)"),"Ranking")</f>
        <v>Ranking</v>
      </c>
      <c r="B1" s="6" t="str">
        <f>IFERROR(__xludf.DUMMYFUNCTION("FILTER(IESE2014rawa!A:A, MOD(ROW(IESE2014rawa!A:A)-2, 4) = 0)"),"City")</f>
        <v>City</v>
      </c>
      <c r="C1" s="6" t="str">
        <f>IFERROR(__xludf.DUMMYFUNCTION("FILTER(IESE2014rawa!A:A, MOD(ROW(IESE2014rawa!A:A)-3, 4) = 0)"),"Performance")</f>
        <v>Performance</v>
      </c>
      <c r="D1" s="6" t="str">
        <f>IFERROR(__xludf.DUMMYFUNCTION("FILTER(IESE2014rawa!A:A, MOD(ROW(IESE2014rawa!A:A), 4) = 0)"),"CIMI")</f>
        <v>CIMI</v>
      </c>
    </row>
    <row r="2">
      <c r="A2" s="2" t="str">
        <f>IFERROR(__xludf.DUMMYFUNCTION("""COMPUTED_VALUE"""),"Ranking")</f>
        <v>Ranking</v>
      </c>
      <c r="B2" s="2" t="str">
        <f>IFERROR(__xludf.DUMMYFUNCTION("""COMPUTED_VALUE"""),"City")</f>
        <v>City</v>
      </c>
      <c r="C2" s="2" t="str">
        <f>IFERROR(__xludf.DUMMYFUNCTION("""COMPUTED_VALUE"""),"Performance")</f>
        <v>Performance</v>
      </c>
      <c r="D2" s="2" t="str">
        <f>IFERROR(__xludf.DUMMYFUNCTION("""COMPUTED_VALUE"""),"CIMI")</f>
        <v>CIMI</v>
      </c>
    </row>
    <row r="3">
      <c r="A3" s="2">
        <f>IFERROR(__xludf.DUMMYFUNCTION("""COMPUTED_VALUE"""),1.0)</f>
        <v>1</v>
      </c>
      <c r="B3" s="2" t="str">
        <f>IFERROR(__xludf.DUMMYFUNCTION("""COMPUTED_VALUE"""),"Japan-Tokyo")</f>
        <v>Japan-Tokyo</v>
      </c>
      <c r="C3" s="2" t="str">
        <f>IFERROR(__xludf.DUMMYFUNCTION("""COMPUTED_VALUE"""),"A")</f>
        <v>A</v>
      </c>
      <c r="D3" s="2" t="str">
        <f>IFERROR(__xludf.DUMMYFUNCTION("""COMPUTED_VALUE"""),"100,00")</f>
        <v>100,00</v>
      </c>
    </row>
    <row r="4">
      <c r="A4" s="2">
        <f>IFERROR(__xludf.DUMMYFUNCTION("""COMPUTED_VALUE"""),37.0)</f>
        <v>37</v>
      </c>
      <c r="B4" s="2" t="str">
        <f>IFERROR(__xludf.DUMMYFUNCTION("""COMPUTED_VALUE"""),"Sweden-Gothenburg")</f>
        <v>Sweden-Gothenburg</v>
      </c>
      <c r="C4" s="2" t="str">
        <f>IFERROR(__xludf.DUMMYFUNCTION("""COMPUTED_VALUE"""),"M")</f>
        <v>M</v>
      </c>
      <c r="D4" s="2" t="str">
        <f>IFERROR(__xludf.DUMMYFUNCTION("""COMPUTED_VALUE"""),"54,78")</f>
        <v>54,78</v>
      </c>
    </row>
    <row r="5">
      <c r="A5" s="2">
        <f>IFERROR(__xludf.DUMMYFUNCTION("""COMPUTED_VALUE"""),2.0)</f>
        <v>2</v>
      </c>
      <c r="B5" s="2" t="str">
        <f>IFERROR(__xludf.DUMMYFUNCTION("""COMPUTED_VALUE"""),"United Kingdom-London")</f>
        <v>United Kingdom-London</v>
      </c>
      <c r="C5" s="2" t="str">
        <f>IFERROR(__xludf.DUMMYFUNCTION("""COMPUTED_VALUE"""),"RA")</f>
        <v>RA</v>
      </c>
      <c r="D5" s="2" t="str">
        <f>IFERROR(__xludf.DUMMYFUNCTION("""COMPUTED_VALUE"""),"84,36")</f>
        <v>84,36</v>
      </c>
    </row>
    <row r="6">
      <c r="A6" s="2">
        <f>IFERROR(__xludf.DUMMYFUNCTION("""COMPUTED_VALUE"""),38.0)</f>
        <v>38</v>
      </c>
      <c r="B6" s="2" t="str">
        <f>IFERROR(__xludf.DUMMYFUNCTION("""COMPUTED_VALUE"""),"France-Lille")</f>
        <v>France-Lille</v>
      </c>
      <c r="C6" s="2" t="str">
        <f>IFERROR(__xludf.DUMMYFUNCTION("""COMPUTED_VALUE"""),"M")</f>
        <v>M</v>
      </c>
      <c r="D6" s="2" t="str">
        <f>IFERROR(__xludf.DUMMYFUNCTION("""COMPUTED_VALUE"""),"54,43")</f>
        <v>54,43</v>
      </c>
    </row>
    <row r="7">
      <c r="A7" s="2">
        <f>IFERROR(__xludf.DUMMYFUNCTION("""COMPUTED_VALUE"""),3.0)</f>
        <v>3</v>
      </c>
      <c r="B7" s="2" t="str">
        <f>IFERROR(__xludf.DUMMYFUNCTION("""COMPUTED_VALUE"""),"USA-New York")</f>
        <v>USA-New York</v>
      </c>
      <c r="C7" s="2" t="str">
        <f>IFERROR(__xludf.DUMMYFUNCTION("""COMPUTED_VALUE"""),"RA")</f>
        <v>RA</v>
      </c>
      <c r="D7" s="2" t="str">
        <f>IFERROR(__xludf.DUMMYFUNCTION("""COMPUTED_VALUE"""),"81,25")</f>
        <v>81,25</v>
      </c>
    </row>
    <row r="8">
      <c r="A8" s="2">
        <f>IFERROR(__xludf.DUMMYFUNCTION("""COMPUTED_VALUE"""),39.0)</f>
        <v>39</v>
      </c>
      <c r="B8" s="2" t="str">
        <f>IFERROR(__xludf.DUMMYFUNCTION("""COMPUTED_VALUE"""),"Germany-Frankfurt am Main")</f>
        <v>Germany-Frankfurt am Main</v>
      </c>
      <c r="C8" s="2" t="str">
        <f>IFERROR(__xludf.DUMMYFUNCTION("""COMPUTED_VALUE"""),"M")</f>
        <v>M</v>
      </c>
      <c r="D8" s="2" t="str">
        <f>IFERROR(__xludf.DUMMYFUNCTION("""COMPUTED_VALUE"""),"54,30")</f>
        <v>54,30</v>
      </c>
    </row>
    <row r="9">
      <c r="A9" s="2">
        <f>IFERROR(__xludf.DUMMYFUNCTION("""COMPUTED_VALUE"""),4.0)</f>
        <v>4</v>
      </c>
      <c r="B9" s="2" t="str">
        <f>IFERROR(__xludf.DUMMYFUNCTION("""COMPUTED_VALUE"""),"Switzerland-Zurich")</f>
        <v>Switzerland-Zurich</v>
      </c>
      <c r="C9" s="2" t="str">
        <f>IFERROR(__xludf.DUMMYFUNCTION("""COMPUTED_VALUE"""),"RA")</f>
        <v>RA</v>
      </c>
      <c r="D9" s="2" t="str">
        <f>IFERROR(__xludf.DUMMYFUNCTION("""COMPUTED_VALUE"""),"79,94")</f>
        <v>79,94</v>
      </c>
    </row>
    <row r="10">
      <c r="A10" s="2">
        <f>IFERROR(__xludf.DUMMYFUNCTION("""COMPUTED_VALUE"""),40.0)</f>
        <v>40</v>
      </c>
      <c r="B10" s="2" t="str">
        <f>IFERROR(__xludf.DUMMYFUNCTION("""COMPUTED_VALUE"""),"France-Nice")</f>
        <v>France-Nice</v>
      </c>
      <c r="C10" s="2" t="str">
        <f>IFERROR(__xludf.DUMMYFUNCTION("""COMPUTED_VALUE"""),"M")</f>
        <v>M</v>
      </c>
      <c r="D10" s="2" t="str">
        <f>IFERROR(__xludf.DUMMYFUNCTION("""COMPUTED_VALUE"""),"54,29")</f>
        <v>54,29</v>
      </c>
    </row>
    <row r="11">
      <c r="A11" s="2">
        <f>IFERROR(__xludf.DUMMYFUNCTION("""COMPUTED_VALUE"""),5.0)</f>
        <v>5</v>
      </c>
      <c r="B11" s="2" t="str">
        <f>IFERROR(__xludf.DUMMYFUNCTION("""COMPUTED_VALUE"""),"France-Paris")</f>
        <v>France-Paris</v>
      </c>
      <c r="C11" s="2" t="str">
        <f>IFERROR(__xludf.DUMMYFUNCTION("""COMPUTED_VALUE"""),"RA")</f>
        <v>RA</v>
      </c>
      <c r="D11" s="2" t="str">
        <f>IFERROR(__xludf.DUMMYFUNCTION("""COMPUTED_VALUE"""),"79,11")</f>
        <v>79,11</v>
      </c>
    </row>
    <row r="12">
      <c r="A12" s="2">
        <f>IFERROR(__xludf.DUMMYFUNCTION("""COMPUTED_VALUE"""),41.0)</f>
        <v>41</v>
      </c>
      <c r="B12" s="2" t="str">
        <f>IFERROR(__xludf.DUMMYFUNCTION("""COMPUTED_VALUE"""),"Germany-Hamburg")</f>
        <v>Germany-Hamburg</v>
      </c>
      <c r="C12" s="2" t="str">
        <f>IFERROR(__xludf.DUMMYFUNCTION("""COMPUTED_VALUE"""),"M")</f>
        <v>M</v>
      </c>
      <c r="D12" s="2" t="str">
        <f>IFERROR(__xludf.DUMMYFUNCTION("""COMPUTED_VALUE"""),"53,65")</f>
        <v>53,65</v>
      </c>
    </row>
    <row r="13">
      <c r="A13" s="2">
        <f>IFERROR(__xludf.DUMMYFUNCTION("""COMPUTED_VALUE"""),6.0)</f>
        <v>6</v>
      </c>
      <c r="B13" s="2" t="str">
        <f>IFERROR(__xludf.DUMMYFUNCTION("""COMPUTED_VALUE"""),"Switzerland-Geneva")</f>
        <v>Switzerland-Geneva</v>
      </c>
      <c r="C13" s="2" t="str">
        <f>IFERROR(__xludf.DUMMYFUNCTION("""COMPUTED_VALUE"""),"RA")</f>
        <v>RA</v>
      </c>
      <c r="D13" s="2" t="str">
        <f>IFERROR(__xludf.DUMMYFUNCTION("""COMPUTED_VALUE"""),"75,61")</f>
        <v>75,61</v>
      </c>
    </row>
    <row r="14">
      <c r="A14" s="2">
        <f>IFERROR(__xludf.DUMMYFUNCTION("""COMPUTED_VALUE"""),42.0)</f>
        <v>42</v>
      </c>
      <c r="B14" s="2" t="str">
        <f>IFERROR(__xludf.DUMMYFUNCTION("""COMPUTED_VALUE"""),"United Kingdom-Manchester")</f>
        <v>United Kingdom-Manchester</v>
      </c>
      <c r="C14" s="2" t="str">
        <f>IFERROR(__xludf.DUMMYFUNCTION("""COMPUTED_VALUE"""),"M")</f>
        <v>M</v>
      </c>
      <c r="D14" s="2" t="str">
        <f>IFERROR(__xludf.DUMMYFUNCTION("""COMPUTED_VALUE"""),"53,62")</f>
        <v>53,62</v>
      </c>
    </row>
    <row r="15">
      <c r="A15" s="2">
        <f>IFERROR(__xludf.DUMMYFUNCTION("""COMPUTED_VALUE"""),7.0)</f>
        <v>7</v>
      </c>
      <c r="B15" s="2" t="str">
        <f>IFERROR(__xludf.DUMMYFUNCTION("""COMPUTED_VALUE"""),"Switzerland-Basel")</f>
        <v>Switzerland-Basel</v>
      </c>
      <c r="C15" s="2" t="str">
        <f>IFERROR(__xludf.DUMMYFUNCTION("""COMPUTED_VALUE"""),"RA")</f>
        <v>RA</v>
      </c>
      <c r="D15" s="2" t="str">
        <f>IFERROR(__xludf.DUMMYFUNCTION("""COMPUTED_VALUE"""),"70,91")</f>
        <v>70,91</v>
      </c>
    </row>
    <row r="16">
      <c r="A16" s="2">
        <f>IFERROR(__xludf.DUMMYFUNCTION("""COMPUTED_VALUE"""),43.0)</f>
        <v>43</v>
      </c>
      <c r="B16" s="2" t="str">
        <f>IFERROR(__xludf.DUMMYFUNCTION("""COMPUTED_VALUE"""),"Ireland-Dublin")</f>
        <v>Ireland-Dublin</v>
      </c>
      <c r="C16" s="2" t="str">
        <f>IFERROR(__xludf.DUMMYFUNCTION("""COMPUTED_VALUE"""),"M")</f>
        <v>M</v>
      </c>
      <c r="D16" s="2" t="str">
        <f>IFERROR(__xludf.DUMMYFUNCTION("""COMPUTED_VALUE"""),"53,15")</f>
        <v>53,15</v>
      </c>
    </row>
    <row r="17">
      <c r="A17" s="2">
        <f>IFERROR(__xludf.DUMMYFUNCTION("""COMPUTED_VALUE"""),8.0)</f>
        <v>8</v>
      </c>
      <c r="B17" s="2" t="str">
        <f>IFERROR(__xludf.DUMMYFUNCTION("""COMPUTED_VALUE"""),"Japan-Osaka")</f>
        <v>Japan-Osaka</v>
      </c>
      <c r="C17" s="2" t="str">
        <f>IFERROR(__xludf.DUMMYFUNCTION("""COMPUTED_VALUE"""),"RA")</f>
        <v>RA</v>
      </c>
      <c r="D17" s="2" t="str">
        <f>IFERROR(__xludf.DUMMYFUNCTION("""COMPUTED_VALUE"""),"68,76")</f>
        <v>68,76</v>
      </c>
    </row>
    <row r="18">
      <c r="A18" s="2">
        <f>IFERROR(__xludf.DUMMYFUNCTION("""COMPUTED_VALUE"""),44.0)</f>
        <v>44</v>
      </c>
      <c r="B18" s="2" t="str">
        <f>IFERROR(__xludf.DUMMYFUNCTION("""COMPUTED_VALUE"""),"Canada-Vancouver")</f>
        <v>Canada-Vancouver</v>
      </c>
      <c r="C18" s="2" t="str">
        <f>IFERROR(__xludf.DUMMYFUNCTION("""COMPUTED_VALUE"""),"M")</f>
        <v>M</v>
      </c>
      <c r="D18" s="2" t="str">
        <f>IFERROR(__xludf.DUMMYFUNCTION("""COMPUTED_VALUE"""),"53,14")</f>
        <v>53,14</v>
      </c>
    </row>
    <row r="19">
      <c r="A19" s="2">
        <f>IFERROR(__xludf.DUMMYFUNCTION("""COMPUTED_VALUE"""),9.0)</f>
        <v>9</v>
      </c>
      <c r="B19" s="2" t="str">
        <f>IFERROR(__xludf.DUMMYFUNCTION("""COMPUTED_VALUE"""),"South Korea-Seoul")</f>
        <v>South Korea-Seoul</v>
      </c>
      <c r="C19" s="2" t="str">
        <f>IFERROR(__xludf.DUMMYFUNCTION("""COMPUTED_VALUE"""),"RA")</f>
        <v>RA</v>
      </c>
      <c r="D19" s="2" t="str">
        <f>IFERROR(__xludf.DUMMYFUNCTION("""COMPUTED_VALUE"""),"68,27")</f>
        <v>68,27</v>
      </c>
    </row>
    <row r="20">
      <c r="A20" s="2">
        <f>IFERROR(__xludf.DUMMYFUNCTION("""COMPUTED_VALUE"""),45.0)</f>
        <v>45</v>
      </c>
      <c r="B20" s="2" t="str">
        <f>IFERROR(__xludf.DUMMYFUNCTION("""COMPUTED_VALUE"""),"Belgium-Brussels")</f>
        <v>Belgium-Brussels</v>
      </c>
      <c r="C20" s="2" t="str">
        <f>IFERROR(__xludf.DUMMYFUNCTION("""COMPUTED_VALUE"""),"M")</f>
        <v>M</v>
      </c>
      <c r="D20" s="2" t="str">
        <f>IFERROR(__xludf.DUMMYFUNCTION("""COMPUTED_VALUE"""),"52,89")</f>
        <v>52,89</v>
      </c>
    </row>
    <row r="21">
      <c r="A21" s="2">
        <f>IFERROR(__xludf.DUMMYFUNCTION("""COMPUTED_VALUE"""),10.0)</f>
        <v>10</v>
      </c>
      <c r="B21" s="2" t="str">
        <f>IFERROR(__xludf.DUMMYFUNCTION("""COMPUTED_VALUE"""),"Norway-Oslo")</f>
        <v>Norway-Oslo</v>
      </c>
      <c r="C21" s="2" t="str">
        <f>IFERROR(__xludf.DUMMYFUNCTION("""COMPUTED_VALUE"""),"RA")</f>
        <v>RA</v>
      </c>
      <c r="D21" s="2" t="str">
        <f>IFERROR(__xludf.DUMMYFUNCTION("""COMPUTED_VALUE"""),"68,00")</f>
        <v>68,00</v>
      </c>
    </row>
    <row r="22">
      <c r="A22" s="2">
        <f>IFERROR(__xludf.DUMMYFUNCTION("""COMPUTED_VALUE"""),46.0)</f>
        <v>46</v>
      </c>
      <c r="B22" s="2" t="str">
        <f>IFERROR(__xludf.DUMMYFUNCTION("""COMPUTED_VALUE"""),"United Kingdom-Glasgow")</f>
        <v>United Kingdom-Glasgow</v>
      </c>
      <c r="C22" s="2" t="str">
        <f>IFERROR(__xludf.DUMMYFUNCTION("""COMPUTED_VALUE"""),"M")</f>
        <v>M</v>
      </c>
      <c r="D22" s="2" t="str">
        <f>IFERROR(__xludf.DUMMYFUNCTION("""COMPUTED_VALUE"""),"52,67")</f>
        <v>52,67</v>
      </c>
    </row>
    <row r="23">
      <c r="A23" s="2">
        <f>IFERROR(__xludf.DUMMYFUNCTION("""COMPUTED_VALUE"""),11.0)</f>
        <v>11</v>
      </c>
      <c r="B23" s="2" t="str">
        <f>IFERROR(__xludf.DUMMYFUNCTION("""COMPUTED_VALUE"""),"USA-Philadelphia")</f>
        <v>USA-Philadelphia</v>
      </c>
      <c r="C23" s="2" t="str">
        <f>IFERROR(__xludf.DUMMYFUNCTION("""COMPUTED_VALUE"""),"RA")</f>
        <v>RA</v>
      </c>
      <c r="D23" s="2" t="str">
        <f>IFERROR(__xludf.DUMMYFUNCTION("""COMPUTED_VALUE"""),"67,06")</f>
        <v>67,06</v>
      </c>
    </row>
    <row r="24">
      <c r="A24" s="2">
        <f>IFERROR(__xludf.DUMMYFUNCTION("""COMPUTED_VALUE"""),47.0)</f>
        <v>47</v>
      </c>
      <c r="B24" s="2" t="str">
        <f>IFERROR(__xludf.DUMMYFUNCTION("""COMPUTED_VALUE"""),"Canada-Montreal")</f>
        <v>Canada-Montreal</v>
      </c>
      <c r="C24" s="2" t="str">
        <f>IFERROR(__xludf.DUMMYFUNCTION("""COMPUTED_VALUE"""),"M")</f>
        <v>M</v>
      </c>
      <c r="D24" s="2" t="str">
        <f>IFERROR(__xludf.DUMMYFUNCTION("""COMPUTED_VALUE"""),"52,40")</f>
        <v>52,40</v>
      </c>
    </row>
    <row r="25">
      <c r="A25" s="2">
        <f>IFERROR(__xludf.DUMMYFUNCTION("""COMPUTED_VALUE"""),12.0)</f>
        <v>12</v>
      </c>
      <c r="B25" s="2" t="str">
        <f>IFERROR(__xludf.DUMMYFUNCTION("""COMPUTED_VALUE"""),"USA-Los Angeles")</f>
        <v>USA-Los Angeles</v>
      </c>
      <c r="C25" s="2" t="str">
        <f>IFERROR(__xludf.DUMMYFUNCTION("""COMPUTED_VALUE"""),"RA")</f>
        <v>RA</v>
      </c>
      <c r="D25" s="2" t="str">
        <f>IFERROR(__xludf.DUMMYFUNCTION("""COMPUTED_VALUE"""),"67,05")</f>
        <v>67,05</v>
      </c>
    </row>
    <row r="26">
      <c r="A26" s="2">
        <f>IFERROR(__xludf.DUMMYFUNCTION("""COMPUTED_VALUE"""),48.0)</f>
        <v>48</v>
      </c>
      <c r="B26" s="2" t="str">
        <f>IFERROR(__xludf.DUMMYFUNCTION("""COMPUTED_VALUE"""),"United Kingdom-Birmingham")</f>
        <v>United Kingdom-Birmingham</v>
      </c>
      <c r="C26" s="2" t="str">
        <f>IFERROR(__xludf.DUMMYFUNCTION("""COMPUTED_VALUE"""),"M")</f>
        <v>M</v>
      </c>
      <c r="D26" s="2" t="str">
        <f>IFERROR(__xludf.DUMMYFUNCTION("""COMPUTED_VALUE"""),"52,33")</f>
        <v>52,33</v>
      </c>
    </row>
    <row r="27">
      <c r="A27" s="2">
        <f>IFERROR(__xludf.DUMMYFUNCTION("""COMPUTED_VALUE"""),13.0)</f>
        <v>13</v>
      </c>
      <c r="B27" s="2" t="str">
        <f>IFERROR(__xludf.DUMMYFUNCTION("""COMPUTED_VALUE"""),"USA-Dallas")</f>
        <v>USA-Dallas</v>
      </c>
      <c r="C27" s="2" t="str">
        <f>IFERROR(__xludf.DUMMYFUNCTION("""COMPUTED_VALUE"""),"RA")</f>
        <v>RA</v>
      </c>
      <c r="D27" s="2" t="str">
        <f>IFERROR(__xludf.DUMMYFUNCTION("""COMPUTED_VALUE"""),"65,82")</f>
        <v>65,82</v>
      </c>
    </row>
    <row r="28">
      <c r="A28" s="2">
        <f>IFERROR(__xludf.DUMMYFUNCTION("""COMPUTED_VALUE"""),49.0)</f>
        <v>49</v>
      </c>
      <c r="B28" s="2" t="str">
        <f>IFERROR(__xludf.DUMMYFUNCTION("""COMPUTED_VALUE"""),"United Kingdom-Leeds")</f>
        <v>United Kingdom-Leeds</v>
      </c>
      <c r="C28" s="2" t="str">
        <f>IFERROR(__xludf.DUMMYFUNCTION("""COMPUTED_VALUE"""),"M")</f>
        <v>M</v>
      </c>
      <c r="D28" s="2" t="str">
        <f>IFERROR(__xludf.DUMMYFUNCTION("""COMPUTED_VALUE"""),"51,85")</f>
        <v>51,85</v>
      </c>
    </row>
    <row r="29">
      <c r="A29" s="2">
        <f>IFERROR(__xludf.DUMMYFUNCTION("""COMPUTED_VALUE"""),14.0)</f>
        <v>14</v>
      </c>
      <c r="B29" s="2" t="str">
        <f>IFERROR(__xludf.DUMMYFUNCTION("""COMPUTED_VALUE"""),"Denmark-Copenhagen")</f>
        <v>Denmark-Copenhagen</v>
      </c>
      <c r="C29" s="2" t="str">
        <f>IFERROR(__xludf.DUMMYFUNCTION("""COMPUTED_VALUE"""),"RA")</f>
        <v>RA</v>
      </c>
      <c r="D29" s="2" t="str">
        <f>IFERROR(__xludf.DUMMYFUNCTION("""COMPUTED_VALUE"""),"65,00")</f>
        <v>65,00</v>
      </c>
    </row>
    <row r="30">
      <c r="A30" s="2">
        <f>IFERROR(__xludf.DUMMYFUNCTION("""COMPUTED_VALUE"""),50.0)</f>
        <v>50</v>
      </c>
      <c r="B30" s="2" t="str">
        <f>IFERROR(__xludf.DUMMYFUNCTION("""COMPUTED_VALUE"""),"Germany-Duisburg")</f>
        <v>Germany-Duisburg</v>
      </c>
      <c r="C30" s="2" t="str">
        <f>IFERROR(__xludf.DUMMYFUNCTION("""COMPUTED_VALUE"""),"M")</f>
        <v>M</v>
      </c>
      <c r="D30" s="2" t="str">
        <f>IFERROR(__xludf.DUMMYFUNCTION("""COMPUTED_VALUE"""),"51,81")</f>
        <v>51,81</v>
      </c>
    </row>
    <row r="31">
      <c r="A31" s="2">
        <f>IFERROR(__xludf.DUMMYFUNCTION("""COMPUTED_VALUE"""),15.0)</f>
        <v>15</v>
      </c>
      <c r="B31" s="2" t="str">
        <f>IFERROR(__xludf.DUMMYFUNCTION("""COMPUTED_VALUE"""),"Netherlands-Eindhoven")</f>
        <v>Netherlands-Eindhoven</v>
      </c>
      <c r="C31" s="2" t="str">
        <f>IFERROR(__xludf.DUMMYFUNCTION("""COMPUTED_VALUE"""),"RA")</f>
        <v>RA</v>
      </c>
      <c r="D31" s="2" t="str">
        <f>IFERROR(__xludf.DUMMYFUNCTION("""COMPUTED_VALUE"""),"64,21")</f>
        <v>64,21</v>
      </c>
    </row>
    <row r="32">
      <c r="A32" s="2">
        <f>IFERROR(__xludf.DUMMYFUNCTION("""COMPUTED_VALUE"""),51.0)</f>
        <v>51</v>
      </c>
      <c r="B32" s="2" t="str">
        <f>IFERROR(__xludf.DUMMYFUNCTION("""COMPUTED_VALUE"""),"Spain-Barcelona")</f>
        <v>Spain-Barcelona</v>
      </c>
      <c r="C32" s="2" t="str">
        <f>IFERROR(__xludf.DUMMYFUNCTION("""COMPUTED_VALUE"""),"M")</f>
        <v>M</v>
      </c>
      <c r="D32" s="2" t="str">
        <f>IFERROR(__xludf.DUMMYFUNCTION("""COMPUTED_VALUE"""),"51,18")</f>
        <v>51,18</v>
      </c>
    </row>
    <row r="33">
      <c r="A33" s="2">
        <f>IFERROR(__xludf.DUMMYFUNCTION("""COMPUTED_VALUE"""),16.0)</f>
        <v>16</v>
      </c>
      <c r="B33" s="2" t="str">
        <f>IFERROR(__xludf.DUMMYFUNCTION("""COMPUTED_VALUE"""),"Netherlands-Amsterdam")</f>
        <v>Netherlands-Amsterdam</v>
      </c>
      <c r="C33" s="2" t="str">
        <f>IFERROR(__xludf.DUMMYFUNCTION("""COMPUTED_VALUE"""),"RA")</f>
        <v>RA</v>
      </c>
      <c r="D33" s="2" t="str">
        <f>IFERROR(__xludf.DUMMYFUNCTION("""COMPUTED_VALUE"""),"64,02")</f>
        <v>64,02</v>
      </c>
    </row>
    <row r="34">
      <c r="A34" s="2">
        <f>IFERROR(__xludf.DUMMYFUNCTION("""COMPUTED_VALUE"""),52.0)</f>
        <v>52</v>
      </c>
      <c r="B34" s="2" t="str">
        <f>IFERROR(__xludf.DUMMYFUNCTION("""COMPUTED_VALUE"""),"Spain-Madrid")</f>
        <v>Spain-Madrid</v>
      </c>
      <c r="C34" s="2" t="str">
        <f>IFERROR(__xludf.DUMMYFUNCTION("""COMPUTED_VALUE"""),"M")</f>
        <v>M</v>
      </c>
      <c r="D34" s="2" t="str">
        <f>IFERROR(__xludf.DUMMYFUNCTION("""COMPUTED_VALUE"""),"51,08")</f>
        <v>51,08</v>
      </c>
    </row>
    <row r="35">
      <c r="A35" s="2">
        <f>IFERROR(__xludf.DUMMYFUNCTION("""COMPUTED_VALUE"""),17.0)</f>
        <v>17</v>
      </c>
      <c r="B35" s="2" t="str">
        <f>IFERROR(__xludf.DUMMYFUNCTION("""COMPUTED_VALUE"""),"Australia-Sydney")</f>
        <v>Australia-Sydney</v>
      </c>
      <c r="C35" s="2" t="str">
        <f>IFERROR(__xludf.DUMMYFUNCTION("""COMPUTED_VALUE"""),"RA")</f>
        <v>RA</v>
      </c>
      <c r="D35" s="2" t="str">
        <f>IFERROR(__xludf.DUMMYFUNCTION("""COMPUTED_VALUE"""),"63,81")</f>
        <v>63,81</v>
      </c>
    </row>
    <row r="36">
      <c r="A36" s="2">
        <f>IFERROR(__xludf.DUMMYFUNCTION("""COMPUTED_VALUE"""),53.0)</f>
        <v>53</v>
      </c>
      <c r="B36" s="2" t="str">
        <f>IFERROR(__xludf.DUMMYFUNCTION("""COMPUTED_VALUE"""),"Saudi Arabia-Riyadh")</f>
        <v>Saudi Arabia-Riyadh</v>
      </c>
      <c r="C36" s="2" t="str">
        <f>IFERROR(__xludf.DUMMYFUNCTION("""COMPUTED_VALUE"""),"M")</f>
        <v>M</v>
      </c>
      <c r="D36" s="2" t="str">
        <f>IFERROR(__xludf.DUMMYFUNCTION("""COMPUTED_VALUE"""),"50,74")</f>
        <v>50,74</v>
      </c>
    </row>
    <row r="37">
      <c r="A37" s="2">
        <f>IFERROR(__xludf.DUMMYFUNCTION("""COMPUTED_VALUE"""),18.0)</f>
        <v>18</v>
      </c>
      <c r="B37" s="2" t="str">
        <f>IFERROR(__xludf.DUMMYFUNCTION("""COMPUTED_VALUE"""),"Sweden-Stockholm")</f>
        <v>Sweden-Stockholm</v>
      </c>
      <c r="C37" s="2" t="str">
        <f>IFERROR(__xludf.DUMMYFUNCTION("""COMPUTED_VALUE"""),"RA")</f>
        <v>RA</v>
      </c>
      <c r="D37" s="2" t="str">
        <f>IFERROR(__xludf.DUMMYFUNCTION("""COMPUTED_VALUE"""),"63,26")</f>
        <v>63,26</v>
      </c>
    </row>
    <row r="38">
      <c r="A38" s="2">
        <f>IFERROR(__xludf.DUMMYFUNCTION("""COMPUTED_VALUE"""),54.0)</f>
        <v>54</v>
      </c>
      <c r="B38" s="2" t="str">
        <f>IFERROR(__xludf.DUMMYFUNCTION("""COMPUTED_VALUE"""),"Italy-Rome")</f>
        <v>Italy-Rome</v>
      </c>
      <c r="C38" s="2" t="str">
        <f>IFERROR(__xludf.DUMMYFUNCTION("""COMPUTED_VALUE"""),"M")</f>
        <v>M</v>
      </c>
      <c r="D38" s="2" t="str">
        <f>IFERROR(__xludf.DUMMYFUNCTION("""COMPUTED_VALUE"""),"50,74")</f>
        <v>50,74</v>
      </c>
    </row>
    <row r="39">
      <c r="A39" s="2">
        <f>IFERROR(__xludf.DUMMYFUNCTION("""COMPUTED_VALUE"""),19.0)</f>
        <v>19</v>
      </c>
      <c r="B39" s="2" t="str">
        <f>IFERROR(__xludf.DUMMYFUNCTION("""COMPUTED_VALUE"""),"USA-Chicago")</f>
        <v>USA-Chicago</v>
      </c>
      <c r="C39" s="2" t="str">
        <f>IFERROR(__xludf.DUMMYFUNCTION("""COMPUTED_VALUE"""),"RA")</f>
        <v>RA</v>
      </c>
      <c r="D39" s="2" t="str">
        <f>IFERROR(__xludf.DUMMYFUNCTION("""COMPUTED_VALUE"""),"63,23")</f>
        <v>63,23</v>
      </c>
    </row>
    <row r="40">
      <c r="A40" s="2">
        <f>IFERROR(__xludf.DUMMYFUNCTION("""COMPUTED_VALUE"""),55.0)</f>
        <v>55</v>
      </c>
      <c r="B40" s="2" t="str">
        <f>IFERROR(__xludf.DUMMYFUNCTION("""COMPUTED_VALUE"""),"New Zealand-Auckland")</f>
        <v>New Zealand-Auckland</v>
      </c>
      <c r="C40" s="2" t="str">
        <f>IFERROR(__xludf.DUMMYFUNCTION("""COMPUTED_VALUE"""),"M")</f>
        <v>M</v>
      </c>
      <c r="D40" s="2" t="str">
        <f>IFERROR(__xludf.DUMMYFUNCTION("""COMPUTED_VALUE"""),"50,22")</f>
        <v>50,22</v>
      </c>
    </row>
    <row r="41">
      <c r="A41" s="2">
        <f>IFERROR(__xludf.DUMMYFUNCTION("""COMPUTED_VALUE"""),20.0)</f>
        <v>20</v>
      </c>
      <c r="B41" s="2" t="str">
        <f>IFERROR(__xludf.DUMMYFUNCTION("""COMPUTED_VALUE"""),"USA-Baltimore")</f>
        <v>USA-Baltimore</v>
      </c>
      <c r="C41" s="2" t="str">
        <f>IFERROR(__xludf.DUMMYFUNCTION("""COMPUTED_VALUE"""),"RA")</f>
        <v>RA</v>
      </c>
      <c r="D41" s="2" t="str">
        <f>IFERROR(__xludf.DUMMYFUNCTION("""COMPUTED_VALUE"""),"61,95")</f>
        <v>61,95</v>
      </c>
    </row>
    <row r="42">
      <c r="A42" s="2">
        <f>IFERROR(__xludf.DUMMYFUNCTION("""COMPUTED_VALUE"""),56.0)</f>
        <v>56</v>
      </c>
      <c r="B42" s="2" t="str">
        <f>IFERROR(__xludf.DUMMYFUNCTION("""COMPUTED_VALUE"""),"Malaysia-Kuala Lumpur")</f>
        <v>Malaysia-Kuala Lumpur</v>
      </c>
      <c r="C42" s="2" t="str">
        <f>IFERROR(__xludf.DUMMYFUNCTION("""COMPUTED_VALUE"""),"M")</f>
        <v>M</v>
      </c>
      <c r="D42" s="2" t="str">
        <f>IFERROR(__xludf.DUMMYFUNCTION("""COMPUTED_VALUE"""),"50,19")</f>
        <v>50,19</v>
      </c>
    </row>
    <row r="43">
      <c r="A43" s="2">
        <f>IFERROR(__xludf.DUMMYFUNCTION("""COMPUTED_VALUE"""),21.0)</f>
        <v>21</v>
      </c>
      <c r="B43" s="2" t="str">
        <f>IFERROR(__xludf.DUMMYFUNCTION("""COMPUTED_VALUE"""),"Australia-Melbourne")</f>
        <v>Australia-Melbourne</v>
      </c>
      <c r="C43" s="2" t="str">
        <f>IFERROR(__xludf.DUMMYFUNCTION("""COMPUTED_VALUE"""),"RA")</f>
        <v>RA</v>
      </c>
      <c r="D43" s="2" t="str">
        <f>IFERROR(__xludf.DUMMYFUNCTION("""COMPUTED_VALUE"""),"60,80")</f>
        <v>60,80</v>
      </c>
    </row>
    <row r="44">
      <c r="A44" s="2">
        <f>IFERROR(__xludf.DUMMYFUNCTION("""COMPUTED_VALUE"""),57.0)</f>
        <v>57</v>
      </c>
      <c r="B44" s="2" t="str">
        <f>IFERROR(__xludf.DUMMYFUNCTION("""COMPUTED_VALUE"""),"Italy-Florence")</f>
        <v>Italy-Florence</v>
      </c>
      <c r="C44" s="2" t="str">
        <f>IFERROR(__xludf.DUMMYFUNCTION("""COMPUTED_VALUE"""),"M")</f>
        <v>M</v>
      </c>
      <c r="D44" s="2" t="str">
        <f>IFERROR(__xludf.DUMMYFUNCTION("""COMPUTED_VALUE"""),"49,76")</f>
        <v>49,76</v>
      </c>
    </row>
    <row r="45">
      <c r="A45" s="2">
        <f>IFERROR(__xludf.DUMMYFUNCTION("""COMPUTED_VALUE"""),22.0)</f>
        <v>22</v>
      </c>
      <c r="B45" s="2" t="str">
        <f>IFERROR(__xludf.DUMMYFUNCTION("""COMPUTED_VALUE"""),"USA-Minneapolis-Saint Paul")</f>
        <v>USA-Minneapolis-Saint Paul</v>
      </c>
      <c r="C45" s="2" t="str">
        <f>IFERROR(__xludf.DUMMYFUNCTION("""COMPUTED_VALUE"""),"RA")</f>
        <v>RA</v>
      </c>
      <c r="D45" s="2" t="str">
        <f>IFERROR(__xludf.DUMMYFUNCTION("""COMPUTED_VALUE"""),"60,72")</f>
        <v>60,72</v>
      </c>
    </row>
    <row r="46">
      <c r="A46" s="2">
        <f>IFERROR(__xludf.DUMMYFUNCTION("""COMPUTED_VALUE"""),58.0)</f>
        <v>58</v>
      </c>
      <c r="B46" s="2" t="str">
        <f>IFERROR(__xludf.DUMMYFUNCTION("""COMPUTED_VALUE"""),"Italy-Milan")</f>
        <v>Italy-Milan</v>
      </c>
      <c r="C46" s="2" t="str">
        <f>IFERROR(__xludf.DUMMYFUNCTION("""COMPUTED_VALUE"""),"M")</f>
        <v>M</v>
      </c>
      <c r="D46" s="2" t="str">
        <f>IFERROR(__xludf.DUMMYFUNCTION("""COMPUTED_VALUE"""),"49,68")</f>
        <v>49,68</v>
      </c>
    </row>
    <row r="47">
      <c r="A47" s="2">
        <f>IFERROR(__xludf.DUMMYFUNCTION("""COMPUTED_VALUE"""),23.0)</f>
        <v>23</v>
      </c>
      <c r="B47" s="2" t="str">
        <f>IFERROR(__xludf.DUMMYFUNCTION("""COMPUTED_VALUE"""),"Austria-Linz")</f>
        <v>Austria-Linz</v>
      </c>
      <c r="C47" s="2" t="str">
        <f>IFERROR(__xludf.DUMMYFUNCTION("""COMPUTED_VALUE"""),"RA")</f>
        <v>RA</v>
      </c>
      <c r="D47" s="2" t="str">
        <f>IFERROR(__xludf.DUMMYFUNCTION("""COMPUTED_VALUE"""),"60,42")</f>
        <v>60,42</v>
      </c>
    </row>
    <row r="48">
      <c r="A48" s="2">
        <f>IFERROR(__xludf.DUMMYFUNCTION("""COMPUTED_VALUE"""),59.0)</f>
        <v>59</v>
      </c>
      <c r="B48" s="2" t="str">
        <f>IFERROR(__xludf.DUMMYFUNCTION("""COMPUTED_VALUE"""),"France-Lyon")</f>
        <v>France-Lyon</v>
      </c>
      <c r="C48" s="2" t="str">
        <f>IFERROR(__xludf.DUMMYFUNCTION("""COMPUTED_VALUE"""),"M")</f>
        <v>M</v>
      </c>
      <c r="D48" s="2" t="str">
        <f>IFERROR(__xludf.DUMMYFUNCTION("""COMPUTED_VALUE"""),"49,38")</f>
        <v>49,38</v>
      </c>
    </row>
    <row r="49">
      <c r="A49" s="2">
        <f>IFERROR(__xludf.DUMMYFUNCTION("""COMPUTED_VALUE"""),24.0)</f>
        <v>24</v>
      </c>
      <c r="B49" s="2" t="str">
        <f>IFERROR(__xludf.DUMMYFUNCTION("""COMPUTED_VALUE"""),"Israel-Haifa")</f>
        <v>Israel-Haifa</v>
      </c>
      <c r="C49" s="2" t="str">
        <f>IFERROR(__xludf.DUMMYFUNCTION("""COMPUTED_VALUE"""),"M")</f>
        <v>M</v>
      </c>
      <c r="D49" s="2" t="str">
        <f>IFERROR(__xludf.DUMMYFUNCTION("""COMPUTED_VALUE"""),"59,31")</f>
        <v>59,31</v>
      </c>
    </row>
    <row r="50">
      <c r="A50" s="2">
        <f>IFERROR(__xludf.DUMMYFUNCTION("""COMPUTED_VALUE"""),60.0)</f>
        <v>60</v>
      </c>
      <c r="B50" s="2" t="str">
        <f>IFERROR(__xludf.DUMMYFUNCTION("""COMPUTED_VALUE"""),"Qatar-Doha")</f>
        <v>Qatar-Doha</v>
      </c>
      <c r="C50" s="2" t="str">
        <f>IFERROR(__xludf.DUMMYFUNCTION("""COMPUTED_VALUE"""),"M")</f>
        <v>M</v>
      </c>
      <c r="D50" s="2" t="str">
        <f>IFERROR(__xludf.DUMMYFUNCTION("""COMPUTED_VALUE"""),"49,36")</f>
        <v>49,36</v>
      </c>
    </row>
    <row r="51">
      <c r="A51" s="2">
        <f>IFERROR(__xludf.DUMMYFUNCTION("""COMPUTED_VALUE"""),25.0)</f>
        <v>25</v>
      </c>
      <c r="B51" s="2" t="str">
        <f>IFERROR(__xludf.DUMMYFUNCTION("""COMPUTED_VALUE"""),"USA-Houston")</f>
        <v>USA-Houston</v>
      </c>
      <c r="C51" s="2" t="str">
        <f>IFERROR(__xludf.DUMMYFUNCTION("""COMPUTED_VALUE"""),"M")</f>
        <v>M</v>
      </c>
      <c r="D51" s="2" t="str">
        <f>IFERROR(__xludf.DUMMYFUNCTION("""COMPUTED_VALUE"""),"58,81")</f>
        <v>58,81</v>
      </c>
    </row>
    <row r="52">
      <c r="A52" s="2">
        <f>IFERROR(__xludf.DUMMYFUNCTION("""COMPUTED_VALUE"""),61.0)</f>
        <v>61</v>
      </c>
      <c r="B52" s="2" t="str">
        <f>IFERROR(__xludf.DUMMYFUNCTION("""COMPUTED_VALUE"""),"France-Marseille")</f>
        <v>France-Marseille</v>
      </c>
      <c r="C52" s="2" t="str">
        <f>IFERROR(__xludf.DUMMYFUNCTION("""COMPUTED_VALUE"""),"M")</f>
        <v>M</v>
      </c>
      <c r="D52" s="2" t="str">
        <f>IFERROR(__xludf.DUMMYFUNCTION("""COMPUTED_VALUE"""),"48,49")</f>
        <v>48,49</v>
      </c>
    </row>
    <row r="53">
      <c r="A53" s="2">
        <f>IFERROR(__xludf.DUMMYFUNCTION("""COMPUTED_VALUE"""),26.0)</f>
        <v>26</v>
      </c>
      <c r="B53" s="2" t="str">
        <f>IFERROR(__xludf.DUMMYFUNCTION("""COMPUTED_VALUE"""),"Germany-Munich")</f>
        <v>Germany-Munich</v>
      </c>
      <c r="C53" s="2" t="str">
        <f>IFERROR(__xludf.DUMMYFUNCTION("""COMPUTED_VALUE"""),"M")</f>
        <v>M</v>
      </c>
      <c r="D53" s="2" t="str">
        <f>IFERROR(__xludf.DUMMYFUNCTION("""COMPUTED_VALUE"""),"58,73")</f>
        <v>58,73</v>
      </c>
    </row>
    <row r="54">
      <c r="A54" s="2">
        <f>IFERROR(__xludf.DUMMYFUNCTION("""COMPUTED_VALUE"""),62.0)</f>
        <v>62</v>
      </c>
      <c r="B54" s="2" t="str">
        <f>IFERROR(__xludf.DUMMYFUNCTION("""COMPUTED_VALUE"""),"China-Beijing")</f>
        <v>China-Beijing</v>
      </c>
      <c r="C54" s="2" t="str">
        <f>IFERROR(__xludf.DUMMYFUNCTION("""COMPUTED_VALUE"""),"M")</f>
        <v>M</v>
      </c>
      <c r="D54" s="2" t="str">
        <f>IFERROR(__xludf.DUMMYFUNCTION("""COMPUTED_VALUE"""),"48,44")</f>
        <v>48,44</v>
      </c>
    </row>
    <row r="55">
      <c r="A55" s="2">
        <f>IFERROR(__xludf.DUMMYFUNCTION("""COMPUTED_VALUE"""),27.0)</f>
        <v>27</v>
      </c>
      <c r="B55" s="2" t="str">
        <f>IFERROR(__xludf.DUMMYFUNCTION("""COMPUTED_VALUE"""),"Austria-Vienna")</f>
        <v>Austria-Vienna</v>
      </c>
      <c r="C55" s="2" t="str">
        <f>IFERROR(__xludf.DUMMYFUNCTION("""COMPUTED_VALUE"""),"M")</f>
        <v>M</v>
      </c>
      <c r="D55" s="2" t="str">
        <f>IFERROR(__xludf.DUMMYFUNCTION("""COMPUTED_VALUE"""),"58,52")</f>
        <v>58,52</v>
      </c>
    </row>
    <row r="56">
      <c r="A56" s="2">
        <f>IFERROR(__xludf.DUMMYFUNCTION("""COMPUTED_VALUE"""),63.0)</f>
        <v>63</v>
      </c>
      <c r="B56" s="2" t="str">
        <f>IFERROR(__xludf.DUMMYFUNCTION("""COMPUTED_VALUE"""),"United Arab Emirates-Dubai")</f>
        <v>United Arab Emirates-Dubai</v>
      </c>
      <c r="C56" s="2" t="str">
        <f>IFERROR(__xludf.DUMMYFUNCTION("""COMPUTED_VALUE"""),"M")</f>
        <v>M</v>
      </c>
      <c r="D56" s="2" t="str">
        <f>IFERROR(__xludf.DUMMYFUNCTION("""COMPUTED_VALUE"""),"48,09")</f>
        <v>48,09</v>
      </c>
    </row>
    <row r="57">
      <c r="A57" s="2">
        <f>IFERROR(__xludf.DUMMYFUNCTION("""COMPUTED_VALUE"""),28.0)</f>
        <v>28</v>
      </c>
      <c r="B57" s="2" t="str">
        <f>IFERROR(__xludf.DUMMYFUNCTION("""COMPUTED_VALUE"""),"Germany-Berlin")</f>
        <v>Germany-Berlin</v>
      </c>
      <c r="C57" s="2" t="str">
        <f>IFERROR(__xludf.DUMMYFUNCTION("""COMPUTED_VALUE"""),"M")</f>
        <v>M</v>
      </c>
      <c r="D57" s="2" t="str">
        <f>IFERROR(__xludf.DUMMYFUNCTION("""COMPUTED_VALUE"""),"58,51")</f>
        <v>58,51</v>
      </c>
    </row>
    <row r="58">
      <c r="A58" s="2">
        <f>IFERROR(__xludf.DUMMYFUNCTION("""COMPUTED_VALUE"""),64.0)</f>
        <v>64</v>
      </c>
      <c r="B58" s="2" t="str">
        <f>IFERROR(__xludf.DUMMYFUNCTION("""COMPUTED_VALUE"""),"South Korea-Daejeon")</f>
        <v>South Korea-Daejeon</v>
      </c>
      <c r="C58" s="2" t="str">
        <f>IFERROR(__xludf.DUMMYFUNCTION("""COMPUTED_VALUE"""),"M")</f>
        <v>M</v>
      </c>
      <c r="D58" s="2" t="str">
        <f>IFERROR(__xludf.DUMMYFUNCTION("""COMPUTED_VALUE"""),"48,07")</f>
        <v>48,07</v>
      </c>
    </row>
    <row r="59">
      <c r="A59" s="2">
        <f>IFERROR(__xludf.DUMMYFUNCTION("""COMPUTED_VALUE"""),29.0)</f>
        <v>29</v>
      </c>
      <c r="B59" s="2" t="str">
        <f>IFERROR(__xludf.DUMMYFUNCTION("""COMPUTED_VALUE"""),"Canada-Toronto")</f>
        <v>Canada-Toronto</v>
      </c>
      <c r="C59" s="2" t="str">
        <f>IFERROR(__xludf.DUMMYFUNCTION("""COMPUTED_VALUE"""),"M")</f>
        <v>M</v>
      </c>
      <c r="D59" s="2" t="str">
        <f>IFERROR(__xludf.DUMMYFUNCTION("""COMPUTED_VALUE"""),"58,05")</f>
        <v>58,05</v>
      </c>
    </row>
    <row r="60">
      <c r="A60" s="2">
        <f>IFERROR(__xludf.DUMMYFUNCTION("""COMPUTED_VALUE"""),65.0)</f>
        <v>65</v>
      </c>
      <c r="B60" s="2" t="str">
        <f>IFERROR(__xludf.DUMMYFUNCTION("""COMPUTED_VALUE"""),"Czech Republic-Prague")</f>
        <v>Czech Republic-Prague</v>
      </c>
      <c r="C60" s="2" t="str">
        <f>IFERROR(__xludf.DUMMYFUNCTION("""COMPUTED_VALUE"""),"M")</f>
        <v>M</v>
      </c>
      <c r="D60" s="2" t="str">
        <f>IFERROR(__xludf.DUMMYFUNCTION("""COMPUTED_VALUE"""),"48,05")</f>
        <v>48,05</v>
      </c>
    </row>
    <row r="61">
      <c r="A61" s="2">
        <f>IFERROR(__xludf.DUMMYFUNCTION("""COMPUTED_VALUE"""),30.0)</f>
        <v>30</v>
      </c>
      <c r="B61" s="2" t="str">
        <f>IFERROR(__xludf.DUMMYFUNCTION("""COMPUTED_VALUE"""),"Canada-Ottawa - Gatineau")</f>
        <v>Canada-Ottawa - Gatineau</v>
      </c>
      <c r="C61" s="2" t="str">
        <f>IFERROR(__xludf.DUMMYFUNCTION("""COMPUTED_VALUE"""),"M")</f>
        <v>M</v>
      </c>
      <c r="D61" s="2" t="str">
        <f>IFERROR(__xludf.DUMMYFUNCTION("""COMPUTED_VALUE"""),"57,76")</f>
        <v>57,76</v>
      </c>
    </row>
    <row r="62">
      <c r="A62" s="2">
        <f>IFERROR(__xludf.DUMMYFUNCTION("""COMPUTED_VALUE"""),66.0)</f>
        <v>66</v>
      </c>
      <c r="B62" s="2" t="str">
        <f>IFERROR(__xludf.DUMMYFUNCTION("""COMPUTED_VALUE"""),"Thailand-Bangkok")</f>
        <v>Thailand-Bangkok</v>
      </c>
      <c r="C62" s="2" t="str">
        <f>IFERROR(__xludf.DUMMYFUNCTION("""COMPUTED_VALUE"""),"M")</f>
        <v>M</v>
      </c>
      <c r="D62" s="2" t="str">
        <f>IFERROR(__xludf.DUMMYFUNCTION("""COMPUTED_VALUE"""),"47,65")</f>
        <v>47,65</v>
      </c>
    </row>
    <row r="63">
      <c r="A63" s="2">
        <f>IFERROR(__xludf.DUMMYFUNCTION("""COMPUTED_VALUE"""),31.0)</f>
        <v>31</v>
      </c>
      <c r="B63" s="2" t="str">
        <f>IFERROR(__xludf.DUMMYFUNCTION("""COMPUTED_VALUE"""),"Finland-Helsinki")</f>
        <v>Finland-Helsinki</v>
      </c>
      <c r="C63" s="2" t="str">
        <f>IFERROR(__xludf.DUMMYFUNCTION("""COMPUTED_VALUE"""),"M")</f>
        <v>M</v>
      </c>
      <c r="D63" s="2" t="str">
        <f>IFERROR(__xludf.DUMMYFUNCTION("""COMPUTED_VALUE"""),"57,64")</f>
        <v>57,64</v>
      </c>
    </row>
    <row r="64">
      <c r="A64" s="2">
        <f>IFERROR(__xludf.DUMMYFUNCTION("""COMPUTED_VALUE"""),67.0)</f>
        <v>67</v>
      </c>
      <c r="B64" s="2" t="str">
        <f>IFERROR(__xludf.DUMMYFUNCTION("""COMPUTED_VALUE"""),"Portugal-Porto")</f>
        <v>Portugal-Porto</v>
      </c>
      <c r="C64" s="2" t="str">
        <f>IFERROR(__xludf.DUMMYFUNCTION("""COMPUTED_VALUE"""),"M")</f>
        <v>M</v>
      </c>
      <c r="D64" s="2" t="str">
        <f>IFERROR(__xludf.DUMMYFUNCTION("""COMPUTED_VALUE"""),"47,63")</f>
        <v>47,63</v>
      </c>
    </row>
    <row r="65">
      <c r="A65" s="2">
        <f>IFERROR(__xludf.DUMMYFUNCTION("""COMPUTED_VALUE"""),32.0)</f>
        <v>32</v>
      </c>
      <c r="B65" s="2" t="str">
        <f>IFERROR(__xludf.DUMMYFUNCTION("""COMPUTED_VALUE"""),"United Kingdom-Nottingham")</f>
        <v>United Kingdom-Nottingham</v>
      </c>
      <c r="C65" s="2" t="str">
        <f>IFERROR(__xludf.DUMMYFUNCTION("""COMPUTED_VALUE"""),"M")</f>
        <v>M</v>
      </c>
      <c r="D65" s="2" t="str">
        <f>IFERROR(__xludf.DUMMYFUNCTION("""COMPUTED_VALUE"""),"56,59")</f>
        <v>56,59</v>
      </c>
    </row>
    <row r="66">
      <c r="A66" s="2">
        <f>IFERROR(__xludf.DUMMYFUNCTION("""COMPUTED_VALUE"""),68.0)</f>
        <v>68</v>
      </c>
      <c r="B66" s="2" t="str">
        <f>IFERROR(__xludf.DUMMYFUNCTION("""COMPUTED_VALUE"""),"South Korea-Daegu")</f>
        <v>South Korea-Daegu</v>
      </c>
      <c r="C66" s="2" t="str">
        <f>IFERROR(__xludf.DUMMYFUNCTION("""COMPUTED_VALUE"""),"M")</f>
        <v>M</v>
      </c>
      <c r="D66" s="2" t="str">
        <f>IFERROR(__xludf.DUMMYFUNCTION("""COMPUTED_VALUE"""),"47,24")</f>
        <v>47,24</v>
      </c>
    </row>
    <row r="67">
      <c r="A67" s="2">
        <f>IFERROR(__xludf.DUMMYFUNCTION("""COMPUTED_VALUE"""),33.0)</f>
        <v>33</v>
      </c>
      <c r="B67" s="2" t="str">
        <f>IFERROR(__xludf.DUMMYFUNCTION("""COMPUTED_VALUE"""),"Germany-Cologne")</f>
        <v>Germany-Cologne</v>
      </c>
      <c r="C67" s="2" t="str">
        <f>IFERROR(__xludf.DUMMYFUNCTION("""COMPUTED_VALUE"""),"M")</f>
        <v>M</v>
      </c>
      <c r="D67" s="2" t="str">
        <f>IFERROR(__xludf.DUMMYFUNCTION("""COMPUTED_VALUE"""),"55,65")</f>
        <v>55,65</v>
      </c>
    </row>
    <row r="68">
      <c r="A68" s="2">
        <f>IFERROR(__xludf.DUMMYFUNCTION("""COMPUTED_VALUE"""),69.0)</f>
        <v>69</v>
      </c>
      <c r="B68" s="2" t="str">
        <f>IFERROR(__xludf.DUMMYFUNCTION("""COMPUTED_VALUE"""),"Italy-Turin")</f>
        <v>Italy-Turin</v>
      </c>
      <c r="C68" s="2" t="str">
        <f>IFERROR(__xludf.DUMMYFUNCTION("""COMPUTED_VALUE"""),"M")</f>
        <v>M</v>
      </c>
      <c r="D68" s="2" t="str">
        <f>IFERROR(__xludf.DUMMYFUNCTION("""COMPUTED_VALUE"""),"46,59")</f>
        <v>46,59</v>
      </c>
    </row>
    <row r="69">
      <c r="A69" s="2">
        <f>IFERROR(__xludf.DUMMYFUNCTION("""COMPUTED_VALUE"""),34.0)</f>
        <v>34</v>
      </c>
      <c r="B69" s="2" t="str">
        <f>IFERROR(__xludf.DUMMYFUNCTION("""COMPUTED_VALUE"""),"Israel-Tel Aviv")</f>
        <v>Israel-Tel Aviv</v>
      </c>
      <c r="C69" s="2" t="str">
        <f>IFERROR(__xludf.DUMMYFUNCTION("""COMPUTED_VALUE"""),"M")</f>
        <v>M</v>
      </c>
      <c r="D69" s="2" t="str">
        <f>IFERROR(__xludf.DUMMYFUNCTION("""COMPUTED_VALUE"""),"55,59")</f>
        <v>55,59</v>
      </c>
    </row>
    <row r="70">
      <c r="A70" s="2">
        <f>IFERROR(__xludf.DUMMYFUNCTION("""COMPUTED_VALUE"""),70.0)</f>
        <v>70</v>
      </c>
      <c r="B70" s="2" t="str">
        <f>IFERROR(__xludf.DUMMYFUNCTION("""COMPUTED_VALUE"""),"United Arab Emirates-Abu Dhabi")</f>
        <v>United Arab Emirates-Abu Dhabi</v>
      </c>
      <c r="C70" s="2" t="str">
        <f>IFERROR(__xludf.DUMMYFUNCTION("""COMPUTED_VALUE"""),"M")</f>
        <v>M</v>
      </c>
      <c r="D70" s="2" t="str">
        <f>IFERROR(__xludf.DUMMYFUNCTION("""COMPUTED_VALUE"""),"46,08")</f>
        <v>46,08</v>
      </c>
    </row>
    <row r="71">
      <c r="A71" s="2">
        <f>IFERROR(__xludf.DUMMYFUNCTION("""COMPUTED_VALUE"""),35.0)</f>
        <v>35</v>
      </c>
      <c r="B71" s="2" t="str">
        <f>IFERROR(__xludf.DUMMYFUNCTION("""COMPUTED_VALUE"""),"Germany-Stuttgart")</f>
        <v>Germany-Stuttgart</v>
      </c>
      <c r="C71" s="2" t="str">
        <f>IFERROR(__xludf.DUMMYFUNCTION("""COMPUTED_VALUE"""),"M")</f>
        <v>M</v>
      </c>
      <c r="D71" s="2" t="str">
        <f>IFERROR(__xludf.DUMMYFUNCTION("""COMPUTED_VALUE"""),"55,45")</f>
        <v>55,45</v>
      </c>
    </row>
    <row r="72">
      <c r="A72" s="2">
        <f>IFERROR(__xludf.DUMMYFUNCTION("""COMPUTED_VALUE"""),71.0)</f>
        <v>71</v>
      </c>
      <c r="B72" s="2" t="str">
        <f>IFERROR(__xludf.DUMMYFUNCTION("""COMPUTED_VALUE"""),"Spain-Valencia")</f>
        <v>Spain-Valencia</v>
      </c>
      <c r="C72" s="2" t="str">
        <f>IFERROR(__xludf.DUMMYFUNCTION("""COMPUTED_VALUE"""),"M")</f>
        <v>M</v>
      </c>
      <c r="D72" s="2" t="str">
        <f>IFERROR(__xludf.DUMMYFUNCTION("""COMPUTED_VALUE"""),"45,87")</f>
        <v>45,87</v>
      </c>
    </row>
    <row r="73">
      <c r="A73" s="2">
        <f>IFERROR(__xludf.DUMMYFUNCTION("""COMPUTED_VALUE"""),36.0)</f>
        <v>36</v>
      </c>
      <c r="B73" s="2" t="str">
        <f>IFERROR(__xludf.DUMMYFUNCTION("""COMPUTED_VALUE"""),"United Kingdom-Liverpool")</f>
        <v>United Kingdom-Liverpool</v>
      </c>
      <c r="C73" s="2" t="str">
        <f>IFERROR(__xludf.DUMMYFUNCTION("""COMPUTED_VALUE"""),"M")</f>
        <v>M</v>
      </c>
      <c r="D73" s="2" t="str">
        <f>IFERROR(__xludf.DUMMYFUNCTION("""COMPUTED_VALUE"""),"54,87")</f>
        <v>54,87</v>
      </c>
    </row>
    <row r="74">
      <c r="A74" s="2">
        <f>IFERROR(__xludf.DUMMYFUNCTION("""COMPUTED_VALUE"""),72.0)</f>
        <v>72</v>
      </c>
      <c r="B74" s="2" t="str">
        <f>IFERROR(__xludf.DUMMYFUNCTION("""COMPUTED_VALUE"""),"South Korea-Busan")</f>
        <v>South Korea-Busan</v>
      </c>
      <c r="C74" s="2" t="str">
        <f>IFERROR(__xludf.DUMMYFUNCTION("""COMPUTED_VALUE"""),"B")</f>
        <v>B</v>
      </c>
      <c r="D74" s="2" t="str">
        <f>IFERROR(__xludf.DUMMYFUNCTION("""COMPUTED_VALUE"""),"44,98")</f>
        <v>44,98</v>
      </c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639</v>
      </c>
    </row>
    <row r="2">
      <c r="A2" s="1" t="s">
        <v>569</v>
      </c>
    </row>
    <row r="3">
      <c r="A3" s="1" t="s">
        <v>640</v>
      </c>
    </row>
    <row r="4">
      <c r="A4" s="1" t="s">
        <v>641</v>
      </c>
    </row>
    <row r="5">
      <c r="A5" s="1" t="s">
        <v>639</v>
      </c>
    </row>
    <row r="6">
      <c r="A6" s="1" t="s">
        <v>569</v>
      </c>
    </row>
    <row r="7">
      <c r="A7" s="1" t="s">
        <v>640</v>
      </c>
    </row>
    <row r="8">
      <c r="A8" s="1" t="s">
        <v>641</v>
      </c>
    </row>
    <row r="9">
      <c r="A9" s="1">
        <v>73.0</v>
      </c>
    </row>
    <row r="10">
      <c r="A10" s="1" t="s">
        <v>789</v>
      </c>
    </row>
    <row r="11">
      <c r="A11" s="1" t="s">
        <v>787</v>
      </c>
    </row>
    <row r="12">
      <c r="A12" s="1" t="s">
        <v>790</v>
      </c>
    </row>
    <row r="13">
      <c r="A13" s="1">
        <v>109.0</v>
      </c>
    </row>
    <row r="14">
      <c r="A14" s="1" t="s">
        <v>791</v>
      </c>
    </row>
    <row r="15">
      <c r="A15" s="1" t="s">
        <v>787</v>
      </c>
    </row>
    <row r="16">
      <c r="A16" s="1" t="s">
        <v>792</v>
      </c>
    </row>
    <row r="17">
      <c r="A17" s="1">
        <v>74.0</v>
      </c>
    </row>
    <row r="18">
      <c r="A18" s="1" t="s">
        <v>793</v>
      </c>
    </row>
    <row r="19">
      <c r="A19" s="1" t="s">
        <v>787</v>
      </c>
    </row>
    <row r="20">
      <c r="A20" s="1" t="s">
        <v>794</v>
      </c>
    </row>
    <row r="21">
      <c r="A21" s="1">
        <v>110.0</v>
      </c>
    </row>
    <row r="22">
      <c r="A22" s="1" t="s">
        <v>795</v>
      </c>
    </row>
    <row r="23">
      <c r="A23" s="1" t="s">
        <v>787</v>
      </c>
    </row>
    <row r="24">
      <c r="A24" s="1" t="s">
        <v>796</v>
      </c>
    </row>
    <row r="25">
      <c r="A25" s="1">
        <v>75.0</v>
      </c>
    </row>
    <row r="26">
      <c r="A26" s="1" t="s">
        <v>797</v>
      </c>
    </row>
    <row r="27">
      <c r="A27" s="1" t="s">
        <v>787</v>
      </c>
    </row>
    <row r="28">
      <c r="A28" s="1" t="s">
        <v>798</v>
      </c>
    </row>
    <row r="29">
      <c r="A29" s="1">
        <v>111.0</v>
      </c>
    </row>
    <row r="30">
      <c r="A30" s="1" t="s">
        <v>799</v>
      </c>
    </row>
    <row r="31">
      <c r="A31" s="1" t="s">
        <v>787</v>
      </c>
    </row>
    <row r="32">
      <c r="A32" s="1" t="s">
        <v>800</v>
      </c>
    </row>
    <row r="33">
      <c r="A33" s="1">
        <v>76.0</v>
      </c>
    </row>
    <row r="34">
      <c r="A34" s="1" t="s">
        <v>801</v>
      </c>
    </row>
    <row r="35">
      <c r="A35" s="1" t="s">
        <v>787</v>
      </c>
    </row>
    <row r="36">
      <c r="A36" s="1" t="s">
        <v>802</v>
      </c>
    </row>
    <row r="37">
      <c r="A37" s="1">
        <v>112.0</v>
      </c>
    </row>
    <row r="38">
      <c r="A38" s="1" t="s">
        <v>803</v>
      </c>
    </row>
    <row r="39">
      <c r="A39" s="1" t="s">
        <v>787</v>
      </c>
    </row>
    <row r="40">
      <c r="A40" s="1" t="s">
        <v>804</v>
      </c>
    </row>
    <row r="41">
      <c r="A41" s="1">
        <v>77.0</v>
      </c>
    </row>
    <row r="42">
      <c r="A42" s="1" t="s">
        <v>805</v>
      </c>
    </row>
    <row r="43">
      <c r="A43" s="1" t="s">
        <v>787</v>
      </c>
    </row>
    <row r="44">
      <c r="A44" s="1" t="s">
        <v>806</v>
      </c>
    </row>
    <row r="45">
      <c r="A45" s="1">
        <v>113.0</v>
      </c>
    </row>
    <row r="46">
      <c r="A46" s="1" t="s">
        <v>807</v>
      </c>
    </row>
    <row r="47">
      <c r="A47" s="1" t="s">
        <v>787</v>
      </c>
    </row>
    <row r="48">
      <c r="A48" s="1" t="s">
        <v>808</v>
      </c>
    </row>
    <row r="49">
      <c r="A49" s="1">
        <v>78.0</v>
      </c>
    </row>
    <row r="50">
      <c r="A50" s="1" t="s">
        <v>809</v>
      </c>
    </row>
    <row r="51">
      <c r="A51" s="1" t="s">
        <v>787</v>
      </c>
    </row>
    <row r="52">
      <c r="A52" s="1" t="s">
        <v>810</v>
      </c>
    </row>
    <row r="53">
      <c r="A53" s="1">
        <v>114.0</v>
      </c>
    </row>
    <row r="54">
      <c r="A54" s="1" t="s">
        <v>811</v>
      </c>
    </row>
    <row r="55">
      <c r="A55" s="1" t="s">
        <v>787</v>
      </c>
    </row>
    <row r="56">
      <c r="A56" s="1" t="s">
        <v>812</v>
      </c>
    </row>
    <row r="57">
      <c r="A57" s="1">
        <v>79.0</v>
      </c>
    </row>
    <row r="58">
      <c r="A58" s="1" t="s">
        <v>813</v>
      </c>
    </row>
    <row r="59">
      <c r="A59" s="1" t="s">
        <v>787</v>
      </c>
    </row>
    <row r="60">
      <c r="A60" s="1" t="s">
        <v>814</v>
      </c>
    </row>
    <row r="61">
      <c r="A61" s="1">
        <v>115.0</v>
      </c>
    </row>
    <row r="62">
      <c r="A62" s="1" t="s">
        <v>815</v>
      </c>
    </row>
    <row r="63">
      <c r="A63" s="1" t="s">
        <v>787</v>
      </c>
    </row>
    <row r="64">
      <c r="A64" s="1" t="s">
        <v>816</v>
      </c>
    </row>
    <row r="65">
      <c r="A65" s="1">
        <v>80.0</v>
      </c>
    </row>
    <row r="66">
      <c r="A66" s="1" t="s">
        <v>817</v>
      </c>
    </row>
    <row r="67">
      <c r="A67" s="1" t="s">
        <v>787</v>
      </c>
    </row>
    <row r="68">
      <c r="A68" s="1" t="s">
        <v>818</v>
      </c>
    </row>
    <row r="69">
      <c r="A69" s="1">
        <v>116.0</v>
      </c>
    </row>
    <row r="70">
      <c r="A70" s="1" t="s">
        <v>819</v>
      </c>
    </row>
    <row r="71">
      <c r="A71" s="1" t="s">
        <v>787</v>
      </c>
    </row>
    <row r="72">
      <c r="A72" s="1" t="s">
        <v>820</v>
      </c>
    </row>
    <row r="73">
      <c r="A73" s="1">
        <v>81.0</v>
      </c>
    </row>
    <row r="74">
      <c r="A74" s="1" t="s">
        <v>821</v>
      </c>
    </row>
    <row r="75">
      <c r="A75" s="1" t="s">
        <v>787</v>
      </c>
    </row>
    <row r="76">
      <c r="A76" s="1" t="s">
        <v>822</v>
      </c>
    </row>
    <row r="77">
      <c r="A77" s="1">
        <v>117.0</v>
      </c>
    </row>
    <row r="78">
      <c r="A78" s="1" t="s">
        <v>823</v>
      </c>
    </row>
    <row r="79">
      <c r="A79" s="1" t="s">
        <v>787</v>
      </c>
    </row>
    <row r="80">
      <c r="A80" s="1" t="s">
        <v>824</v>
      </c>
    </row>
    <row r="81">
      <c r="A81" s="1">
        <v>82.0</v>
      </c>
    </row>
    <row r="82">
      <c r="A82" s="1" t="s">
        <v>825</v>
      </c>
    </row>
    <row r="83">
      <c r="A83" s="1" t="s">
        <v>787</v>
      </c>
    </row>
    <row r="84">
      <c r="A84" s="1" t="s">
        <v>826</v>
      </c>
    </row>
    <row r="85">
      <c r="A85" s="1">
        <v>118.0</v>
      </c>
    </row>
    <row r="86">
      <c r="A86" s="1" t="s">
        <v>827</v>
      </c>
    </row>
    <row r="87">
      <c r="A87" s="1" t="s">
        <v>787</v>
      </c>
    </row>
    <row r="88">
      <c r="A88" s="1" t="s">
        <v>828</v>
      </c>
    </row>
    <row r="89">
      <c r="A89" s="1">
        <v>83.0</v>
      </c>
    </row>
    <row r="90">
      <c r="A90" s="1" t="s">
        <v>829</v>
      </c>
    </row>
    <row r="91">
      <c r="A91" s="1" t="s">
        <v>787</v>
      </c>
    </row>
    <row r="92">
      <c r="A92" s="1" t="s">
        <v>830</v>
      </c>
    </row>
    <row r="93">
      <c r="A93" s="1">
        <v>119.0</v>
      </c>
    </row>
    <row r="94">
      <c r="A94" s="1" t="s">
        <v>831</v>
      </c>
    </row>
    <row r="95">
      <c r="A95" s="1" t="s">
        <v>787</v>
      </c>
    </row>
    <row r="96">
      <c r="A96" s="1" t="s">
        <v>832</v>
      </c>
    </row>
    <row r="97">
      <c r="A97" s="1">
        <v>84.0</v>
      </c>
    </row>
    <row r="98">
      <c r="A98" s="1" t="s">
        <v>833</v>
      </c>
    </row>
    <row r="99">
      <c r="A99" s="1" t="s">
        <v>787</v>
      </c>
    </row>
    <row r="100">
      <c r="A100" s="1" t="s">
        <v>834</v>
      </c>
    </row>
    <row r="101">
      <c r="A101" s="1">
        <v>120.0</v>
      </c>
    </row>
    <row r="102">
      <c r="A102" s="1" t="s">
        <v>835</v>
      </c>
    </row>
    <row r="103">
      <c r="A103" s="1" t="s">
        <v>787</v>
      </c>
    </row>
    <row r="104">
      <c r="A104" s="1" t="s">
        <v>836</v>
      </c>
    </row>
    <row r="105">
      <c r="A105" s="1">
        <v>85.0</v>
      </c>
    </row>
    <row r="106">
      <c r="A106" s="1" t="s">
        <v>837</v>
      </c>
    </row>
    <row r="107">
      <c r="A107" s="1" t="s">
        <v>787</v>
      </c>
    </row>
    <row r="108">
      <c r="A108" s="1" t="s">
        <v>838</v>
      </c>
    </row>
    <row r="109">
      <c r="A109" s="1">
        <v>121.0</v>
      </c>
    </row>
    <row r="110">
      <c r="A110" s="1" t="s">
        <v>839</v>
      </c>
    </row>
    <row r="111">
      <c r="A111" s="1" t="s">
        <v>787</v>
      </c>
    </row>
    <row r="112">
      <c r="A112" s="1" t="s">
        <v>840</v>
      </c>
    </row>
    <row r="113">
      <c r="A113" s="1">
        <v>86.0</v>
      </c>
    </row>
    <row r="114">
      <c r="A114" s="1" t="s">
        <v>841</v>
      </c>
    </row>
    <row r="115">
      <c r="A115" s="1" t="s">
        <v>787</v>
      </c>
    </row>
    <row r="116">
      <c r="A116" s="1" t="s">
        <v>842</v>
      </c>
    </row>
    <row r="117">
      <c r="A117" s="1">
        <v>122.0</v>
      </c>
    </row>
    <row r="118">
      <c r="A118" s="1" t="s">
        <v>843</v>
      </c>
    </row>
    <row r="119">
      <c r="A119" s="1" t="s">
        <v>787</v>
      </c>
    </row>
    <row r="120">
      <c r="A120" s="1" t="s">
        <v>844</v>
      </c>
    </row>
    <row r="121">
      <c r="A121" s="1">
        <v>87.0</v>
      </c>
    </row>
    <row r="122">
      <c r="A122" s="1" t="s">
        <v>845</v>
      </c>
    </row>
    <row r="123">
      <c r="A123" s="1" t="s">
        <v>787</v>
      </c>
    </row>
    <row r="124">
      <c r="A124" s="1" t="s">
        <v>846</v>
      </c>
    </row>
    <row r="125">
      <c r="A125" s="1">
        <v>123.0</v>
      </c>
    </row>
    <row r="126">
      <c r="A126" s="1" t="s">
        <v>847</v>
      </c>
    </row>
    <row r="127">
      <c r="A127" s="1" t="s">
        <v>787</v>
      </c>
    </row>
    <row r="128">
      <c r="A128" s="1" t="s">
        <v>848</v>
      </c>
    </row>
    <row r="129">
      <c r="A129" s="1">
        <v>88.0</v>
      </c>
    </row>
    <row r="130">
      <c r="A130" s="1" t="s">
        <v>849</v>
      </c>
    </row>
    <row r="131">
      <c r="A131" s="1" t="s">
        <v>787</v>
      </c>
    </row>
    <row r="132">
      <c r="A132" s="1" t="s">
        <v>850</v>
      </c>
    </row>
    <row r="133">
      <c r="A133" s="1">
        <v>124.0</v>
      </c>
    </row>
    <row r="134">
      <c r="A134" s="1" t="s">
        <v>851</v>
      </c>
    </row>
    <row r="135">
      <c r="A135" s="1" t="s">
        <v>787</v>
      </c>
    </row>
    <row r="136">
      <c r="A136" s="1" t="s">
        <v>852</v>
      </c>
    </row>
    <row r="137">
      <c r="A137" s="1">
        <v>89.0</v>
      </c>
    </row>
    <row r="138">
      <c r="A138" s="1" t="s">
        <v>853</v>
      </c>
    </row>
    <row r="139">
      <c r="A139" s="1" t="s">
        <v>787</v>
      </c>
    </row>
    <row r="140">
      <c r="A140" s="1" t="s">
        <v>854</v>
      </c>
    </row>
    <row r="141">
      <c r="A141" s="1">
        <v>125.0</v>
      </c>
    </row>
    <row r="142">
      <c r="A142" s="1" t="s">
        <v>855</v>
      </c>
    </row>
    <row r="143">
      <c r="A143" s="1" t="s">
        <v>787</v>
      </c>
    </row>
    <row r="144">
      <c r="A144" s="1" t="s">
        <v>856</v>
      </c>
    </row>
    <row r="145">
      <c r="A145" s="1">
        <v>90.0</v>
      </c>
    </row>
    <row r="146">
      <c r="A146" s="1" t="s">
        <v>857</v>
      </c>
    </row>
    <row r="147">
      <c r="A147" s="1" t="s">
        <v>787</v>
      </c>
    </row>
    <row r="148">
      <c r="A148" s="1" t="s">
        <v>858</v>
      </c>
    </row>
    <row r="149">
      <c r="A149" s="1">
        <v>126.0</v>
      </c>
    </row>
    <row r="150">
      <c r="A150" s="1" t="s">
        <v>859</v>
      </c>
    </row>
    <row r="151">
      <c r="A151" s="1" t="s">
        <v>787</v>
      </c>
    </row>
    <row r="152">
      <c r="A152" s="1" t="s">
        <v>860</v>
      </c>
    </row>
    <row r="153">
      <c r="A153" s="1">
        <v>91.0</v>
      </c>
    </row>
    <row r="154">
      <c r="A154" s="1" t="s">
        <v>861</v>
      </c>
    </row>
    <row r="155">
      <c r="A155" s="1" t="s">
        <v>787</v>
      </c>
    </row>
    <row r="156">
      <c r="A156" s="1" t="s">
        <v>862</v>
      </c>
    </row>
    <row r="157">
      <c r="A157" s="1">
        <v>127.0</v>
      </c>
    </row>
    <row r="158">
      <c r="A158" s="1" t="s">
        <v>863</v>
      </c>
    </row>
    <row r="159">
      <c r="A159" s="1" t="s">
        <v>787</v>
      </c>
    </row>
    <row r="160">
      <c r="A160" s="1" t="s">
        <v>864</v>
      </c>
    </row>
    <row r="161">
      <c r="A161" s="1">
        <v>92.0</v>
      </c>
    </row>
    <row r="162">
      <c r="A162" s="1" t="s">
        <v>865</v>
      </c>
    </row>
    <row r="163">
      <c r="A163" s="1" t="s">
        <v>787</v>
      </c>
    </row>
    <row r="164">
      <c r="A164" s="1" t="s">
        <v>866</v>
      </c>
    </row>
    <row r="165">
      <c r="A165" s="1">
        <v>128.0</v>
      </c>
    </row>
    <row r="166">
      <c r="A166" s="1" t="s">
        <v>867</v>
      </c>
    </row>
    <row r="167">
      <c r="A167" s="1" t="s">
        <v>787</v>
      </c>
    </row>
    <row r="168">
      <c r="A168" s="1" t="s">
        <v>868</v>
      </c>
    </row>
    <row r="169">
      <c r="A169" s="1">
        <v>93.0</v>
      </c>
    </row>
    <row r="170">
      <c r="A170" s="1" t="s">
        <v>869</v>
      </c>
    </row>
    <row r="171">
      <c r="A171" s="1" t="s">
        <v>787</v>
      </c>
    </row>
    <row r="172">
      <c r="A172" s="1" t="s">
        <v>870</v>
      </c>
    </row>
    <row r="173">
      <c r="A173" s="1">
        <v>129.0</v>
      </c>
    </row>
    <row r="174">
      <c r="A174" s="1" t="s">
        <v>871</v>
      </c>
    </row>
    <row r="175">
      <c r="A175" s="1" t="s">
        <v>787</v>
      </c>
    </row>
    <row r="176">
      <c r="A176" s="1" t="s">
        <v>872</v>
      </c>
    </row>
    <row r="177">
      <c r="A177" s="1">
        <v>94.0</v>
      </c>
    </row>
    <row r="178">
      <c r="A178" s="1" t="s">
        <v>873</v>
      </c>
    </row>
    <row r="179">
      <c r="A179" s="1" t="s">
        <v>787</v>
      </c>
    </row>
    <row r="180">
      <c r="A180" s="1" t="s">
        <v>874</v>
      </c>
    </row>
    <row r="181">
      <c r="A181" s="1">
        <v>130.0</v>
      </c>
    </row>
    <row r="182">
      <c r="A182" s="1" t="s">
        <v>875</v>
      </c>
    </row>
    <row r="183">
      <c r="A183" s="1" t="s">
        <v>787</v>
      </c>
    </row>
    <row r="184">
      <c r="A184" s="1" t="s">
        <v>872</v>
      </c>
    </row>
    <row r="185">
      <c r="A185" s="1">
        <v>95.0</v>
      </c>
    </row>
    <row r="186">
      <c r="A186" s="1" t="s">
        <v>876</v>
      </c>
    </row>
    <row r="187">
      <c r="A187" s="1" t="s">
        <v>787</v>
      </c>
    </row>
    <row r="188">
      <c r="A188" s="1" t="s">
        <v>877</v>
      </c>
    </row>
    <row r="189">
      <c r="A189" s="1">
        <v>131.0</v>
      </c>
    </row>
    <row r="190">
      <c r="A190" s="1" t="s">
        <v>878</v>
      </c>
    </row>
    <row r="191">
      <c r="A191" s="1" t="s">
        <v>787</v>
      </c>
    </row>
    <row r="192">
      <c r="A192" s="1" t="s">
        <v>879</v>
      </c>
    </row>
    <row r="193">
      <c r="A193" s="1">
        <v>96.0</v>
      </c>
    </row>
    <row r="194">
      <c r="A194" s="1" t="s">
        <v>880</v>
      </c>
    </row>
    <row r="195">
      <c r="A195" s="1" t="s">
        <v>787</v>
      </c>
    </row>
    <row r="196">
      <c r="A196" s="1" t="s">
        <v>881</v>
      </c>
    </row>
    <row r="197">
      <c r="A197" s="1">
        <v>132.0</v>
      </c>
    </row>
    <row r="198">
      <c r="A198" s="1" t="s">
        <v>882</v>
      </c>
    </row>
    <row r="199">
      <c r="A199" s="1" t="s">
        <v>787</v>
      </c>
    </row>
    <row r="200">
      <c r="A200" s="1" t="s">
        <v>883</v>
      </c>
    </row>
    <row r="201">
      <c r="A201" s="1">
        <v>97.0</v>
      </c>
    </row>
    <row r="202">
      <c r="A202" s="1" t="s">
        <v>884</v>
      </c>
    </row>
    <row r="203">
      <c r="A203" s="1" t="s">
        <v>787</v>
      </c>
    </row>
    <row r="204">
      <c r="A204" s="1" t="s">
        <v>885</v>
      </c>
    </row>
    <row r="205">
      <c r="A205" s="1">
        <v>133.0</v>
      </c>
    </row>
    <row r="206">
      <c r="A206" s="1" t="s">
        <v>886</v>
      </c>
    </row>
    <row r="207">
      <c r="A207" s="1" t="s">
        <v>787</v>
      </c>
    </row>
    <row r="208">
      <c r="A208" s="1" t="s">
        <v>887</v>
      </c>
    </row>
    <row r="209">
      <c r="A209" s="1">
        <v>98.0</v>
      </c>
    </row>
    <row r="210">
      <c r="A210" s="1" t="s">
        <v>888</v>
      </c>
    </row>
    <row r="211">
      <c r="A211" s="1" t="s">
        <v>787</v>
      </c>
    </row>
    <row r="212">
      <c r="A212" s="1" t="s">
        <v>889</v>
      </c>
    </row>
    <row r="213">
      <c r="A213" s="1">
        <v>134.0</v>
      </c>
    </row>
    <row r="214">
      <c r="A214" s="1" t="s">
        <v>890</v>
      </c>
    </row>
    <row r="215">
      <c r="A215" s="1" t="s">
        <v>891</v>
      </c>
    </row>
    <row r="216">
      <c r="A216" s="1" t="s">
        <v>892</v>
      </c>
    </row>
    <row r="217">
      <c r="A217" s="1">
        <v>99.0</v>
      </c>
    </row>
    <row r="218">
      <c r="A218" s="1" t="s">
        <v>893</v>
      </c>
    </row>
    <row r="219">
      <c r="A219" s="1" t="s">
        <v>787</v>
      </c>
    </row>
    <row r="220">
      <c r="A220" s="1" t="s">
        <v>894</v>
      </c>
    </row>
    <row r="221">
      <c r="A221" s="1">
        <v>135.0</v>
      </c>
    </row>
    <row r="222">
      <c r="A222" s="1" t="s">
        <v>895</v>
      </c>
    </row>
    <row r="223">
      <c r="A223" s="1" t="s">
        <v>891</v>
      </c>
    </row>
    <row r="224">
      <c r="A224" s="1" t="s">
        <v>896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2" t="str">
        <f>IFERROR(__xludf.DUMMYFUNCTION("FILTER(IESE2014rawb!A:A, MOD(ROW(IESE2014rawb!A:A)-1, 4) = 0)"),"Ranking")</f>
        <v>Ranking</v>
      </c>
      <c r="B1" s="6" t="str">
        <f>IFERROR(__xludf.DUMMYFUNCTION("FILTER(IESE2014rawb!A:A, MOD(ROW(IESE2014rawb!A:A)-2, 4) = 0)"),"City")</f>
        <v>City</v>
      </c>
      <c r="C1" s="6" t="str">
        <f>IFERROR(__xludf.DUMMYFUNCTION("FILTER(IESE2014rawb!A:A, MOD(ROW(IESE2014rawb!A:A)-3, 4) = 0)"),"Performance")</f>
        <v>Performance</v>
      </c>
      <c r="D1" s="6" t="str">
        <f>IFERROR(__xludf.DUMMYFUNCTION("FILTER(IESE2014rawb!A:A, MOD(ROW(IESE2014rawb!A:A), 4) = 0)"),"CIMI")</f>
        <v>CIMI</v>
      </c>
    </row>
    <row r="2">
      <c r="A2" s="2" t="str">
        <f>IFERROR(__xludf.DUMMYFUNCTION("""COMPUTED_VALUE"""),"Ranking")</f>
        <v>Ranking</v>
      </c>
      <c r="B2" s="2" t="str">
        <f>IFERROR(__xludf.DUMMYFUNCTION("""COMPUTED_VALUE"""),"City")</f>
        <v>City</v>
      </c>
      <c r="C2" s="2" t="str">
        <f>IFERROR(__xludf.DUMMYFUNCTION("""COMPUTED_VALUE"""),"Performance")</f>
        <v>Performance</v>
      </c>
      <c r="D2" s="2" t="str">
        <f>IFERROR(__xludf.DUMMYFUNCTION("""COMPUTED_VALUE"""),"CIMI")</f>
        <v>CIMI</v>
      </c>
    </row>
    <row r="3">
      <c r="A3" s="2">
        <f>IFERROR(__xludf.DUMMYFUNCTION("""COMPUTED_VALUE"""),73.0)</f>
        <v>73</v>
      </c>
      <c r="B3" s="2" t="str">
        <f>IFERROR(__xludf.DUMMYFUNCTION("""COMPUTED_VALUE"""),"China-Shanghai")</f>
        <v>China-Shanghai</v>
      </c>
      <c r="C3" s="2" t="str">
        <f>IFERROR(__xludf.DUMMYFUNCTION("""COMPUTED_VALUE"""),"B")</f>
        <v>B</v>
      </c>
      <c r="D3" s="2" t="str">
        <f>IFERROR(__xludf.DUMMYFUNCTION("""COMPUTED_VALUE"""),"44,74")</f>
        <v>44,74</v>
      </c>
    </row>
    <row r="4">
      <c r="A4" s="2">
        <f>IFERROR(__xludf.DUMMYFUNCTION("""COMPUTED_VALUE"""),109.0)</f>
        <v>109</v>
      </c>
      <c r="B4" s="2" t="str">
        <f>IFERROR(__xludf.DUMMYFUNCTION("""COMPUTED_VALUE"""),"Peru-Lima")</f>
        <v>Peru-Lima</v>
      </c>
      <c r="C4" s="2" t="str">
        <f>IFERROR(__xludf.DUMMYFUNCTION("""COMPUTED_VALUE"""),"B")</f>
        <v>B</v>
      </c>
      <c r="D4" s="2" t="str">
        <f>IFERROR(__xludf.DUMMYFUNCTION("""COMPUTED_VALUE"""),"25,95")</f>
        <v>25,95</v>
      </c>
    </row>
    <row r="5">
      <c r="A5" s="2">
        <f>IFERROR(__xludf.DUMMYFUNCTION("""COMPUTED_VALUE"""),74.0)</f>
        <v>74</v>
      </c>
      <c r="B5" s="2" t="str">
        <f>IFERROR(__xludf.DUMMYFUNCTION("""COMPUTED_VALUE"""),"Hungary-Budapest")</f>
        <v>Hungary-Budapest</v>
      </c>
      <c r="C5" s="2" t="str">
        <f>IFERROR(__xludf.DUMMYFUNCTION("""COMPUTED_VALUE"""),"B")</f>
        <v>B</v>
      </c>
      <c r="D5" s="2" t="str">
        <f>IFERROR(__xludf.DUMMYFUNCTION("""COMPUTED_VALUE"""),"44,02")</f>
        <v>44,02</v>
      </c>
    </row>
    <row r="6">
      <c r="A6" s="2">
        <f>IFERROR(__xludf.DUMMYFUNCTION("""COMPUTED_VALUE"""),110.0)</f>
        <v>110</v>
      </c>
      <c r="B6" s="2" t="str">
        <f>IFERROR(__xludf.DUMMYFUNCTION("""COMPUTED_VALUE"""),"China-Shenyang")</f>
        <v>China-Shenyang</v>
      </c>
      <c r="C6" s="2" t="str">
        <f>IFERROR(__xludf.DUMMYFUNCTION("""COMPUTED_VALUE"""),"B")</f>
        <v>B</v>
      </c>
      <c r="D6" s="2" t="str">
        <f>IFERROR(__xludf.DUMMYFUNCTION("""COMPUTED_VALUE"""),"25,36")</f>
        <v>25,36</v>
      </c>
    </row>
    <row r="7">
      <c r="A7" s="2">
        <f>IFERROR(__xludf.DUMMYFUNCTION("""COMPUTED_VALUE"""),75.0)</f>
        <v>75</v>
      </c>
      <c r="B7" s="2" t="str">
        <f>IFERROR(__xludf.DUMMYFUNCTION("""COMPUTED_VALUE"""),"Turkey-Istanbul")</f>
        <v>Turkey-Istanbul</v>
      </c>
      <c r="C7" s="2" t="str">
        <f>IFERROR(__xludf.DUMMYFUNCTION("""COMPUTED_VALUE"""),"B")</f>
        <v>B</v>
      </c>
      <c r="D7" s="2" t="str">
        <f>IFERROR(__xludf.DUMMYFUNCTION("""COMPUTED_VALUE"""),"43,50")</f>
        <v>43,50</v>
      </c>
    </row>
    <row r="8">
      <c r="A8" s="2">
        <f>IFERROR(__xludf.DUMMYFUNCTION("""COMPUTED_VALUE"""),111.0)</f>
        <v>111</v>
      </c>
      <c r="B8" s="2" t="str">
        <f>IFERROR(__xludf.DUMMYFUNCTION("""COMPUTED_VALUE"""),"Russia-St Petersburg")</f>
        <v>Russia-St Petersburg</v>
      </c>
      <c r="C8" s="2" t="str">
        <f>IFERROR(__xludf.DUMMYFUNCTION("""COMPUTED_VALUE"""),"B")</f>
        <v>B</v>
      </c>
      <c r="D8" s="2" t="str">
        <f>IFERROR(__xludf.DUMMYFUNCTION("""COMPUTED_VALUE"""),"25,23")</f>
        <v>25,23</v>
      </c>
    </row>
    <row r="9">
      <c r="A9" s="2">
        <f>IFERROR(__xludf.DUMMYFUNCTION("""COMPUTED_VALUE"""),76.0)</f>
        <v>76</v>
      </c>
      <c r="B9" s="2" t="str">
        <f>IFERROR(__xludf.DUMMYFUNCTION("""COMPUTED_VALUE"""),"Poland-Warsaw")</f>
        <v>Poland-Warsaw</v>
      </c>
      <c r="C9" s="2" t="str">
        <f>IFERROR(__xludf.DUMMYFUNCTION("""COMPUTED_VALUE"""),"B")</f>
        <v>B</v>
      </c>
      <c r="D9" s="2" t="str">
        <f>IFERROR(__xludf.DUMMYFUNCTION("""COMPUTED_VALUE"""),"43,33")</f>
        <v>43,33</v>
      </c>
    </row>
    <row r="10">
      <c r="A10" s="2">
        <f>IFERROR(__xludf.DUMMYFUNCTION("""COMPUTED_VALUE"""),112.0)</f>
        <v>112</v>
      </c>
      <c r="B10" s="2" t="str">
        <f>IFERROR(__xludf.DUMMYFUNCTION("""COMPUTED_VALUE"""),"China-Wuhan")</f>
        <v>China-Wuhan</v>
      </c>
      <c r="C10" s="2" t="str">
        <f>IFERROR(__xludf.DUMMYFUNCTION("""COMPUTED_VALUE"""),"B")</f>
        <v>B</v>
      </c>
      <c r="D10" s="2" t="str">
        <f>IFERROR(__xludf.DUMMYFUNCTION("""COMPUTED_VALUE"""),"25,17")</f>
        <v>25,17</v>
      </c>
    </row>
    <row r="11">
      <c r="A11" s="2">
        <f>IFERROR(__xludf.DUMMYFUNCTION("""COMPUTED_VALUE"""),77.0)</f>
        <v>77</v>
      </c>
      <c r="B11" s="2" t="str">
        <f>IFERROR(__xludf.DUMMYFUNCTION("""COMPUTED_VALUE"""),"Spain-Seville")</f>
        <v>Spain-Seville</v>
      </c>
      <c r="C11" s="2" t="str">
        <f>IFERROR(__xludf.DUMMYFUNCTION("""COMPUTED_VALUE"""),"B")</f>
        <v>B</v>
      </c>
      <c r="D11" s="2" t="str">
        <f>IFERROR(__xludf.DUMMYFUNCTION("""COMPUTED_VALUE"""),"43,21")</f>
        <v>43,21</v>
      </c>
    </row>
    <row r="12">
      <c r="A12" s="2">
        <f>IFERROR(__xludf.DUMMYFUNCTION("""COMPUTED_VALUE"""),113.0)</f>
        <v>113</v>
      </c>
      <c r="B12" s="2" t="str">
        <f>IFERROR(__xludf.DUMMYFUNCTION("""COMPUTED_VALUE"""),"China-Harbin")</f>
        <v>China-Harbin</v>
      </c>
      <c r="C12" s="2" t="str">
        <f>IFERROR(__xludf.DUMMYFUNCTION("""COMPUTED_VALUE"""),"B")</f>
        <v>B</v>
      </c>
      <c r="D12" s="2" t="str">
        <f>IFERROR(__xludf.DUMMYFUNCTION("""COMPUTED_VALUE"""),"24,94")</f>
        <v>24,94</v>
      </c>
    </row>
    <row r="13">
      <c r="A13" s="2">
        <f>IFERROR(__xludf.DUMMYFUNCTION("""COMPUTED_VALUE"""),78.0)</f>
        <v>78</v>
      </c>
      <c r="B13" s="2" t="str">
        <f>IFERROR(__xludf.DUMMYFUNCTION("""COMPUTED_VALUE"""),"Italy-Naples")</f>
        <v>Italy-Naples</v>
      </c>
      <c r="C13" s="2" t="str">
        <f>IFERROR(__xludf.DUMMYFUNCTION("""COMPUTED_VALUE"""),"B")</f>
        <v>B</v>
      </c>
      <c r="D13" s="2" t="str">
        <f>IFERROR(__xludf.DUMMYFUNCTION("""COMPUTED_VALUE"""),"42,20")</f>
        <v>42,20</v>
      </c>
    </row>
    <row r="14">
      <c r="A14" s="2">
        <f>IFERROR(__xludf.DUMMYFUNCTION("""COMPUTED_VALUE"""),114.0)</f>
        <v>114</v>
      </c>
      <c r="B14" s="2" t="str">
        <f>IFERROR(__xludf.DUMMYFUNCTION("""COMPUTED_VALUE"""),"China-Chongqing")</f>
        <v>China-Chongqing</v>
      </c>
      <c r="C14" s="2" t="str">
        <f>IFERROR(__xludf.DUMMYFUNCTION("""COMPUTED_VALUE"""),"B")</f>
        <v>B</v>
      </c>
      <c r="D14" s="2" t="str">
        <f>IFERROR(__xludf.DUMMYFUNCTION("""COMPUTED_VALUE"""),"24,93")</f>
        <v>24,93</v>
      </c>
    </row>
    <row r="15">
      <c r="A15" s="2">
        <f>IFERROR(__xludf.DUMMYFUNCTION("""COMPUTED_VALUE"""),79.0)</f>
        <v>79</v>
      </c>
      <c r="B15" s="2" t="str">
        <f>IFERROR(__xludf.DUMMYFUNCTION("""COMPUTED_VALUE"""),"Portugal-Lisbon")</f>
        <v>Portugal-Lisbon</v>
      </c>
      <c r="C15" s="2" t="str">
        <f>IFERROR(__xludf.DUMMYFUNCTION("""COMPUTED_VALUE"""),"B")</f>
        <v>B</v>
      </c>
      <c r="D15" s="2" t="str">
        <f>IFERROR(__xludf.DUMMYFUNCTION("""COMPUTED_VALUE"""),"41,73")</f>
        <v>41,73</v>
      </c>
    </row>
    <row r="16">
      <c r="A16" s="2">
        <f>IFERROR(__xludf.DUMMYFUNCTION("""COMPUTED_VALUE"""),115.0)</f>
        <v>115</v>
      </c>
      <c r="B16" s="2" t="str">
        <f>IFERROR(__xludf.DUMMYFUNCTION("""COMPUTED_VALUE"""),"Egypt-Alexandria")</f>
        <v>Egypt-Alexandria</v>
      </c>
      <c r="C16" s="2" t="str">
        <f>IFERROR(__xludf.DUMMYFUNCTION("""COMPUTED_VALUE"""),"B")</f>
        <v>B</v>
      </c>
      <c r="D16" s="2" t="str">
        <f>IFERROR(__xludf.DUMMYFUNCTION("""COMPUTED_VALUE"""),"24,51")</f>
        <v>24,51</v>
      </c>
    </row>
    <row r="17">
      <c r="A17" s="2">
        <f>IFERROR(__xludf.DUMMYFUNCTION("""COMPUTED_VALUE"""),80.0)</f>
        <v>80</v>
      </c>
      <c r="B17" s="2" t="str">
        <f>IFERROR(__xludf.DUMMYFUNCTION("""COMPUTED_VALUE"""),"Saudi Arabia-Jeddah")</f>
        <v>Saudi Arabia-Jeddah</v>
      </c>
      <c r="C17" s="2" t="str">
        <f>IFERROR(__xludf.DUMMYFUNCTION("""COMPUTED_VALUE"""),"B")</f>
        <v>B</v>
      </c>
      <c r="D17" s="2" t="str">
        <f>IFERROR(__xludf.DUMMYFUNCTION("""COMPUTED_VALUE"""),"41,26")</f>
        <v>41,26</v>
      </c>
    </row>
    <row r="18">
      <c r="A18" s="2">
        <f>IFERROR(__xludf.DUMMYFUNCTION("""COMPUTED_VALUE"""),116.0)</f>
        <v>116</v>
      </c>
      <c r="B18" s="2" t="str">
        <f>IFERROR(__xludf.DUMMYFUNCTION("""COMPUTED_VALUE"""),"Brazil-Rio de Janeiro")</f>
        <v>Brazil-Rio de Janeiro</v>
      </c>
      <c r="C18" s="2" t="str">
        <f>IFERROR(__xludf.DUMMYFUNCTION("""COMPUTED_VALUE"""),"B")</f>
        <v>B</v>
      </c>
      <c r="D18" s="2" t="str">
        <f>IFERROR(__xludf.DUMMYFUNCTION("""COMPUTED_VALUE"""),"23,69")</f>
        <v>23,69</v>
      </c>
    </row>
    <row r="19">
      <c r="A19" s="2">
        <f>IFERROR(__xludf.DUMMYFUNCTION("""COMPUTED_VALUE"""),81.0)</f>
        <v>81</v>
      </c>
      <c r="B19" s="2" t="str">
        <f>IFERROR(__xludf.DUMMYFUNCTION("""COMPUTED_VALUE"""),"Taiwan-Taipei")</f>
        <v>Taiwan-Taipei</v>
      </c>
      <c r="C19" s="2" t="str">
        <f>IFERROR(__xludf.DUMMYFUNCTION("""COMPUTED_VALUE"""),"B")</f>
        <v>B</v>
      </c>
      <c r="D19" s="2" t="str">
        <f>IFERROR(__xludf.DUMMYFUNCTION("""COMPUTED_VALUE"""),"40,98")</f>
        <v>40,98</v>
      </c>
    </row>
    <row r="20">
      <c r="A20" s="2">
        <f>IFERROR(__xludf.DUMMYFUNCTION("""COMPUTED_VALUE"""),117.0)</f>
        <v>117</v>
      </c>
      <c r="B20" s="2" t="str">
        <f>IFERROR(__xludf.DUMMYFUNCTION("""COMPUTED_VALUE"""),"South Africa-Pretoria")</f>
        <v>South Africa-Pretoria</v>
      </c>
      <c r="C20" s="2" t="str">
        <f>IFERROR(__xludf.DUMMYFUNCTION("""COMPUTED_VALUE"""),"B")</f>
        <v>B</v>
      </c>
      <c r="D20" s="2" t="str">
        <f>IFERROR(__xludf.DUMMYFUNCTION("""COMPUTED_VALUE"""),"22,17")</f>
        <v>22,17</v>
      </c>
    </row>
    <row r="21">
      <c r="A21" s="2">
        <f>IFERROR(__xludf.DUMMYFUNCTION("""COMPUTED_VALUE"""),82.0)</f>
        <v>82</v>
      </c>
      <c r="B21" s="2" t="str">
        <f>IFERROR(__xludf.DUMMYFUNCTION("""COMPUTED_VALUE"""),"Poland-Wroclaw")</f>
        <v>Poland-Wroclaw</v>
      </c>
      <c r="C21" s="2" t="str">
        <f>IFERROR(__xludf.DUMMYFUNCTION("""COMPUTED_VALUE"""),"B")</f>
        <v>B</v>
      </c>
      <c r="D21" s="2" t="str">
        <f>IFERROR(__xludf.DUMMYFUNCTION("""COMPUTED_VALUE"""),"40,32")</f>
        <v>40,32</v>
      </c>
    </row>
    <row r="22">
      <c r="A22" s="2">
        <f>IFERROR(__xludf.DUMMYFUNCTION("""COMPUTED_VALUE"""),118.0)</f>
        <v>118</v>
      </c>
      <c r="B22" s="2" t="str">
        <f>IFERROR(__xludf.DUMMYFUNCTION("""COMPUTED_VALUE"""),"South Africa-Johannesburg")</f>
        <v>South Africa-Johannesburg</v>
      </c>
      <c r="C22" s="2" t="str">
        <f>IFERROR(__xludf.DUMMYFUNCTION("""COMPUTED_VALUE"""),"B")</f>
        <v>B</v>
      </c>
      <c r="D22" s="2" t="str">
        <f>IFERROR(__xludf.DUMMYFUNCTION("""COMPUTED_VALUE"""),"22,16")</f>
        <v>22,16</v>
      </c>
    </row>
    <row r="23">
      <c r="A23" s="2">
        <f>IFERROR(__xludf.DUMMYFUNCTION("""COMPUTED_VALUE"""),83.0)</f>
        <v>83</v>
      </c>
      <c r="B23" s="2" t="str">
        <f>IFERROR(__xludf.DUMMYFUNCTION("""COMPUTED_VALUE"""),"Chile-Santiago")</f>
        <v>Chile-Santiago</v>
      </c>
      <c r="C23" s="2" t="str">
        <f>IFERROR(__xludf.DUMMYFUNCTION("""COMPUTED_VALUE"""),"B")</f>
        <v>B</v>
      </c>
      <c r="D23" s="2" t="str">
        <f>IFERROR(__xludf.DUMMYFUNCTION("""COMPUTED_VALUE"""),"40,00")</f>
        <v>40,00</v>
      </c>
    </row>
    <row r="24">
      <c r="A24" s="2">
        <f>IFERROR(__xludf.DUMMYFUNCTION("""COMPUTED_VALUE"""),119.0)</f>
        <v>119</v>
      </c>
      <c r="B24" s="2" t="str">
        <f>IFERROR(__xludf.DUMMYFUNCTION("""COMPUTED_VALUE"""),"South Africa-Cape Town")</f>
        <v>South Africa-Cape Town</v>
      </c>
      <c r="C24" s="2" t="str">
        <f>IFERROR(__xludf.DUMMYFUNCTION("""COMPUTED_VALUE"""),"B")</f>
        <v>B</v>
      </c>
      <c r="D24" s="2" t="str">
        <f>IFERROR(__xludf.DUMMYFUNCTION("""COMPUTED_VALUE"""),"21,95")</f>
        <v>21,95</v>
      </c>
    </row>
    <row r="25">
      <c r="A25" s="2">
        <f>IFERROR(__xludf.DUMMYFUNCTION("""COMPUTED_VALUE"""),84.0)</f>
        <v>84</v>
      </c>
      <c r="B25" s="2" t="str">
        <f>IFERROR(__xludf.DUMMYFUNCTION("""COMPUTED_VALUE"""),"Russia-Moscow")</f>
        <v>Russia-Moscow</v>
      </c>
      <c r="C25" s="2" t="str">
        <f>IFERROR(__xludf.DUMMYFUNCTION("""COMPUTED_VALUE"""),"B")</f>
        <v>B</v>
      </c>
      <c r="D25" s="2" t="str">
        <f>IFERROR(__xludf.DUMMYFUNCTION("""COMPUTED_VALUE"""),"38,18")</f>
        <v>38,18</v>
      </c>
    </row>
    <row r="26">
      <c r="A26" s="2">
        <f>IFERROR(__xludf.DUMMYFUNCTION("""COMPUTED_VALUE"""),120.0)</f>
        <v>120</v>
      </c>
      <c r="B26" s="2" t="str">
        <f>IFERROR(__xludf.DUMMYFUNCTION("""COMPUTED_VALUE"""),"Philippines-Manila")</f>
        <v>Philippines-Manila</v>
      </c>
      <c r="C26" s="2" t="str">
        <f>IFERROR(__xludf.DUMMYFUNCTION("""COMPUTED_VALUE"""),"B")</f>
        <v>B</v>
      </c>
      <c r="D26" s="2" t="str">
        <f>IFERROR(__xludf.DUMMYFUNCTION("""COMPUTED_VALUE"""),"21,15")</f>
        <v>21,15</v>
      </c>
    </row>
    <row r="27">
      <c r="A27" s="2">
        <f>IFERROR(__xludf.DUMMYFUNCTION("""COMPUTED_VALUE"""),85.0)</f>
        <v>85</v>
      </c>
      <c r="B27" s="2" t="str">
        <f>IFERROR(__xludf.DUMMYFUNCTION("""COMPUTED_VALUE"""),"Turkey-Bursa")</f>
        <v>Turkey-Bursa</v>
      </c>
      <c r="C27" s="2" t="str">
        <f>IFERROR(__xludf.DUMMYFUNCTION("""COMPUTED_VALUE"""),"B")</f>
        <v>B</v>
      </c>
      <c r="D27" s="2" t="str">
        <f>IFERROR(__xludf.DUMMYFUNCTION("""COMPUTED_VALUE"""),"37,39")</f>
        <v>37,39</v>
      </c>
    </row>
    <row r="28">
      <c r="A28" s="2">
        <f>IFERROR(__xludf.DUMMYFUNCTION("""COMPUTED_VALUE"""),121.0)</f>
        <v>121</v>
      </c>
      <c r="B28" s="2" t="str">
        <f>IFERROR(__xludf.DUMMYFUNCTION("""COMPUTED_VALUE"""),"Ecuador-Quito")</f>
        <v>Ecuador-Quito</v>
      </c>
      <c r="C28" s="2" t="str">
        <f>IFERROR(__xludf.DUMMYFUNCTION("""COMPUTED_VALUE"""),"B")</f>
        <v>B</v>
      </c>
      <c r="D28" s="2" t="str">
        <f>IFERROR(__xludf.DUMMYFUNCTION("""COMPUTED_VALUE"""),"20,79")</f>
        <v>20,79</v>
      </c>
    </row>
    <row r="29">
      <c r="A29" s="2">
        <f>IFERROR(__xludf.DUMMYFUNCTION("""COMPUTED_VALUE"""),86.0)</f>
        <v>86</v>
      </c>
      <c r="B29" s="2" t="str">
        <f>IFERROR(__xludf.DUMMYFUNCTION("""COMPUTED_VALUE"""),"Slovenia-Ljubljana")</f>
        <v>Slovenia-Ljubljana</v>
      </c>
      <c r="C29" s="2" t="str">
        <f>IFERROR(__xludf.DUMMYFUNCTION("""COMPUTED_VALUE"""),"B")</f>
        <v>B</v>
      </c>
      <c r="D29" s="2" t="str">
        <f>IFERROR(__xludf.DUMMYFUNCTION("""COMPUTED_VALUE"""),"36,65")</f>
        <v>36,65</v>
      </c>
    </row>
    <row r="30">
      <c r="A30" s="2">
        <f>IFERROR(__xludf.DUMMYFUNCTION("""COMPUTED_VALUE"""),122.0)</f>
        <v>122</v>
      </c>
      <c r="B30" s="2" t="str">
        <f>IFERROR(__xludf.DUMMYFUNCTION("""COMPUTED_VALUE"""),"Egypt-Cairo")</f>
        <v>Egypt-Cairo</v>
      </c>
      <c r="C30" s="2" t="str">
        <f>IFERROR(__xludf.DUMMYFUNCTION("""COMPUTED_VALUE"""),"B")</f>
        <v>B</v>
      </c>
      <c r="D30" s="2" t="str">
        <f>IFERROR(__xludf.DUMMYFUNCTION("""COMPUTED_VALUE"""),"20,64")</f>
        <v>20,64</v>
      </c>
    </row>
    <row r="31">
      <c r="A31" s="2">
        <f>IFERROR(__xludf.DUMMYFUNCTION("""COMPUTED_VALUE"""),87.0)</f>
        <v>87</v>
      </c>
      <c r="B31" s="2" t="str">
        <f>IFERROR(__xludf.DUMMYFUNCTION("""COMPUTED_VALUE"""),"Latvia-Riga")</f>
        <v>Latvia-Riga</v>
      </c>
      <c r="C31" s="2" t="str">
        <f>IFERROR(__xludf.DUMMYFUNCTION("""COMPUTED_VALUE"""),"B")</f>
        <v>B</v>
      </c>
      <c r="D31" s="2" t="str">
        <f>IFERROR(__xludf.DUMMYFUNCTION("""COMPUTED_VALUE"""),"36,25")</f>
        <v>36,25</v>
      </c>
    </row>
    <row r="32">
      <c r="A32" s="2">
        <f>IFERROR(__xludf.DUMMYFUNCTION("""COMPUTED_VALUE"""),123.0)</f>
        <v>123</v>
      </c>
      <c r="B32" s="2" t="str">
        <f>IFERROR(__xludf.DUMMYFUNCTION("""COMPUTED_VALUE"""),"China-Shenzhen")</f>
        <v>China-Shenzhen</v>
      </c>
      <c r="C32" s="2" t="str">
        <f>IFERROR(__xludf.DUMMYFUNCTION("""COMPUTED_VALUE"""),"B")</f>
        <v>B</v>
      </c>
      <c r="D32" s="2" t="str">
        <f>IFERROR(__xludf.DUMMYFUNCTION("""COMPUTED_VALUE"""),"19,42")</f>
        <v>19,42</v>
      </c>
    </row>
    <row r="33">
      <c r="A33" s="2">
        <f>IFERROR(__xludf.DUMMYFUNCTION("""COMPUTED_VALUE"""),88.0)</f>
        <v>88</v>
      </c>
      <c r="B33" s="2" t="str">
        <f>IFERROR(__xludf.DUMMYFUNCTION("""COMPUTED_VALUE"""),"China-Guangzhou")</f>
        <v>China-Guangzhou</v>
      </c>
      <c r="C33" s="2" t="str">
        <f>IFERROR(__xludf.DUMMYFUNCTION("""COMPUTED_VALUE"""),"B")</f>
        <v>B</v>
      </c>
      <c r="D33" s="2" t="str">
        <f>IFERROR(__xludf.DUMMYFUNCTION("""COMPUTED_VALUE"""),"36,10")</f>
        <v>36,10</v>
      </c>
    </row>
    <row r="34">
      <c r="A34" s="2">
        <f>IFERROR(__xludf.DUMMYFUNCTION("""COMPUTED_VALUE"""),124.0)</f>
        <v>124</v>
      </c>
      <c r="B34" s="2" t="str">
        <f>IFERROR(__xludf.DUMMYFUNCTION("""COMPUTED_VALUE"""),"China-Suzhou")</f>
        <v>China-Suzhou</v>
      </c>
      <c r="C34" s="2" t="str">
        <f>IFERROR(__xludf.DUMMYFUNCTION("""COMPUTED_VALUE"""),"B")</f>
        <v>B</v>
      </c>
      <c r="D34" s="2" t="str">
        <f>IFERROR(__xludf.DUMMYFUNCTION("""COMPUTED_VALUE"""),"18,05")</f>
        <v>18,05</v>
      </c>
    </row>
    <row r="35">
      <c r="A35" s="2">
        <f>IFERROR(__xludf.DUMMYFUNCTION("""COMPUTED_VALUE"""),89.0)</f>
        <v>89</v>
      </c>
      <c r="B35" s="2" t="str">
        <f>IFERROR(__xludf.DUMMYFUNCTION("""COMPUTED_VALUE"""),"Greece-Athens")</f>
        <v>Greece-Athens</v>
      </c>
      <c r="C35" s="2" t="str">
        <f>IFERROR(__xludf.DUMMYFUNCTION("""COMPUTED_VALUE"""),"B")</f>
        <v>B</v>
      </c>
      <c r="D35" s="2" t="str">
        <f>IFERROR(__xludf.DUMMYFUNCTION("""COMPUTED_VALUE"""),"35,36")</f>
        <v>35,36</v>
      </c>
    </row>
    <row r="36">
      <c r="A36" s="2">
        <f>IFERROR(__xludf.DUMMYFUNCTION("""COMPUTED_VALUE"""),125.0)</f>
        <v>125</v>
      </c>
      <c r="B36" s="2" t="str">
        <f>IFERROR(__xludf.DUMMYFUNCTION("""COMPUTED_VALUE"""),"Indonesia-Jakarta")</f>
        <v>Indonesia-Jakarta</v>
      </c>
      <c r="C36" s="2" t="str">
        <f>IFERROR(__xludf.DUMMYFUNCTION("""COMPUTED_VALUE"""),"B")</f>
        <v>B</v>
      </c>
      <c r="D36" s="2" t="str">
        <f>IFERROR(__xludf.DUMMYFUNCTION("""COMPUTED_VALUE"""),"17,82")</f>
        <v>17,82</v>
      </c>
    </row>
    <row r="37">
      <c r="A37" s="2">
        <f>IFERROR(__xludf.DUMMYFUNCTION("""COMPUTED_VALUE"""),90.0)</f>
        <v>90</v>
      </c>
      <c r="B37" s="2" t="str">
        <f>IFERROR(__xludf.DUMMYFUNCTION("""COMPUTED_VALUE"""),"Bulgaria-Sofia")</f>
        <v>Bulgaria-Sofia</v>
      </c>
      <c r="C37" s="2" t="str">
        <f>IFERROR(__xludf.DUMMYFUNCTION("""COMPUTED_VALUE"""),"B")</f>
        <v>B</v>
      </c>
      <c r="D37" s="2" t="str">
        <f>IFERROR(__xludf.DUMMYFUNCTION("""COMPUTED_VALUE"""),"34,86")</f>
        <v>34,86</v>
      </c>
    </row>
    <row r="38">
      <c r="A38" s="2">
        <f>IFERROR(__xludf.DUMMYFUNCTION("""COMPUTED_VALUE"""),126.0)</f>
        <v>126</v>
      </c>
      <c r="B38" s="2" t="str">
        <f>IFERROR(__xludf.DUMMYFUNCTION("""COMPUTED_VALUE"""),"Venezuela-Caracas")</f>
        <v>Venezuela-Caracas</v>
      </c>
      <c r="C38" s="2" t="str">
        <f>IFERROR(__xludf.DUMMYFUNCTION("""COMPUTED_VALUE"""),"B")</f>
        <v>B</v>
      </c>
      <c r="D38" s="2" t="str">
        <f>IFERROR(__xludf.DUMMYFUNCTION("""COMPUTED_VALUE"""),"17,37")</f>
        <v>17,37</v>
      </c>
    </row>
    <row r="39">
      <c r="A39" s="2">
        <f>IFERROR(__xludf.DUMMYFUNCTION("""COMPUTED_VALUE"""),91.0)</f>
        <v>91</v>
      </c>
      <c r="B39" s="2" t="str">
        <f>IFERROR(__xludf.DUMMYFUNCTION("""COMPUTED_VALUE"""),"Turkey-Ankara")</f>
        <v>Turkey-Ankara</v>
      </c>
      <c r="C39" s="2" t="str">
        <f>IFERROR(__xludf.DUMMYFUNCTION("""COMPUTED_VALUE"""),"B")</f>
        <v>B</v>
      </c>
      <c r="D39" s="2" t="str">
        <f>IFERROR(__xludf.DUMMYFUNCTION("""COMPUTED_VALUE"""),"34,34")</f>
        <v>34,34</v>
      </c>
    </row>
    <row r="40">
      <c r="A40" s="2">
        <f>IFERROR(__xludf.DUMMYFUNCTION("""COMPUTED_VALUE"""),127.0)</f>
        <v>127</v>
      </c>
      <c r="B40" s="2" t="str">
        <f>IFERROR(__xludf.DUMMYFUNCTION("""COMPUTED_VALUE"""),"Brazil-Salvador")</f>
        <v>Brazil-Salvador</v>
      </c>
      <c r="C40" s="2" t="str">
        <f>IFERROR(__xludf.DUMMYFUNCTION("""COMPUTED_VALUE"""),"B")</f>
        <v>B</v>
      </c>
      <c r="D40" s="2" t="str">
        <f>IFERROR(__xludf.DUMMYFUNCTION("""COMPUTED_VALUE"""),"15,64")</f>
        <v>15,64</v>
      </c>
    </row>
    <row r="41">
      <c r="A41" s="2">
        <f>IFERROR(__xludf.DUMMYFUNCTION("""COMPUTED_VALUE"""),92.0)</f>
        <v>92</v>
      </c>
      <c r="B41" s="2" t="str">
        <f>IFERROR(__xludf.DUMMYFUNCTION("""COMPUTED_VALUE"""),"Mexico-Monterrey")</f>
        <v>Mexico-Monterrey</v>
      </c>
      <c r="C41" s="2" t="str">
        <f>IFERROR(__xludf.DUMMYFUNCTION("""COMPUTED_VALUE"""),"B")</f>
        <v>B</v>
      </c>
      <c r="D41" s="2" t="str">
        <f>IFERROR(__xludf.DUMMYFUNCTION("""COMPUTED_VALUE"""),"33,22")</f>
        <v>33,22</v>
      </c>
    </row>
    <row r="42">
      <c r="A42" s="2">
        <f>IFERROR(__xludf.DUMMYFUNCTION("""COMPUTED_VALUE"""),128.0)</f>
        <v>128</v>
      </c>
      <c r="B42" s="2" t="str">
        <f>IFERROR(__xludf.DUMMYFUNCTION("""COMPUTED_VALUE"""),"Brazil-Porto Alegre")</f>
        <v>Brazil-Porto Alegre</v>
      </c>
      <c r="C42" s="2" t="str">
        <f>IFERROR(__xludf.DUMMYFUNCTION("""COMPUTED_VALUE"""),"B")</f>
        <v>B</v>
      </c>
      <c r="D42" s="2" t="str">
        <f>IFERROR(__xludf.DUMMYFUNCTION("""COMPUTED_VALUE"""),"15,02")</f>
        <v>15,02</v>
      </c>
    </row>
    <row r="43">
      <c r="A43" s="2">
        <f>IFERROR(__xludf.DUMMYFUNCTION("""COMPUTED_VALUE"""),93.0)</f>
        <v>93</v>
      </c>
      <c r="B43" s="2" t="str">
        <f>IFERROR(__xludf.DUMMYFUNCTION("""COMPUTED_VALUE"""),"Taiwan-Tainan")</f>
        <v>Taiwan-Tainan</v>
      </c>
      <c r="C43" s="2" t="str">
        <f>IFERROR(__xludf.DUMMYFUNCTION("""COMPUTED_VALUE"""),"B")</f>
        <v>B</v>
      </c>
      <c r="D43" s="2" t="str">
        <f>IFERROR(__xludf.DUMMYFUNCTION("""COMPUTED_VALUE"""),"32,59")</f>
        <v>32,59</v>
      </c>
    </row>
    <row r="44">
      <c r="A44" s="2">
        <f>IFERROR(__xludf.DUMMYFUNCTION("""COMPUTED_VALUE"""),129.0)</f>
        <v>129</v>
      </c>
      <c r="B44" s="2" t="str">
        <f>IFERROR(__xludf.DUMMYFUNCTION("""COMPUTED_VALUE"""),"Brazil-Belo Horizonte")</f>
        <v>Brazil-Belo Horizonte</v>
      </c>
      <c r="C44" s="2" t="str">
        <f>IFERROR(__xludf.DUMMYFUNCTION("""COMPUTED_VALUE"""),"B")</f>
        <v>B</v>
      </c>
      <c r="D44" s="2" t="str">
        <f>IFERROR(__xludf.DUMMYFUNCTION("""COMPUTED_VALUE"""),"14,97")</f>
        <v>14,97</v>
      </c>
    </row>
    <row r="45">
      <c r="A45" s="2">
        <f>IFERROR(__xludf.DUMMYFUNCTION("""COMPUTED_VALUE"""),94.0)</f>
        <v>94</v>
      </c>
      <c r="B45" s="2" t="str">
        <f>IFERROR(__xludf.DUMMYFUNCTION("""COMPUTED_VALUE"""),"Brazil-S∆o Paulo")</f>
        <v>Brazil-S∆o Paulo</v>
      </c>
      <c r="C45" s="2" t="str">
        <f>IFERROR(__xludf.DUMMYFUNCTION("""COMPUTED_VALUE"""),"B")</f>
        <v>B</v>
      </c>
      <c r="D45" s="2" t="str">
        <f>IFERROR(__xludf.DUMMYFUNCTION("""COMPUTED_VALUE"""),"31,98")</f>
        <v>31,98</v>
      </c>
    </row>
    <row r="46">
      <c r="A46" s="2">
        <f>IFERROR(__xludf.DUMMYFUNCTION("""COMPUTED_VALUE"""),130.0)</f>
        <v>130</v>
      </c>
      <c r="B46" s="2" t="str">
        <f>IFERROR(__xludf.DUMMYFUNCTION("""COMPUTED_VALUE"""),"Bolivia-La Paz")</f>
        <v>Bolivia-La Paz</v>
      </c>
      <c r="C46" s="2" t="str">
        <f>IFERROR(__xludf.DUMMYFUNCTION("""COMPUTED_VALUE"""),"B")</f>
        <v>B</v>
      </c>
      <c r="D46" s="2" t="str">
        <f>IFERROR(__xludf.DUMMYFUNCTION("""COMPUTED_VALUE"""),"14,97")</f>
        <v>14,97</v>
      </c>
    </row>
    <row r="47">
      <c r="A47" s="2">
        <f>IFERROR(__xludf.DUMMYFUNCTION("""COMPUTED_VALUE"""),95.0)</f>
        <v>95</v>
      </c>
      <c r="B47" s="2" t="str">
        <f>IFERROR(__xludf.DUMMYFUNCTION("""COMPUTED_VALUE"""),"Taiwan-Kaohsiung")</f>
        <v>Taiwan-Kaohsiung</v>
      </c>
      <c r="C47" s="2" t="str">
        <f>IFERROR(__xludf.DUMMYFUNCTION("""COMPUTED_VALUE"""),"B")</f>
        <v>B</v>
      </c>
      <c r="D47" s="2" t="str">
        <f>IFERROR(__xludf.DUMMYFUNCTION("""COMPUTED_VALUE"""),"31,27")</f>
        <v>31,27</v>
      </c>
    </row>
    <row r="48">
      <c r="A48" s="2">
        <f>IFERROR(__xludf.DUMMYFUNCTION("""COMPUTED_VALUE"""),131.0)</f>
        <v>131</v>
      </c>
      <c r="B48" s="2" t="str">
        <f>IFERROR(__xludf.DUMMYFUNCTION("""COMPUTED_VALUE"""),"Brazil-Bras°lia")</f>
        <v>Brazil-Bras°lia</v>
      </c>
      <c r="C48" s="2" t="str">
        <f>IFERROR(__xludf.DUMMYFUNCTION("""COMPUTED_VALUE"""),"B")</f>
        <v>B</v>
      </c>
      <c r="D48" s="2" t="str">
        <f>IFERROR(__xludf.DUMMYFUNCTION("""COMPUTED_VALUE"""),"14,23")</f>
        <v>14,23</v>
      </c>
    </row>
    <row r="49">
      <c r="A49" s="2">
        <f>IFERROR(__xludf.DUMMYFUNCTION("""COMPUTED_VALUE"""),96.0)</f>
        <v>96</v>
      </c>
      <c r="B49" s="2" t="str">
        <f>IFERROR(__xludf.DUMMYFUNCTION("""COMPUTED_VALUE"""),"Taiwan-Taichung")</f>
        <v>Taiwan-Taichung</v>
      </c>
      <c r="C49" s="2" t="str">
        <f>IFERROR(__xludf.DUMMYFUNCTION("""COMPUTED_VALUE"""),"B")</f>
        <v>B</v>
      </c>
      <c r="D49" s="2" t="str">
        <f>IFERROR(__xludf.DUMMYFUNCTION("""COMPUTED_VALUE"""),"31,11")</f>
        <v>31,11</v>
      </c>
    </row>
    <row r="50">
      <c r="A50" s="2">
        <f>IFERROR(__xludf.DUMMYFUNCTION("""COMPUTED_VALUE"""),132.0)</f>
        <v>132</v>
      </c>
      <c r="B50" s="2" t="str">
        <f>IFERROR(__xludf.DUMMYFUNCTION("""COMPUTED_VALUE"""),"Brazil-Recife")</f>
        <v>Brazil-Recife</v>
      </c>
      <c r="C50" s="2" t="str">
        <f>IFERROR(__xludf.DUMMYFUNCTION("""COMPUTED_VALUE"""),"B")</f>
        <v>B</v>
      </c>
      <c r="D50" s="2" t="str">
        <f>IFERROR(__xludf.DUMMYFUNCTION("""COMPUTED_VALUE"""),"14,14")</f>
        <v>14,14</v>
      </c>
    </row>
    <row r="51">
      <c r="A51" s="2">
        <f>IFERROR(__xludf.DUMMYFUNCTION("""COMPUTED_VALUE"""),97.0)</f>
        <v>97</v>
      </c>
      <c r="B51" s="2" t="str">
        <f>IFERROR(__xludf.DUMMYFUNCTION("""COMPUTED_VALUE"""),"Brazil-Curitiba")</f>
        <v>Brazil-Curitiba</v>
      </c>
      <c r="C51" s="2" t="str">
        <f>IFERROR(__xludf.DUMMYFUNCTION("""COMPUTED_VALUE"""),"B")</f>
        <v>B</v>
      </c>
      <c r="D51" s="2" t="str">
        <f>IFERROR(__xludf.DUMMYFUNCTION("""COMPUTED_VALUE"""),"31,04")</f>
        <v>31,04</v>
      </c>
    </row>
    <row r="52">
      <c r="A52" s="2">
        <f>IFERROR(__xludf.DUMMYFUNCTION("""COMPUTED_VALUE"""),133.0)</f>
        <v>133</v>
      </c>
      <c r="B52" s="2" t="str">
        <f>IFERROR(__xludf.DUMMYFUNCTION("""COMPUTED_VALUE"""),"Brazil-Fortaleza")</f>
        <v>Brazil-Fortaleza</v>
      </c>
      <c r="C52" s="2" t="str">
        <f>IFERROR(__xludf.DUMMYFUNCTION("""COMPUTED_VALUE"""),"B")</f>
        <v>B</v>
      </c>
      <c r="D52" s="2" t="str">
        <f>IFERROR(__xludf.DUMMYFUNCTION("""COMPUTED_VALUE"""),"13,96")</f>
        <v>13,96</v>
      </c>
    </row>
    <row r="53">
      <c r="A53" s="2">
        <f>IFERROR(__xludf.DUMMYFUNCTION("""COMPUTED_VALUE"""),98.0)</f>
        <v>98</v>
      </c>
      <c r="B53" s="2" t="str">
        <f>IFERROR(__xludf.DUMMYFUNCTION("""COMPUTED_VALUE"""),"Colombia-Cali")</f>
        <v>Colombia-Cali</v>
      </c>
      <c r="C53" s="2" t="str">
        <f>IFERROR(__xludf.DUMMYFUNCTION("""COMPUTED_VALUE"""),"B")</f>
        <v>B</v>
      </c>
      <c r="D53" s="2" t="str">
        <f>IFERROR(__xludf.DUMMYFUNCTION("""COMPUTED_VALUE"""),"30,77")</f>
        <v>30,77</v>
      </c>
    </row>
    <row r="54">
      <c r="A54" s="2">
        <f>IFERROR(__xludf.DUMMYFUNCTION("""COMPUTED_VALUE"""),134.0)</f>
        <v>134</v>
      </c>
      <c r="B54" s="2" t="str">
        <f>IFERROR(__xludf.DUMMYFUNCTION("""COMPUTED_VALUE"""),"Bosnia-Herzegovina-Sarajevo")</f>
        <v>Bosnia-Herzegovina-Sarajevo</v>
      </c>
      <c r="C54" s="2" t="str">
        <f>IFERROR(__xludf.DUMMYFUNCTION("""COMPUTED_VALUE"""),"MB")</f>
        <v>MB</v>
      </c>
      <c r="D54" s="2" t="str">
        <f>IFERROR(__xludf.DUMMYFUNCTION("""COMPUTED_VALUE"""),"7,32")</f>
        <v>7,32</v>
      </c>
    </row>
    <row r="55">
      <c r="A55" s="2">
        <f>IFERROR(__xludf.DUMMYFUNCTION("""COMPUTED_VALUE"""),99.0)</f>
        <v>99</v>
      </c>
      <c r="B55" s="2" t="str">
        <f>IFERROR(__xludf.DUMMYFUNCTION("""COMPUTED_VALUE"""),"China-Tianjin")</f>
        <v>China-Tianjin</v>
      </c>
      <c r="C55" s="2" t="str">
        <f>IFERROR(__xludf.DUMMYFUNCTION("""COMPUTED_VALUE"""),"B")</f>
        <v>B</v>
      </c>
      <c r="D55" s="2" t="str">
        <f>IFERROR(__xludf.DUMMYFUNCTION("""COMPUTED_VALUE"""),"30,49")</f>
        <v>30,49</v>
      </c>
    </row>
    <row r="56">
      <c r="A56" s="2">
        <f>IFERROR(__xludf.DUMMYFUNCTION("""COMPUTED_VALUE"""),135.0)</f>
        <v>135</v>
      </c>
      <c r="B56" s="2" t="str">
        <f>IFERROR(__xludf.DUMMYFUNCTION("""COMPUTED_VALUE"""),"Dominican Republic-Santo Domingo")</f>
        <v>Dominican Republic-Santo Domingo</v>
      </c>
      <c r="C56" s="2" t="str">
        <f>IFERROR(__xludf.DUMMYFUNCTION("""COMPUTED_VALUE"""),"MB")</f>
        <v>MB</v>
      </c>
      <c r="D56" s="2" t="str">
        <f>IFERROR(__xludf.DUMMYFUNCTION("""COMPUTED_VALUE"""),"0,00")</f>
        <v>0,00</v>
      </c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100.0</v>
      </c>
    </row>
    <row r="2">
      <c r="A2" s="1" t="s">
        <v>897</v>
      </c>
    </row>
    <row r="3">
      <c r="A3" s="1" t="s">
        <v>787</v>
      </c>
    </row>
    <row r="4">
      <c r="A4" s="1" t="s">
        <v>898</v>
      </c>
    </row>
    <row r="5">
      <c r="A5" s="1">
        <v>101.0</v>
      </c>
    </row>
    <row r="6">
      <c r="A6" s="1" t="s">
        <v>899</v>
      </c>
    </row>
    <row r="7">
      <c r="A7" s="1" t="s">
        <v>787</v>
      </c>
    </row>
    <row r="8">
      <c r="A8" s="1" t="s">
        <v>900</v>
      </c>
    </row>
    <row r="9">
      <c r="A9" s="1">
        <v>102.0</v>
      </c>
    </row>
    <row r="10">
      <c r="A10" s="1" t="s">
        <v>901</v>
      </c>
    </row>
    <row r="11">
      <c r="A11" s="1" t="s">
        <v>787</v>
      </c>
    </row>
    <row r="12">
      <c r="A12" s="1" t="s">
        <v>902</v>
      </c>
    </row>
    <row r="13">
      <c r="A13" s="1">
        <v>103.0</v>
      </c>
    </row>
    <row r="14">
      <c r="A14" s="1" t="s">
        <v>903</v>
      </c>
    </row>
    <row r="15">
      <c r="A15" s="1" t="s">
        <v>787</v>
      </c>
    </row>
    <row r="16">
      <c r="A16" s="1" t="s">
        <v>904</v>
      </c>
    </row>
    <row r="17">
      <c r="A17" s="1">
        <v>104.0</v>
      </c>
    </row>
    <row r="18">
      <c r="A18" s="1" t="s">
        <v>905</v>
      </c>
    </row>
    <row r="19">
      <c r="A19" s="1" t="s">
        <v>787</v>
      </c>
    </row>
    <row r="20">
      <c r="A20" s="1" t="s">
        <v>906</v>
      </c>
    </row>
    <row r="21">
      <c r="A21" s="1">
        <v>105.0</v>
      </c>
    </row>
    <row r="22">
      <c r="A22" s="1" t="s">
        <v>907</v>
      </c>
    </row>
    <row r="23">
      <c r="A23" s="1" t="s">
        <v>787</v>
      </c>
    </row>
    <row r="24">
      <c r="A24" s="1" t="s">
        <v>908</v>
      </c>
    </row>
    <row r="25">
      <c r="A25" s="1">
        <v>106.0</v>
      </c>
    </row>
    <row r="26">
      <c r="A26" s="1" t="s">
        <v>909</v>
      </c>
    </row>
    <row r="27">
      <c r="A27" s="1" t="s">
        <v>787</v>
      </c>
    </row>
    <row r="28">
      <c r="A28" s="1" t="s">
        <v>910</v>
      </c>
    </row>
    <row r="29">
      <c r="A29" s="1">
        <v>107.0</v>
      </c>
    </row>
    <row r="30">
      <c r="A30" s="1" t="s">
        <v>911</v>
      </c>
    </row>
    <row r="31">
      <c r="A31" s="1" t="s">
        <v>787</v>
      </c>
    </row>
    <row r="32">
      <c r="A32" s="1" t="s">
        <v>912</v>
      </c>
    </row>
    <row r="33">
      <c r="A33" s="1">
        <v>108.0</v>
      </c>
    </row>
    <row r="34">
      <c r="A34" s="1" t="s">
        <v>913</v>
      </c>
    </row>
    <row r="35">
      <c r="A35" s="1" t="s">
        <v>787</v>
      </c>
    </row>
    <row r="36">
      <c r="A36" s="1" t="s">
        <v>914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2">
        <f>IFERROR(__xludf.DUMMYFUNCTION("FILTER(IESE2014rawc!A:A, MOD(ROW(IESE2014rawc!A:A)-1, 4) = 0)"),100.0)</f>
        <v>100</v>
      </c>
      <c r="B1" s="6" t="str">
        <f>IFERROR(__xludf.DUMMYFUNCTION("FILTER(IESE2014rawc!A:A, MOD(ROW(IESE2014rawc!A:A)-2, 4) = 0)"),"Argentina-Rosario")</f>
        <v>Argentina-Rosario</v>
      </c>
      <c r="C1" s="6" t="str">
        <f>IFERROR(__xludf.DUMMYFUNCTION("FILTER(IESE2014rawc!A:A, MOD(ROW(IESE2014rawc!A:A)-3, 4) = 0)"),"B")</f>
        <v>B</v>
      </c>
      <c r="D1" s="6" t="str">
        <f>IFERROR(__xludf.DUMMYFUNCTION("FILTER(IESE2014rawc!A:A, MOD(ROW(IESE2014rawc!A:A), 4) = 0)"),"30,42")</f>
        <v>30,42</v>
      </c>
    </row>
    <row r="2">
      <c r="A2" s="2">
        <f>IFERROR(__xludf.DUMMYFUNCTION("""COMPUTED_VALUE"""),101.0)</f>
        <v>101</v>
      </c>
      <c r="B2" s="2" t="str">
        <f>IFERROR(__xludf.DUMMYFUNCTION("""COMPUTED_VALUE"""),"Mexico-Mexico City")</f>
        <v>Mexico-Mexico City</v>
      </c>
      <c r="C2" s="2" t="str">
        <f>IFERROR(__xludf.DUMMYFUNCTION("""COMPUTED_VALUE"""),"B")</f>
        <v>B</v>
      </c>
      <c r="D2" s="2" t="str">
        <f>IFERROR(__xludf.DUMMYFUNCTION("""COMPUTED_VALUE"""),"29,86")</f>
        <v>29,86</v>
      </c>
    </row>
    <row r="3">
      <c r="A3" s="2">
        <f>IFERROR(__xludf.DUMMYFUNCTION("""COMPUTED_VALUE"""),102.0)</f>
        <v>102</v>
      </c>
      <c r="B3" s="2" t="str">
        <f>IFERROR(__xludf.DUMMYFUNCTION("""COMPUTED_VALUE"""),"Mexico-Guadalajara")</f>
        <v>Mexico-Guadalajara</v>
      </c>
      <c r="C3" s="2" t="str">
        <f>IFERROR(__xludf.DUMMYFUNCTION("""COMPUTED_VALUE"""),"B")</f>
        <v>B</v>
      </c>
      <c r="D3" s="2" t="str">
        <f>IFERROR(__xludf.DUMMYFUNCTION("""COMPUTED_VALUE"""),"29,85")</f>
        <v>29,85</v>
      </c>
    </row>
    <row r="4">
      <c r="A4" s="2">
        <f>IFERROR(__xludf.DUMMYFUNCTION("""COMPUTED_VALUE"""),103.0)</f>
        <v>103</v>
      </c>
      <c r="B4" s="2" t="str">
        <f>IFERROR(__xludf.DUMMYFUNCTION("""COMPUTED_VALUE"""),"Argentina-C¢rdoba")</f>
        <v>Argentina-C¢rdoba</v>
      </c>
      <c r="C4" s="2" t="str">
        <f>IFERROR(__xludf.DUMMYFUNCTION("""COMPUTED_VALUE"""),"B")</f>
        <v>B</v>
      </c>
      <c r="D4" s="2" t="str">
        <f>IFERROR(__xludf.DUMMYFUNCTION("""COMPUTED_VALUE"""),"29,59")</f>
        <v>29,59</v>
      </c>
    </row>
    <row r="5">
      <c r="A5" s="2">
        <f>IFERROR(__xludf.DUMMYFUNCTION("""COMPUTED_VALUE"""),104.0)</f>
        <v>104</v>
      </c>
      <c r="B5" s="2" t="str">
        <f>IFERROR(__xludf.DUMMYFUNCTION("""COMPUTED_VALUE"""),"South Africa-Durban")</f>
        <v>South Africa-Durban</v>
      </c>
      <c r="C5" s="2" t="str">
        <f>IFERROR(__xludf.DUMMYFUNCTION("""COMPUTED_VALUE"""),"B")</f>
        <v>B</v>
      </c>
      <c r="D5" s="2" t="str">
        <f>IFERROR(__xludf.DUMMYFUNCTION("""COMPUTED_VALUE"""),"29,33")</f>
        <v>29,33</v>
      </c>
    </row>
    <row r="6">
      <c r="A6" s="2">
        <f>IFERROR(__xludf.DUMMYFUNCTION("""COMPUTED_VALUE"""),105.0)</f>
        <v>105</v>
      </c>
      <c r="B6" s="2" t="str">
        <f>IFERROR(__xludf.DUMMYFUNCTION("""COMPUTED_VALUE"""),"Colombia-Medell°n")</f>
        <v>Colombia-Medell°n</v>
      </c>
      <c r="C6" s="2" t="str">
        <f>IFERROR(__xludf.DUMMYFUNCTION("""COMPUTED_VALUE"""),"B")</f>
        <v>B</v>
      </c>
      <c r="D6" s="2" t="str">
        <f>IFERROR(__xludf.DUMMYFUNCTION("""COMPUTED_VALUE"""),"29,06")</f>
        <v>29,06</v>
      </c>
    </row>
    <row r="7">
      <c r="A7" s="2">
        <f>IFERROR(__xludf.DUMMYFUNCTION("""COMPUTED_VALUE"""),106.0)</f>
        <v>106</v>
      </c>
      <c r="B7" s="2" t="str">
        <f>IFERROR(__xludf.DUMMYFUNCTION("""COMPUTED_VALUE"""),"Argentina-Buenos Aires")</f>
        <v>Argentina-Buenos Aires</v>
      </c>
      <c r="C7" s="2" t="str">
        <f>IFERROR(__xludf.DUMMYFUNCTION("""COMPUTED_VALUE"""),"B")</f>
        <v>B</v>
      </c>
      <c r="D7" s="2" t="str">
        <f>IFERROR(__xludf.DUMMYFUNCTION("""COMPUTED_VALUE"""),"28,63")</f>
        <v>28,63</v>
      </c>
    </row>
    <row r="8">
      <c r="A8" s="2">
        <f>IFERROR(__xludf.DUMMYFUNCTION("""COMPUTED_VALUE"""),107.0)</f>
        <v>107</v>
      </c>
      <c r="B8" s="2" t="str">
        <f>IFERROR(__xludf.DUMMYFUNCTION("""COMPUTED_VALUE"""),"Colombia-Bogota")</f>
        <v>Colombia-Bogota</v>
      </c>
      <c r="C8" s="2" t="str">
        <f>IFERROR(__xludf.DUMMYFUNCTION("""COMPUTED_VALUE"""),"B")</f>
        <v>B</v>
      </c>
      <c r="D8" s="2" t="str">
        <f>IFERROR(__xludf.DUMMYFUNCTION("""COMPUTED_VALUE"""),"28,47")</f>
        <v>28,47</v>
      </c>
    </row>
    <row r="9">
      <c r="A9" s="2">
        <f>IFERROR(__xludf.DUMMYFUNCTION("""COMPUTED_VALUE"""),108.0)</f>
        <v>108</v>
      </c>
      <c r="B9" s="2" t="str">
        <f>IFERROR(__xludf.DUMMYFUNCTION("""COMPUTED_VALUE"""),"Uruguay-Montevideo")</f>
        <v>Uruguay-Montevideo</v>
      </c>
      <c r="C9" s="2" t="str">
        <f>IFERROR(__xludf.DUMMYFUNCTION("""COMPUTED_VALUE"""),"B")</f>
        <v>B</v>
      </c>
      <c r="D9" s="2" t="str">
        <f>IFERROR(__xludf.DUMMYFUNCTION("""COMPUTED_VALUE"""),"26,84")</f>
        <v>26,84</v>
      </c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2" t="str">
        <f>IFERROR(__xludf.DUMMYFUNCTION("QUERY({IESE2014a!A:C, ARRAYFORMULA(value(REGEXREPLACE(IESE2014a!D:D, "","", "".""))); IESE2014b!A:C, ARRAYFORMULA(value(REGEXREPLACE(IESE2014b!D:D, "","", "".""))); IESE2014c!A:C, ARRAYFORMULA(value(REGEXREPLACE(IESE2014c!D:D, "","", ""."")))}, ""select C"&amp;"ol1, Col2, Col4 where Col1 is not null order by Col1"", 1)"),"Ranking")</f>
        <v>Ranking</v>
      </c>
      <c r="B1" s="2" t="str">
        <f>IFERROR(__xludf.DUMMYFUNCTION("""COMPUTED_VALUE"""),"City")</f>
        <v>City</v>
      </c>
      <c r="C1" s="2" t="str">
        <f>IFERROR(__xludf.DUMMYFUNCTION("""COMPUTED_VALUE"""),"#VALUE!")</f>
        <v>#VALUE!</v>
      </c>
    </row>
    <row r="2">
      <c r="A2" s="2">
        <f>IFERROR(__xludf.DUMMYFUNCTION("""COMPUTED_VALUE"""),1.0)</f>
        <v>1</v>
      </c>
      <c r="B2" s="2" t="str">
        <f>IFERROR(__xludf.DUMMYFUNCTION("""COMPUTED_VALUE"""),"Japan-Tokyo")</f>
        <v>Japan-Tokyo</v>
      </c>
      <c r="C2" s="2">
        <f>IFERROR(__xludf.DUMMYFUNCTION("""COMPUTED_VALUE"""),100.0)</f>
        <v>100</v>
      </c>
    </row>
    <row r="3">
      <c r="A3" s="2">
        <f>IFERROR(__xludf.DUMMYFUNCTION("""COMPUTED_VALUE"""),2.0)</f>
        <v>2</v>
      </c>
      <c r="B3" s="2" t="str">
        <f>IFERROR(__xludf.DUMMYFUNCTION("""COMPUTED_VALUE"""),"United Kingdom-London")</f>
        <v>United Kingdom-London</v>
      </c>
      <c r="C3" s="2">
        <f>IFERROR(__xludf.DUMMYFUNCTION("""COMPUTED_VALUE"""),84.36)</f>
        <v>84.36</v>
      </c>
    </row>
    <row r="4">
      <c r="A4" s="2">
        <f>IFERROR(__xludf.DUMMYFUNCTION("""COMPUTED_VALUE"""),3.0)</f>
        <v>3</v>
      </c>
      <c r="B4" s="2" t="str">
        <f>IFERROR(__xludf.DUMMYFUNCTION("""COMPUTED_VALUE"""),"USA-New York")</f>
        <v>USA-New York</v>
      </c>
      <c r="C4" s="2">
        <f>IFERROR(__xludf.DUMMYFUNCTION("""COMPUTED_VALUE"""),81.25)</f>
        <v>81.25</v>
      </c>
    </row>
    <row r="5">
      <c r="A5" s="2">
        <f>IFERROR(__xludf.DUMMYFUNCTION("""COMPUTED_VALUE"""),4.0)</f>
        <v>4</v>
      </c>
      <c r="B5" s="2" t="str">
        <f>IFERROR(__xludf.DUMMYFUNCTION("""COMPUTED_VALUE"""),"Switzerland-Zurich")</f>
        <v>Switzerland-Zurich</v>
      </c>
      <c r="C5" s="2">
        <f>IFERROR(__xludf.DUMMYFUNCTION("""COMPUTED_VALUE"""),79.94)</f>
        <v>79.94</v>
      </c>
    </row>
    <row r="6">
      <c r="A6" s="2">
        <f>IFERROR(__xludf.DUMMYFUNCTION("""COMPUTED_VALUE"""),5.0)</f>
        <v>5</v>
      </c>
      <c r="B6" s="2" t="str">
        <f>IFERROR(__xludf.DUMMYFUNCTION("""COMPUTED_VALUE"""),"France-Paris")</f>
        <v>France-Paris</v>
      </c>
      <c r="C6" s="2">
        <f>IFERROR(__xludf.DUMMYFUNCTION("""COMPUTED_VALUE"""),79.11)</f>
        <v>79.11</v>
      </c>
    </row>
    <row r="7">
      <c r="A7" s="2">
        <f>IFERROR(__xludf.DUMMYFUNCTION("""COMPUTED_VALUE"""),6.0)</f>
        <v>6</v>
      </c>
      <c r="B7" s="2" t="str">
        <f>IFERROR(__xludf.DUMMYFUNCTION("""COMPUTED_VALUE"""),"Switzerland-Geneva")</f>
        <v>Switzerland-Geneva</v>
      </c>
      <c r="C7" s="2">
        <f>IFERROR(__xludf.DUMMYFUNCTION("""COMPUTED_VALUE"""),75.61)</f>
        <v>75.61</v>
      </c>
    </row>
    <row r="8">
      <c r="A8" s="2">
        <f>IFERROR(__xludf.DUMMYFUNCTION("""COMPUTED_VALUE"""),7.0)</f>
        <v>7</v>
      </c>
      <c r="B8" s="2" t="str">
        <f>IFERROR(__xludf.DUMMYFUNCTION("""COMPUTED_VALUE"""),"Switzerland-Basel")</f>
        <v>Switzerland-Basel</v>
      </c>
      <c r="C8" s="2">
        <f>IFERROR(__xludf.DUMMYFUNCTION("""COMPUTED_VALUE"""),70.91)</f>
        <v>70.91</v>
      </c>
    </row>
    <row r="9">
      <c r="A9" s="2">
        <f>IFERROR(__xludf.DUMMYFUNCTION("""COMPUTED_VALUE"""),8.0)</f>
        <v>8</v>
      </c>
      <c r="B9" s="2" t="str">
        <f>IFERROR(__xludf.DUMMYFUNCTION("""COMPUTED_VALUE"""),"Japan-Osaka")</f>
        <v>Japan-Osaka</v>
      </c>
      <c r="C9" s="2">
        <f>IFERROR(__xludf.DUMMYFUNCTION("""COMPUTED_VALUE"""),68.76)</f>
        <v>68.76</v>
      </c>
    </row>
    <row r="10">
      <c r="A10" s="2">
        <f>IFERROR(__xludf.DUMMYFUNCTION("""COMPUTED_VALUE"""),9.0)</f>
        <v>9</v>
      </c>
      <c r="B10" s="2" t="str">
        <f>IFERROR(__xludf.DUMMYFUNCTION("""COMPUTED_VALUE"""),"South Korea-Seoul")</f>
        <v>South Korea-Seoul</v>
      </c>
      <c r="C10" s="2">
        <f>IFERROR(__xludf.DUMMYFUNCTION("""COMPUTED_VALUE"""),68.27)</f>
        <v>68.27</v>
      </c>
    </row>
    <row r="11">
      <c r="A11" s="2">
        <f>IFERROR(__xludf.DUMMYFUNCTION("""COMPUTED_VALUE"""),10.0)</f>
        <v>10</v>
      </c>
      <c r="B11" s="2" t="str">
        <f>IFERROR(__xludf.DUMMYFUNCTION("""COMPUTED_VALUE"""),"Norway-Oslo")</f>
        <v>Norway-Oslo</v>
      </c>
      <c r="C11" s="2">
        <f>IFERROR(__xludf.DUMMYFUNCTION("""COMPUTED_VALUE"""),68.0)</f>
        <v>68</v>
      </c>
    </row>
    <row r="12">
      <c r="A12" s="2">
        <f>IFERROR(__xludf.DUMMYFUNCTION("""COMPUTED_VALUE"""),11.0)</f>
        <v>11</v>
      </c>
      <c r="B12" s="2" t="str">
        <f>IFERROR(__xludf.DUMMYFUNCTION("""COMPUTED_VALUE"""),"USA-Philadelphia")</f>
        <v>USA-Philadelphia</v>
      </c>
      <c r="C12" s="2">
        <f>IFERROR(__xludf.DUMMYFUNCTION("""COMPUTED_VALUE"""),67.06)</f>
        <v>67.06</v>
      </c>
    </row>
    <row r="13">
      <c r="A13" s="2">
        <f>IFERROR(__xludf.DUMMYFUNCTION("""COMPUTED_VALUE"""),12.0)</f>
        <v>12</v>
      </c>
      <c r="B13" s="2" t="str">
        <f>IFERROR(__xludf.DUMMYFUNCTION("""COMPUTED_VALUE"""),"USA-Los Angeles")</f>
        <v>USA-Los Angeles</v>
      </c>
      <c r="C13" s="2">
        <f>IFERROR(__xludf.DUMMYFUNCTION("""COMPUTED_VALUE"""),67.05)</f>
        <v>67.05</v>
      </c>
    </row>
    <row r="14">
      <c r="A14" s="2">
        <f>IFERROR(__xludf.DUMMYFUNCTION("""COMPUTED_VALUE"""),13.0)</f>
        <v>13</v>
      </c>
      <c r="B14" s="2" t="str">
        <f>IFERROR(__xludf.DUMMYFUNCTION("""COMPUTED_VALUE"""),"USA-Dallas")</f>
        <v>USA-Dallas</v>
      </c>
      <c r="C14" s="2">
        <f>IFERROR(__xludf.DUMMYFUNCTION("""COMPUTED_VALUE"""),65.82)</f>
        <v>65.82</v>
      </c>
    </row>
    <row r="15">
      <c r="A15" s="2">
        <f>IFERROR(__xludf.DUMMYFUNCTION("""COMPUTED_VALUE"""),14.0)</f>
        <v>14</v>
      </c>
      <c r="B15" s="2" t="str">
        <f>IFERROR(__xludf.DUMMYFUNCTION("""COMPUTED_VALUE"""),"Denmark-Copenhagen")</f>
        <v>Denmark-Copenhagen</v>
      </c>
      <c r="C15" s="2">
        <f>IFERROR(__xludf.DUMMYFUNCTION("""COMPUTED_VALUE"""),65.0)</f>
        <v>65</v>
      </c>
    </row>
    <row r="16">
      <c r="A16" s="2">
        <f>IFERROR(__xludf.DUMMYFUNCTION("""COMPUTED_VALUE"""),15.0)</f>
        <v>15</v>
      </c>
      <c r="B16" s="2" t="str">
        <f>IFERROR(__xludf.DUMMYFUNCTION("""COMPUTED_VALUE"""),"Netherlands-Eindhoven")</f>
        <v>Netherlands-Eindhoven</v>
      </c>
      <c r="C16" s="2">
        <f>IFERROR(__xludf.DUMMYFUNCTION("""COMPUTED_VALUE"""),64.21)</f>
        <v>64.21</v>
      </c>
    </row>
    <row r="17">
      <c r="A17" s="2">
        <f>IFERROR(__xludf.DUMMYFUNCTION("""COMPUTED_VALUE"""),16.0)</f>
        <v>16</v>
      </c>
      <c r="B17" s="2" t="str">
        <f>IFERROR(__xludf.DUMMYFUNCTION("""COMPUTED_VALUE"""),"Netherlands-Amsterdam")</f>
        <v>Netherlands-Amsterdam</v>
      </c>
      <c r="C17" s="2">
        <f>IFERROR(__xludf.DUMMYFUNCTION("""COMPUTED_VALUE"""),64.02)</f>
        <v>64.02</v>
      </c>
    </row>
    <row r="18">
      <c r="A18" s="2">
        <f>IFERROR(__xludf.DUMMYFUNCTION("""COMPUTED_VALUE"""),17.0)</f>
        <v>17</v>
      </c>
      <c r="B18" s="2" t="str">
        <f>IFERROR(__xludf.DUMMYFUNCTION("""COMPUTED_VALUE"""),"Australia-Sydney")</f>
        <v>Australia-Sydney</v>
      </c>
      <c r="C18" s="2">
        <f>IFERROR(__xludf.DUMMYFUNCTION("""COMPUTED_VALUE"""),63.81)</f>
        <v>63.81</v>
      </c>
    </row>
    <row r="19">
      <c r="A19" s="2">
        <f>IFERROR(__xludf.DUMMYFUNCTION("""COMPUTED_VALUE"""),18.0)</f>
        <v>18</v>
      </c>
      <c r="B19" s="2" t="str">
        <f>IFERROR(__xludf.DUMMYFUNCTION("""COMPUTED_VALUE"""),"Sweden-Stockholm")</f>
        <v>Sweden-Stockholm</v>
      </c>
      <c r="C19" s="2">
        <f>IFERROR(__xludf.DUMMYFUNCTION("""COMPUTED_VALUE"""),63.26)</f>
        <v>63.26</v>
      </c>
    </row>
    <row r="20">
      <c r="A20" s="2">
        <f>IFERROR(__xludf.DUMMYFUNCTION("""COMPUTED_VALUE"""),19.0)</f>
        <v>19</v>
      </c>
      <c r="B20" s="2" t="str">
        <f>IFERROR(__xludf.DUMMYFUNCTION("""COMPUTED_VALUE"""),"USA-Chicago")</f>
        <v>USA-Chicago</v>
      </c>
      <c r="C20" s="2">
        <f>IFERROR(__xludf.DUMMYFUNCTION("""COMPUTED_VALUE"""),63.23)</f>
        <v>63.23</v>
      </c>
    </row>
    <row r="21">
      <c r="A21" s="2">
        <f>IFERROR(__xludf.DUMMYFUNCTION("""COMPUTED_VALUE"""),20.0)</f>
        <v>20</v>
      </c>
      <c r="B21" s="2" t="str">
        <f>IFERROR(__xludf.DUMMYFUNCTION("""COMPUTED_VALUE"""),"USA-Baltimore")</f>
        <v>USA-Baltimore</v>
      </c>
      <c r="C21" s="2">
        <f>IFERROR(__xludf.DUMMYFUNCTION("""COMPUTED_VALUE"""),61.95)</f>
        <v>61.95</v>
      </c>
    </row>
    <row r="22">
      <c r="A22" s="2">
        <f>IFERROR(__xludf.DUMMYFUNCTION("""COMPUTED_VALUE"""),21.0)</f>
        <v>21</v>
      </c>
      <c r="B22" s="2" t="str">
        <f>IFERROR(__xludf.DUMMYFUNCTION("""COMPUTED_VALUE"""),"Australia-Melbourne")</f>
        <v>Australia-Melbourne</v>
      </c>
      <c r="C22" s="2">
        <f>IFERROR(__xludf.DUMMYFUNCTION("""COMPUTED_VALUE"""),60.8)</f>
        <v>60.8</v>
      </c>
    </row>
    <row r="23">
      <c r="A23" s="2">
        <f>IFERROR(__xludf.DUMMYFUNCTION("""COMPUTED_VALUE"""),22.0)</f>
        <v>22</v>
      </c>
      <c r="B23" s="2" t="str">
        <f>IFERROR(__xludf.DUMMYFUNCTION("""COMPUTED_VALUE"""),"USA-Minneapolis-Saint Paul")</f>
        <v>USA-Minneapolis-Saint Paul</v>
      </c>
      <c r="C23" s="2">
        <f>IFERROR(__xludf.DUMMYFUNCTION("""COMPUTED_VALUE"""),60.72)</f>
        <v>60.72</v>
      </c>
    </row>
    <row r="24">
      <c r="A24" s="2">
        <f>IFERROR(__xludf.DUMMYFUNCTION("""COMPUTED_VALUE"""),23.0)</f>
        <v>23</v>
      </c>
      <c r="B24" s="2" t="str">
        <f>IFERROR(__xludf.DUMMYFUNCTION("""COMPUTED_VALUE"""),"Austria-Linz")</f>
        <v>Austria-Linz</v>
      </c>
      <c r="C24" s="2">
        <f>IFERROR(__xludf.DUMMYFUNCTION("""COMPUTED_VALUE"""),60.42)</f>
        <v>60.42</v>
      </c>
    </row>
    <row r="25">
      <c r="A25" s="2">
        <f>IFERROR(__xludf.DUMMYFUNCTION("""COMPUTED_VALUE"""),24.0)</f>
        <v>24</v>
      </c>
      <c r="B25" s="2" t="str">
        <f>IFERROR(__xludf.DUMMYFUNCTION("""COMPUTED_VALUE"""),"Israel-Haifa")</f>
        <v>Israel-Haifa</v>
      </c>
      <c r="C25" s="2">
        <f>IFERROR(__xludf.DUMMYFUNCTION("""COMPUTED_VALUE"""),59.31)</f>
        <v>59.31</v>
      </c>
    </row>
    <row r="26">
      <c r="A26" s="2">
        <f>IFERROR(__xludf.DUMMYFUNCTION("""COMPUTED_VALUE"""),25.0)</f>
        <v>25</v>
      </c>
      <c r="B26" s="2" t="str">
        <f>IFERROR(__xludf.DUMMYFUNCTION("""COMPUTED_VALUE"""),"USA-Houston")</f>
        <v>USA-Houston</v>
      </c>
      <c r="C26" s="2">
        <f>IFERROR(__xludf.DUMMYFUNCTION("""COMPUTED_VALUE"""),58.81)</f>
        <v>58.81</v>
      </c>
    </row>
    <row r="27">
      <c r="A27" s="2">
        <f>IFERROR(__xludf.DUMMYFUNCTION("""COMPUTED_VALUE"""),26.0)</f>
        <v>26</v>
      </c>
      <c r="B27" s="2" t="str">
        <f>IFERROR(__xludf.DUMMYFUNCTION("""COMPUTED_VALUE"""),"Germany-Munich")</f>
        <v>Germany-Munich</v>
      </c>
      <c r="C27" s="2">
        <f>IFERROR(__xludf.DUMMYFUNCTION("""COMPUTED_VALUE"""),58.73)</f>
        <v>58.73</v>
      </c>
    </row>
    <row r="28">
      <c r="A28" s="2">
        <f>IFERROR(__xludf.DUMMYFUNCTION("""COMPUTED_VALUE"""),27.0)</f>
        <v>27</v>
      </c>
      <c r="B28" s="2" t="str">
        <f>IFERROR(__xludf.DUMMYFUNCTION("""COMPUTED_VALUE"""),"Austria-Vienna")</f>
        <v>Austria-Vienna</v>
      </c>
      <c r="C28" s="2">
        <f>IFERROR(__xludf.DUMMYFUNCTION("""COMPUTED_VALUE"""),58.52)</f>
        <v>58.52</v>
      </c>
    </row>
    <row r="29">
      <c r="A29" s="2">
        <f>IFERROR(__xludf.DUMMYFUNCTION("""COMPUTED_VALUE"""),28.0)</f>
        <v>28</v>
      </c>
      <c r="B29" s="2" t="str">
        <f>IFERROR(__xludf.DUMMYFUNCTION("""COMPUTED_VALUE"""),"Germany-Berlin")</f>
        <v>Germany-Berlin</v>
      </c>
      <c r="C29" s="2">
        <f>IFERROR(__xludf.DUMMYFUNCTION("""COMPUTED_VALUE"""),58.51)</f>
        <v>58.51</v>
      </c>
    </row>
    <row r="30">
      <c r="A30" s="2">
        <f>IFERROR(__xludf.DUMMYFUNCTION("""COMPUTED_VALUE"""),29.0)</f>
        <v>29</v>
      </c>
      <c r="B30" s="2" t="str">
        <f>IFERROR(__xludf.DUMMYFUNCTION("""COMPUTED_VALUE"""),"Canada-Toronto")</f>
        <v>Canada-Toronto</v>
      </c>
      <c r="C30" s="2">
        <f>IFERROR(__xludf.DUMMYFUNCTION("""COMPUTED_VALUE"""),58.05)</f>
        <v>58.05</v>
      </c>
    </row>
    <row r="31">
      <c r="A31" s="2">
        <f>IFERROR(__xludf.DUMMYFUNCTION("""COMPUTED_VALUE"""),30.0)</f>
        <v>30</v>
      </c>
      <c r="B31" s="2" t="str">
        <f>IFERROR(__xludf.DUMMYFUNCTION("""COMPUTED_VALUE"""),"Canada-Ottawa - Gatineau")</f>
        <v>Canada-Ottawa - Gatineau</v>
      </c>
      <c r="C31" s="2">
        <f>IFERROR(__xludf.DUMMYFUNCTION("""COMPUTED_VALUE"""),57.76)</f>
        <v>57.76</v>
      </c>
    </row>
    <row r="32">
      <c r="A32" s="2">
        <f>IFERROR(__xludf.DUMMYFUNCTION("""COMPUTED_VALUE"""),31.0)</f>
        <v>31</v>
      </c>
      <c r="B32" s="2" t="str">
        <f>IFERROR(__xludf.DUMMYFUNCTION("""COMPUTED_VALUE"""),"Finland-Helsinki")</f>
        <v>Finland-Helsinki</v>
      </c>
      <c r="C32" s="2">
        <f>IFERROR(__xludf.DUMMYFUNCTION("""COMPUTED_VALUE"""),57.64)</f>
        <v>57.64</v>
      </c>
    </row>
    <row r="33">
      <c r="A33" s="2">
        <f>IFERROR(__xludf.DUMMYFUNCTION("""COMPUTED_VALUE"""),32.0)</f>
        <v>32</v>
      </c>
      <c r="B33" s="2" t="str">
        <f>IFERROR(__xludf.DUMMYFUNCTION("""COMPUTED_VALUE"""),"United Kingdom-Nottingham")</f>
        <v>United Kingdom-Nottingham</v>
      </c>
      <c r="C33" s="2">
        <f>IFERROR(__xludf.DUMMYFUNCTION("""COMPUTED_VALUE"""),56.59)</f>
        <v>56.59</v>
      </c>
    </row>
    <row r="34">
      <c r="A34" s="2">
        <f>IFERROR(__xludf.DUMMYFUNCTION("""COMPUTED_VALUE"""),33.0)</f>
        <v>33</v>
      </c>
      <c r="B34" s="2" t="str">
        <f>IFERROR(__xludf.DUMMYFUNCTION("""COMPUTED_VALUE"""),"Germany-Cologne")</f>
        <v>Germany-Cologne</v>
      </c>
      <c r="C34" s="2">
        <f>IFERROR(__xludf.DUMMYFUNCTION("""COMPUTED_VALUE"""),55.65)</f>
        <v>55.65</v>
      </c>
    </row>
    <row r="35">
      <c r="A35" s="2">
        <f>IFERROR(__xludf.DUMMYFUNCTION("""COMPUTED_VALUE"""),34.0)</f>
        <v>34</v>
      </c>
      <c r="B35" s="2" t="str">
        <f>IFERROR(__xludf.DUMMYFUNCTION("""COMPUTED_VALUE"""),"Israel-Tel Aviv")</f>
        <v>Israel-Tel Aviv</v>
      </c>
      <c r="C35" s="2">
        <f>IFERROR(__xludf.DUMMYFUNCTION("""COMPUTED_VALUE"""),55.59)</f>
        <v>55.59</v>
      </c>
    </row>
    <row r="36">
      <c r="A36" s="2">
        <f>IFERROR(__xludf.DUMMYFUNCTION("""COMPUTED_VALUE"""),35.0)</f>
        <v>35</v>
      </c>
      <c r="B36" s="2" t="str">
        <f>IFERROR(__xludf.DUMMYFUNCTION("""COMPUTED_VALUE"""),"Germany-Stuttgart")</f>
        <v>Germany-Stuttgart</v>
      </c>
      <c r="C36" s="2">
        <f>IFERROR(__xludf.DUMMYFUNCTION("""COMPUTED_VALUE"""),55.45)</f>
        <v>55.45</v>
      </c>
    </row>
    <row r="37">
      <c r="A37" s="2">
        <f>IFERROR(__xludf.DUMMYFUNCTION("""COMPUTED_VALUE"""),36.0)</f>
        <v>36</v>
      </c>
      <c r="B37" s="2" t="str">
        <f>IFERROR(__xludf.DUMMYFUNCTION("""COMPUTED_VALUE"""),"United Kingdom-Liverpool")</f>
        <v>United Kingdom-Liverpool</v>
      </c>
      <c r="C37" s="2">
        <f>IFERROR(__xludf.DUMMYFUNCTION("""COMPUTED_VALUE"""),54.87)</f>
        <v>54.87</v>
      </c>
    </row>
    <row r="38">
      <c r="A38" s="2">
        <f>IFERROR(__xludf.DUMMYFUNCTION("""COMPUTED_VALUE"""),37.0)</f>
        <v>37</v>
      </c>
      <c r="B38" s="2" t="str">
        <f>IFERROR(__xludf.DUMMYFUNCTION("""COMPUTED_VALUE"""),"Sweden-Gothenburg")</f>
        <v>Sweden-Gothenburg</v>
      </c>
      <c r="C38" s="2">
        <f>IFERROR(__xludf.DUMMYFUNCTION("""COMPUTED_VALUE"""),54.78)</f>
        <v>54.78</v>
      </c>
    </row>
    <row r="39">
      <c r="A39" s="2">
        <f>IFERROR(__xludf.DUMMYFUNCTION("""COMPUTED_VALUE"""),38.0)</f>
        <v>38</v>
      </c>
      <c r="B39" s="2" t="str">
        <f>IFERROR(__xludf.DUMMYFUNCTION("""COMPUTED_VALUE"""),"France-Lille")</f>
        <v>France-Lille</v>
      </c>
      <c r="C39" s="2">
        <f>IFERROR(__xludf.DUMMYFUNCTION("""COMPUTED_VALUE"""),54.43)</f>
        <v>54.43</v>
      </c>
    </row>
    <row r="40">
      <c r="A40" s="2">
        <f>IFERROR(__xludf.DUMMYFUNCTION("""COMPUTED_VALUE"""),39.0)</f>
        <v>39</v>
      </c>
      <c r="B40" s="2" t="str">
        <f>IFERROR(__xludf.DUMMYFUNCTION("""COMPUTED_VALUE"""),"Germany-Frankfurt am Main")</f>
        <v>Germany-Frankfurt am Main</v>
      </c>
      <c r="C40" s="2">
        <f>IFERROR(__xludf.DUMMYFUNCTION("""COMPUTED_VALUE"""),54.3)</f>
        <v>54.3</v>
      </c>
    </row>
    <row r="41">
      <c r="A41" s="2">
        <f>IFERROR(__xludf.DUMMYFUNCTION("""COMPUTED_VALUE"""),40.0)</f>
        <v>40</v>
      </c>
      <c r="B41" s="2" t="str">
        <f>IFERROR(__xludf.DUMMYFUNCTION("""COMPUTED_VALUE"""),"France-Nice")</f>
        <v>France-Nice</v>
      </c>
      <c r="C41" s="2">
        <f>IFERROR(__xludf.DUMMYFUNCTION("""COMPUTED_VALUE"""),54.29)</f>
        <v>54.29</v>
      </c>
    </row>
    <row r="42">
      <c r="A42" s="2">
        <f>IFERROR(__xludf.DUMMYFUNCTION("""COMPUTED_VALUE"""),41.0)</f>
        <v>41</v>
      </c>
      <c r="B42" s="2" t="str">
        <f>IFERROR(__xludf.DUMMYFUNCTION("""COMPUTED_VALUE"""),"Germany-Hamburg")</f>
        <v>Germany-Hamburg</v>
      </c>
      <c r="C42" s="2">
        <f>IFERROR(__xludf.DUMMYFUNCTION("""COMPUTED_VALUE"""),53.65)</f>
        <v>53.65</v>
      </c>
    </row>
    <row r="43">
      <c r="A43" s="2">
        <f>IFERROR(__xludf.DUMMYFUNCTION("""COMPUTED_VALUE"""),42.0)</f>
        <v>42</v>
      </c>
      <c r="B43" s="2" t="str">
        <f>IFERROR(__xludf.DUMMYFUNCTION("""COMPUTED_VALUE"""),"United Kingdom-Manchester")</f>
        <v>United Kingdom-Manchester</v>
      </c>
      <c r="C43" s="2">
        <f>IFERROR(__xludf.DUMMYFUNCTION("""COMPUTED_VALUE"""),53.62)</f>
        <v>53.62</v>
      </c>
    </row>
    <row r="44">
      <c r="A44" s="2">
        <f>IFERROR(__xludf.DUMMYFUNCTION("""COMPUTED_VALUE"""),43.0)</f>
        <v>43</v>
      </c>
      <c r="B44" s="2" t="str">
        <f>IFERROR(__xludf.DUMMYFUNCTION("""COMPUTED_VALUE"""),"Ireland-Dublin")</f>
        <v>Ireland-Dublin</v>
      </c>
      <c r="C44" s="2">
        <f>IFERROR(__xludf.DUMMYFUNCTION("""COMPUTED_VALUE"""),53.15)</f>
        <v>53.15</v>
      </c>
    </row>
    <row r="45">
      <c r="A45" s="2">
        <f>IFERROR(__xludf.DUMMYFUNCTION("""COMPUTED_VALUE"""),44.0)</f>
        <v>44</v>
      </c>
      <c r="B45" s="2" t="str">
        <f>IFERROR(__xludf.DUMMYFUNCTION("""COMPUTED_VALUE"""),"Canada-Vancouver")</f>
        <v>Canada-Vancouver</v>
      </c>
      <c r="C45" s="2">
        <f>IFERROR(__xludf.DUMMYFUNCTION("""COMPUTED_VALUE"""),53.14)</f>
        <v>53.14</v>
      </c>
    </row>
    <row r="46">
      <c r="A46" s="2">
        <f>IFERROR(__xludf.DUMMYFUNCTION("""COMPUTED_VALUE"""),45.0)</f>
        <v>45</v>
      </c>
      <c r="B46" s="2" t="str">
        <f>IFERROR(__xludf.DUMMYFUNCTION("""COMPUTED_VALUE"""),"Belgium-Brussels")</f>
        <v>Belgium-Brussels</v>
      </c>
      <c r="C46" s="2">
        <f>IFERROR(__xludf.DUMMYFUNCTION("""COMPUTED_VALUE"""),52.89)</f>
        <v>52.89</v>
      </c>
    </row>
    <row r="47">
      <c r="A47" s="2">
        <f>IFERROR(__xludf.DUMMYFUNCTION("""COMPUTED_VALUE"""),46.0)</f>
        <v>46</v>
      </c>
      <c r="B47" s="2" t="str">
        <f>IFERROR(__xludf.DUMMYFUNCTION("""COMPUTED_VALUE"""),"United Kingdom-Glasgow")</f>
        <v>United Kingdom-Glasgow</v>
      </c>
      <c r="C47" s="2">
        <f>IFERROR(__xludf.DUMMYFUNCTION("""COMPUTED_VALUE"""),52.67)</f>
        <v>52.67</v>
      </c>
    </row>
    <row r="48">
      <c r="A48" s="2">
        <f>IFERROR(__xludf.DUMMYFUNCTION("""COMPUTED_VALUE"""),47.0)</f>
        <v>47</v>
      </c>
      <c r="B48" s="2" t="str">
        <f>IFERROR(__xludf.DUMMYFUNCTION("""COMPUTED_VALUE"""),"Canada-Montreal")</f>
        <v>Canada-Montreal</v>
      </c>
      <c r="C48" s="2">
        <f>IFERROR(__xludf.DUMMYFUNCTION("""COMPUTED_VALUE"""),52.4)</f>
        <v>52.4</v>
      </c>
    </row>
    <row r="49">
      <c r="A49" s="2">
        <f>IFERROR(__xludf.DUMMYFUNCTION("""COMPUTED_VALUE"""),48.0)</f>
        <v>48</v>
      </c>
      <c r="B49" s="2" t="str">
        <f>IFERROR(__xludf.DUMMYFUNCTION("""COMPUTED_VALUE"""),"United Kingdom-Birmingham")</f>
        <v>United Kingdom-Birmingham</v>
      </c>
      <c r="C49" s="2">
        <f>IFERROR(__xludf.DUMMYFUNCTION("""COMPUTED_VALUE"""),52.33)</f>
        <v>52.33</v>
      </c>
    </row>
    <row r="50">
      <c r="A50" s="2">
        <f>IFERROR(__xludf.DUMMYFUNCTION("""COMPUTED_VALUE"""),49.0)</f>
        <v>49</v>
      </c>
      <c r="B50" s="2" t="str">
        <f>IFERROR(__xludf.DUMMYFUNCTION("""COMPUTED_VALUE"""),"United Kingdom-Leeds")</f>
        <v>United Kingdom-Leeds</v>
      </c>
      <c r="C50" s="2">
        <f>IFERROR(__xludf.DUMMYFUNCTION("""COMPUTED_VALUE"""),51.85)</f>
        <v>51.85</v>
      </c>
    </row>
    <row r="51">
      <c r="A51" s="2">
        <f>IFERROR(__xludf.DUMMYFUNCTION("""COMPUTED_VALUE"""),50.0)</f>
        <v>50</v>
      </c>
      <c r="B51" s="2" t="str">
        <f>IFERROR(__xludf.DUMMYFUNCTION("""COMPUTED_VALUE"""),"Germany-Duisburg")</f>
        <v>Germany-Duisburg</v>
      </c>
      <c r="C51" s="2">
        <f>IFERROR(__xludf.DUMMYFUNCTION("""COMPUTED_VALUE"""),51.81)</f>
        <v>51.81</v>
      </c>
    </row>
    <row r="52">
      <c r="A52" s="2">
        <f>IFERROR(__xludf.DUMMYFUNCTION("""COMPUTED_VALUE"""),51.0)</f>
        <v>51</v>
      </c>
      <c r="B52" s="2" t="str">
        <f>IFERROR(__xludf.DUMMYFUNCTION("""COMPUTED_VALUE"""),"Spain-Barcelona")</f>
        <v>Spain-Barcelona</v>
      </c>
      <c r="C52" s="2">
        <f>IFERROR(__xludf.DUMMYFUNCTION("""COMPUTED_VALUE"""),51.18)</f>
        <v>51.18</v>
      </c>
    </row>
    <row r="53">
      <c r="A53" s="2">
        <f>IFERROR(__xludf.DUMMYFUNCTION("""COMPUTED_VALUE"""),52.0)</f>
        <v>52</v>
      </c>
      <c r="B53" s="2" t="str">
        <f>IFERROR(__xludf.DUMMYFUNCTION("""COMPUTED_VALUE"""),"Spain-Madrid")</f>
        <v>Spain-Madrid</v>
      </c>
      <c r="C53" s="2">
        <f>IFERROR(__xludf.DUMMYFUNCTION("""COMPUTED_VALUE"""),51.08)</f>
        <v>51.08</v>
      </c>
    </row>
    <row r="54">
      <c r="A54" s="2">
        <f>IFERROR(__xludf.DUMMYFUNCTION("""COMPUTED_VALUE"""),53.0)</f>
        <v>53</v>
      </c>
      <c r="B54" s="2" t="str">
        <f>IFERROR(__xludf.DUMMYFUNCTION("""COMPUTED_VALUE"""),"Saudi Arabia-Riyadh")</f>
        <v>Saudi Arabia-Riyadh</v>
      </c>
      <c r="C54" s="2">
        <f>IFERROR(__xludf.DUMMYFUNCTION("""COMPUTED_VALUE"""),50.74)</f>
        <v>50.74</v>
      </c>
    </row>
    <row r="55">
      <c r="A55" s="2">
        <f>IFERROR(__xludf.DUMMYFUNCTION("""COMPUTED_VALUE"""),54.0)</f>
        <v>54</v>
      </c>
      <c r="B55" s="2" t="str">
        <f>IFERROR(__xludf.DUMMYFUNCTION("""COMPUTED_VALUE"""),"Italy-Rome")</f>
        <v>Italy-Rome</v>
      </c>
      <c r="C55" s="2">
        <f>IFERROR(__xludf.DUMMYFUNCTION("""COMPUTED_VALUE"""),50.74)</f>
        <v>50.74</v>
      </c>
    </row>
    <row r="56">
      <c r="A56" s="2">
        <f>IFERROR(__xludf.DUMMYFUNCTION("""COMPUTED_VALUE"""),55.0)</f>
        <v>55</v>
      </c>
      <c r="B56" s="2" t="str">
        <f>IFERROR(__xludf.DUMMYFUNCTION("""COMPUTED_VALUE"""),"New Zealand-Auckland")</f>
        <v>New Zealand-Auckland</v>
      </c>
      <c r="C56" s="2">
        <f>IFERROR(__xludf.DUMMYFUNCTION("""COMPUTED_VALUE"""),50.22)</f>
        <v>50.22</v>
      </c>
    </row>
    <row r="57">
      <c r="A57" s="2">
        <f>IFERROR(__xludf.DUMMYFUNCTION("""COMPUTED_VALUE"""),56.0)</f>
        <v>56</v>
      </c>
      <c r="B57" s="2" t="str">
        <f>IFERROR(__xludf.DUMMYFUNCTION("""COMPUTED_VALUE"""),"Malaysia-Kuala Lumpur")</f>
        <v>Malaysia-Kuala Lumpur</v>
      </c>
      <c r="C57" s="2">
        <f>IFERROR(__xludf.DUMMYFUNCTION("""COMPUTED_VALUE"""),50.19)</f>
        <v>50.19</v>
      </c>
    </row>
    <row r="58">
      <c r="A58" s="2">
        <f>IFERROR(__xludf.DUMMYFUNCTION("""COMPUTED_VALUE"""),57.0)</f>
        <v>57</v>
      </c>
      <c r="B58" s="2" t="str">
        <f>IFERROR(__xludf.DUMMYFUNCTION("""COMPUTED_VALUE"""),"Italy-Florence")</f>
        <v>Italy-Florence</v>
      </c>
      <c r="C58" s="2">
        <f>IFERROR(__xludf.DUMMYFUNCTION("""COMPUTED_VALUE"""),49.76)</f>
        <v>49.76</v>
      </c>
    </row>
    <row r="59">
      <c r="A59" s="2">
        <f>IFERROR(__xludf.DUMMYFUNCTION("""COMPUTED_VALUE"""),58.0)</f>
        <v>58</v>
      </c>
      <c r="B59" s="2" t="str">
        <f>IFERROR(__xludf.DUMMYFUNCTION("""COMPUTED_VALUE"""),"Italy-Milan")</f>
        <v>Italy-Milan</v>
      </c>
      <c r="C59" s="2">
        <f>IFERROR(__xludf.DUMMYFUNCTION("""COMPUTED_VALUE"""),49.68)</f>
        <v>49.68</v>
      </c>
    </row>
    <row r="60">
      <c r="A60" s="2">
        <f>IFERROR(__xludf.DUMMYFUNCTION("""COMPUTED_VALUE"""),59.0)</f>
        <v>59</v>
      </c>
      <c r="B60" s="2" t="str">
        <f>IFERROR(__xludf.DUMMYFUNCTION("""COMPUTED_VALUE"""),"France-Lyon")</f>
        <v>France-Lyon</v>
      </c>
      <c r="C60" s="2">
        <f>IFERROR(__xludf.DUMMYFUNCTION("""COMPUTED_VALUE"""),49.38)</f>
        <v>49.38</v>
      </c>
    </row>
    <row r="61">
      <c r="A61" s="2">
        <f>IFERROR(__xludf.DUMMYFUNCTION("""COMPUTED_VALUE"""),60.0)</f>
        <v>60</v>
      </c>
      <c r="B61" s="2" t="str">
        <f>IFERROR(__xludf.DUMMYFUNCTION("""COMPUTED_VALUE"""),"Qatar-Doha")</f>
        <v>Qatar-Doha</v>
      </c>
      <c r="C61" s="2">
        <f>IFERROR(__xludf.DUMMYFUNCTION("""COMPUTED_VALUE"""),49.36)</f>
        <v>49.36</v>
      </c>
    </row>
    <row r="62">
      <c r="A62" s="2">
        <f>IFERROR(__xludf.DUMMYFUNCTION("""COMPUTED_VALUE"""),61.0)</f>
        <v>61</v>
      </c>
      <c r="B62" s="2" t="str">
        <f>IFERROR(__xludf.DUMMYFUNCTION("""COMPUTED_VALUE"""),"France-Marseille")</f>
        <v>France-Marseille</v>
      </c>
      <c r="C62" s="2">
        <f>IFERROR(__xludf.DUMMYFUNCTION("""COMPUTED_VALUE"""),48.49)</f>
        <v>48.49</v>
      </c>
    </row>
    <row r="63">
      <c r="A63" s="2">
        <f>IFERROR(__xludf.DUMMYFUNCTION("""COMPUTED_VALUE"""),62.0)</f>
        <v>62</v>
      </c>
      <c r="B63" s="2" t="str">
        <f>IFERROR(__xludf.DUMMYFUNCTION("""COMPUTED_VALUE"""),"China-Beijing")</f>
        <v>China-Beijing</v>
      </c>
      <c r="C63" s="2">
        <f>IFERROR(__xludf.DUMMYFUNCTION("""COMPUTED_VALUE"""),48.44)</f>
        <v>48.44</v>
      </c>
    </row>
    <row r="64">
      <c r="A64" s="2">
        <f>IFERROR(__xludf.DUMMYFUNCTION("""COMPUTED_VALUE"""),63.0)</f>
        <v>63</v>
      </c>
      <c r="B64" s="2" t="str">
        <f>IFERROR(__xludf.DUMMYFUNCTION("""COMPUTED_VALUE"""),"United Arab Emirates-Dubai")</f>
        <v>United Arab Emirates-Dubai</v>
      </c>
      <c r="C64" s="2">
        <f>IFERROR(__xludf.DUMMYFUNCTION("""COMPUTED_VALUE"""),48.09)</f>
        <v>48.09</v>
      </c>
    </row>
    <row r="65">
      <c r="A65" s="2">
        <f>IFERROR(__xludf.DUMMYFUNCTION("""COMPUTED_VALUE"""),64.0)</f>
        <v>64</v>
      </c>
      <c r="B65" s="2" t="str">
        <f>IFERROR(__xludf.DUMMYFUNCTION("""COMPUTED_VALUE"""),"South Korea-Daejeon")</f>
        <v>South Korea-Daejeon</v>
      </c>
      <c r="C65" s="2">
        <f>IFERROR(__xludf.DUMMYFUNCTION("""COMPUTED_VALUE"""),48.07)</f>
        <v>48.07</v>
      </c>
    </row>
    <row r="66">
      <c r="A66" s="2">
        <f>IFERROR(__xludf.DUMMYFUNCTION("""COMPUTED_VALUE"""),65.0)</f>
        <v>65</v>
      </c>
      <c r="B66" s="2" t="str">
        <f>IFERROR(__xludf.DUMMYFUNCTION("""COMPUTED_VALUE"""),"Czech Republic-Prague")</f>
        <v>Czech Republic-Prague</v>
      </c>
      <c r="C66" s="2">
        <f>IFERROR(__xludf.DUMMYFUNCTION("""COMPUTED_VALUE"""),48.05)</f>
        <v>48.05</v>
      </c>
    </row>
    <row r="67">
      <c r="A67" s="2">
        <f>IFERROR(__xludf.DUMMYFUNCTION("""COMPUTED_VALUE"""),66.0)</f>
        <v>66</v>
      </c>
      <c r="B67" s="2" t="str">
        <f>IFERROR(__xludf.DUMMYFUNCTION("""COMPUTED_VALUE"""),"Thailand-Bangkok")</f>
        <v>Thailand-Bangkok</v>
      </c>
      <c r="C67" s="2">
        <f>IFERROR(__xludf.DUMMYFUNCTION("""COMPUTED_VALUE"""),47.65)</f>
        <v>47.65</v>
      </c>
    </row>
    <row r="68">
      <c r="A68" s="2">
        <f>IFERROR(__xludf.DUMMYFUNCTION("""COMPUTED_VALUE"""),67.0)</f>
        <v>67</v>
      </c>
      <c r="B68" s="2" t="str">
        <f>IFERROR(__xludf.DUMMYFUNCTION("""COMPUTED_VALUE"""),"Portugal-Porto")</f>
        <v>Portugal-Porto</v>
      </c>
      <c r="C68" s="2">
        <f>IFERROR(__xludf.DUMMYFUNCTION("""COMPUTED_VALUE"""),47.63)</f>
        <v>47.63</v>
      </c>
    </row>
    <row r="69">
      <c r="A69" s="2">
        <f>IFERROR(__xludf.DUMMYFUNCTION("""COMPUTED_VALUE"""),68.0)</f>
        <v>68</v>
      </c>
      <c r="B69" s="2" t="str">
        <f>IFERROR(__xludf.DUMMYFUNCTION("""COMPUTED_VALUE"""),"South Korea-Daegu")</f>
        <v>South Korea-Daegu</v>
      </c>
      <c r="C69" s="2">
        <f>IFERROR(__xludf.DUMMYFUNCTION("""COMPUTED_VALUE"""),47.24)</f>
        <v>47.24</v>
      </c>
    </row>
    <row r="70">
      <c r="A70" s="2">
        <f>IFERROR(__xludf.DUMMYFUNCTION("""COMPUTED_VALUE"""),69.0)</f>
        <v>69</v>
      </c>
      <c r="B70" s="2" t="str">
        <f>IFERROR(__xludf.DUMMYFUNCTION("""COMPUTED_VALUE"""),"Italy-Turin")</f>
        <v>Italy-Turin</v>
      </c>
      <c r="C70" s="2">
        <f>IFERROR(__xludf.DUMMYFUNCTION("""COMPUTED_VALUE"""),46.59)</f>
        <v>46.59</v>
      </c>
    </row>
    <row r="71">
      <c r="A71" s="2">
        <f>IFERROR(__xludf.DUMMYFUNCTION("""COMPUTED_VALUE"""),70.0)</f>
        <v>70</v>
      </c>
      <c r="B71" s="2" t="str">
        <f>IFERROR(__xludf.DUMMYFUNCTION("""COMPUTED_VALUE"""),"United Arab Emirates-Abu Dhabi")</f>
        <v>United Arab Emirates-Abu Dhabi</v>
      </c>
      <c r="C71" s="2">
        <f>IFERROR(__xludf.DUMMYFUNCTION("""COMPUTED_VALUE"""),46.08)</f>
        <v>46.08</v>
      </c>
    </row>
    <row r="72">
      <c r="A72" s="2">
        <f>IFERROR(__xludf.DUMMYFUNCTION("""COMPUTED_VALUE"""),71.0)</f>
        <v>71</v>
      </c>
      <c r="B72" s="2" t="str">
        <f>IFERROR(__xludf.DUMMYFUNCTION("""COMPUTED_VALUE"""),"Spain-Valencia")</f>
        <v>Spain-Valencia</v>
      </c>
      <c r="C72" s="2">
        <f>IFERROR(__xludf.DUMMYFUNCTION("""COMPUTED_VALUE"""),45.87)</f>
        <v>45.87</v>
      </c>
    </row>
    <row r="73">
      <c r="A73" s="2">
        <f>IFERROR(__xludf.DUMMYFUNCTION("""COMPUTED_VALUE"""),72.0)</f>
        <v>72</v>
      </c>
      <c r="B73" s="2" t="str">
        <f>IFERROR(__xludf.DUMMYFUNCTION("""COMPUTED_VALUE"""),"South Korea-Busan")</f>
        <v>South Korea-Busan</v>
      </c>
      <c r="C73" s="2">
        <f>IFERROR(__xludf.DUMMYFUNCTION("""COMPUTED_VALUE"""),44.98)</f>
        <v>44.98</v>
      </c>
    </row>
    <row r="74">
      <c r="A74" s="2">
        <f>IFERROR(__xludf.DUMMYFUNCTION("""COMPUTED_VALUE"""),73.0)</f>
        <v>73</v>
      </c>
      <c r="B74" s="2" t="str">
        <f>IFERROR(__xludf.DUMMYFUNCTION("""COMPUTED_VALUE"""),"China-Shanghai")</f>
        <v>China-Shanghai</v>
      </c>
      <c r="C74" s="2">
        <f>IFERROR(__xludf.DUMMYFUNCTION("""COMPUTED_VALUE"""),44.74)</f>
        <v>44.74</v>
      </c>
    </row>
    <row r="75">
      <c r="A75" s="2">
        <f>IFERROR(__xludf.DUMMYFUNCTION("""COMPUTED_VALUE"""),74.0)</f>
        <v>74</v>
      </c>
      <c r="B75" s="2" t="str">
        <f>IFERROR(__xludf.DUMMYFUNCTION("""COMPUTED_VALUE"""),"Hungary-Budapest")</f>
        <v>Hungary-Budapest</v>
      </c>
      <c r="C75" s="2">
        <f>IFERROR(__xludf.DUMMYFUNCTION("""COMPUTED_VALUE"""),44.02)</f>
        <v>44.02</v>
      </c>
    </row>
    <row r="76">
      <c r="A76" s="2">
        <f>IFERROR(__xludf.DUMMYFUNCTION("""COMPUTED_VALUE"""),75.0)</f>
        <v>75</v>
      </c>
      <c r="B76" s="2" t="str">
        <f>IFERROR(__xludf.DUMMYFUNCTION("""COMPUTED_VALUE"""),"Turkey-Istanbul")</f>
        <v>Turkey-Istanbul</v>
      </c>
      <c r="C76" s="2">
        <f>IFERROR(__xludf.DUMMYFUNCTION("""COMPUTED_VALUE"""),43.5)</f>
        <v>43.5</v>
      </c>
    </row>
    <row r="77">
      <c r="A77" s="2">
        <f>IFERROR(__xludf.DUMMYFUNCTION("""COMPUTED_VALUE"""),76.0)</f>
        <v>76</v>
      </c>
      <c r="B77" s="2" t="str">
        <f>IFERROR(__xludf.DUMMYFUNCTION("""COMPUTED_VALUE"""),"Poland-Warsaw")</f>
        <v>Poland-Warsaw</v>
      </c>
      <c r="C77" s="2">
        <f>IFERROR(__xludf.DUMMYFUNCTION("""COMPUTED_VALUE"""),43.33)</f>
        <v>43.33</v>
      </c>
    </row>
    <row r="78">
      <c r="A78" s="2">
        <f>IFERROR(__xludf.DUMMYFUNCTION("""COMPUTED_VALUE"""),77.0)</f>
        <v>77</v>
      </c>
      <c r="B78" s="2" t="str">
        <f>IFERROR(__xludf.DUMMYFUNCTION("""COMPUTED_VALUE"""),"Spain-Seville")</f>
        <v>Spain-Seville</v>
      </c>
      <c r="C78" s="2">
        <f>IFERROR(__xludf.DUMMYFUNCTION("""COMPUTED_VALUE"""),43.21)</f>
        <v>43.21</v>
      </c>
    </row>
    <row r="79">
      <c r="A79" s="2">
        <f>IFERROR(__xludf.DUMMYFUNCTION("""COMPUTED_VALUE"""),78.0)</f>
        <v>78</v>
      </c>
      <c r="B79" s="2" t="str">
        <f>IFERROR(__xludf.DUMMYFUNCTION("""COMPUTED_VALUE"""),"Italy-Naples")</f>
        <v>Italy-Naples</v>
      </c>
      <c r="C79" s="2">
        <f>IFERROR(__xludf.DUMMYFUNCTION("""COMPUTED_VALUE"""),42.2)</f>
        <v>42.2</v>
      </c>
    </row>
    <row r="80">
      <c r="A80" s="2">
        <f>IFERROR(__xludf.DUMMYFUNCTION("""COMPUTED_VALUE"""),79.0)</f>
        <v>79</v>
      </c>
      <c r="B80" s="2" t="str">
        <f>IFERROR(__xludf.DUMMYFUNCTION("""COMPUTED_VALUE"""),"Portugal-Lisbon")</f>
        <v>Portugal-Lisbon</v>
      </c>
      <c r="C80" s="2">
        <f>IFERROR(__xludf.DUMMYFUNCTION("""COMPUTED_VALUE"""),41.73)</f>
        <v>41.73</v>
      </c>
    </row>
    <row r="81">
      <c r="A81" s="2">
        <f>IFERROR(__xludf.DUMMYFUNCTION("""COMPUTED_VALUE"""),80.0)</f>
        <v>80</v>
      </c>
      <c r="B81" s="2" t="str">
        <f>IFERROR(__xludf.DUMMYFUNCTION("""COMPUTED_VALUE"""),"Saudi Arabia-Jeddah")</f>
        <v>Saudi Arabia-Jeddah</v>
      </c>
      <c r="C81" s="2">
        <f>IFERROR(__xludf.DUMMYFUNCTION("""COMPUTED_VALUE"""),41.26)</f>
        <v>41.26</v>
      </c>
    </row>
    <row r="82">
      <c r="A82" s="2">
        <f>IFERROR(__xludf.DUMMYFUNCTION("""COMPUTED_VALUE"""),81.0)</f>
        <v>81</v>
      </c>
      <c r="B82" s="2" t="str">
        <f>IFERROR(__xludf.DUMMYFUNCTION("""COMPUTED_VALUE"""),"Taiwan-Taipei")</f>
        <v>Taiwan-Taipei</v>
      </c>
      <c r="C82" s="2">
        <f>IFERROR(__xludf.DUMMYFUNCTION("""COMPUTED_VALUE"""),40.98)</f>
        <v>40.98</v>
      </c>
    </row>
    <row r="83">
      <c r="A83" s="2">
        <f>IFERROR(__xludf.DUMMYFUNCTION("""COMPUTED_VALUE"""),82.0)</f>
        <v>82</v>
      </c>
      <c r="B83" s="2" t="str">
        <f>IFERROR(__xludf.DUMMYFUNCTION("""COMPUTED_VALUE"""),"Poland-Wroclaw")</f>
        <v>Poland-Wroclaw</v>
      </c>
      <c r="C83" s="2">
        <f>IFERROR(__xludf.DUMMYFUNCTION("""COMPUTED_VALUE"""),40.32)</f>
        <v>40.32</v>
      </c>
    </row>
    <row r="84">
      <c r="A84" s="2">
        <f>IFERROR(__xludf.DUMMYFUNCTION("""COMPUTED_VALUE"""),83.0)</f>
        <v>83</v>
      </c>
      <c r="B84" s="2" t="str">
        <f>IFERROR(__xludf.DUMMYFUNCTION("""COMPUTED_VALUE"""),"Chile-Santiago")</f>
        <v>Chile-Santiago</v>
      </c>
      <c r="C84" s="2">
        <f>IFERROR(__xludf.DUMMYFUNCTION("""COMPUTED_VALUE"""),40.0)</f>
        <v>40</v>
      </c>
    </row>
    <row r="85">
      <c r="A85" s="2">
        <f>IFERROR(__xludf.DUMMYFUNCTION("""COMPUTED_VALUE"""),84.0)</f>
        <v>84</v>
      </c>
      <c r="B85" s="2" t="str">
        <f>IFERROR(__xludf.DUMMYFUNCTION("""COMPUTED_VALUE"""),"Russia-Moscow")</f>
        <v>Russia-Moscow</v>
      </c>
      <c r="C85" s="2">
        <f>IFERROR(__xludf.DUMMYFUNCTION("""COMPUTED_VALUE"""),38.18)</f>
        <v>38.18</v>
      </c>
    </row>
    <row r="86">
      <c r="A86" s="2">
        <f>IFERROR(__xludf.DUMMYFUNCTION("""COMPUTED_VALUE"""),85.0)</f>
        <v>85</v>
      </c>
      <c r="B86" s="2" t="str">
        <f>IFERROR(__xludf.DUMMYFUNCTION("""COMPUTED_VALUE"""),"Turkey-Bursa")</f>
        <v>Turkey-Bursa</v>
      </c>
      <c r="C86" s="2">
        <f>IFERROR(__xludf.DUMMYFUNCTION("""COMPUTED_VALUE"""),37.39)</f>
        <v>37.39</v>
      </c>
    </row>
    <row r="87">
      <c r="A87" s="2">
        <f>IFERROR(__xludf.DUMMYFUNCTION("""COMPUTED_VALUE"""),86.0)</f>
        <v>86</v>
      </c>
      <c r="B87" s="2" t="str">
        <f>IFERROR(__xludf.DUMMYFUNCTION("""COMPUTED_VALUE"""),"Slovenia-Ljubljana")</f>
        <v>Slovenia-Ljubljana</v>
      </c>
      <c r="C87" s="2">
        <f>IFERROR(__xludf.DUMMYFUNCTION("""COMPUTED_VALUE"""),36.65)</f>
        <v>36.65</v>
      </c>
    </row>
    <row r="88">
      <c r="A88" s="2">
        <f>IFERROR(__xludf.DUMMYFUNCTION("""COMPUTED_VALUE"""),87.0)</f>
        <v>87</v>
      </c>
      <c r="B88" s="2" t="str">
        <f>IFERROR(__xludf.DUMMYFUNCTION("""COMPUTED_VALUE"""),"Latvia-Riga")</f>
        <v>Latvia-Riga</v>
      </c>
      <c r="C88" s="2">
        <f>IFERROR(__xludf.DUMMYFUNCTION("""COMPUTED_VALUE"""),36.25)</f>
        <v>36.25</v>
      </c>
    </row>
    <row r="89">
      <c r="A89" s="2">
        <f>IFERROR(__xludf.DUMMYFUNCTION("""COMPUTED_VALUE"""),88.0)</f>
        <v>88</v>
      </c>
      <c r="B89" s="2" t="str">
        <f>IFERROR(__xludf.DUMMYFUNCTION("""COMPUTED_VALUE"""),"China-Guangzhou")</f>
        <v>China-Guangzhou</v>
      </c>
      <c r="C89" s="2">
        <f>IFERROR(__xludf.DUMMYFUNCTION("""COMPUTED_VALUE"""),36.1)</f>
        <v>36.1</v>
      </c>
    </row>
    <row r="90">
      <c r="A90" s="2">
        <f>IFERROR(__xludf.DUMMYFUNCTION("""COMPUTED_VALUE"""),89.0)</f>
        <v>89</v>
      </c>
      <c r="B90" s="2" t="str">
        <f>IFERROR(__xludf.DUMMYFUNCTION("""COMPUTED_VALUE"""),"Greece-Athens")</f>
        <v>Greece-Athens</v>
      </c>
      <c r="C90" s="2">
        <f>IFERROR(__xludf.DUMMYFUNCTION("""COMPUTED_VALUE"""),35.36)</f>
        <v>35.36</v>
      </c>
    </row>
    <row r="91">
      <c r="A91" s="2">
        <f>IFERROR(__xludf.DUMMYFUNCTION("""COMPUTED_VALUE"""),90.0)</f>
        <v>90</v>
      </c>
      <c r="B91" s="2" t="str">
        <f>IFERROR(__xludf.DUMMYFUNCTION("""COMPUTED_VALUE"""),"Bulgaria-Sofia")</f>
        <v>Bulgaria-Sofia</v>
      </c>
      <c r="C91" s="2">
        <f>IFERROR(__xludf.DUMMYFUNCTION("""COMPUTED_VALUE"""),34.86)</f>
        <v>34.86</v>
      </c>
    </row>
    <row r="92">
      <c r="A92" s="2">
        <f>IFERROR(__xludf.DUMMYFUNCTION("""COMPUTED_VALUE"""),91.0)</f>
        <v>91</v>
      </c>
      <c r="B92" s="2" t="str">
        <f>IFERROR(__xludf.DUMMYFUNCTION("""COMPUTED_VALUE"""),"Turkey-Ankara")</f>
        <v>Turkey-Ankara</v>
      </c>
      <c r="C92" s="2">
        <f>IFERROR(__xludf.DUMMYFUNCTION("""COMPUTED_VALUE"""),34.34)</f>
        <v>34.34</v>
      </c>
    </row>
    <row r="93">
      <c r="A93" s="2">
        <f>IFERROR(__xludf.DUMMYFUNCTION("""COMPUTED_VALUE"""),92.0)</f>
        <v>92</v>
      </c>
      <c r="B93" s="2" t="str">
        <f>IFERROR(__xludf.DUMMYFUNCTION("""COMPUTED_VALUE"""),"Mexico-Monterrey")</f>
        <v>Mexico-Monterrey</v>
      </c>
      <c r="C93" s="2">
        <f>IFERROR(__xludf.DUMMYFUNCTION("""COMPUTED_VALUE"""),33.22)</f>
        <v>33.22</v>
      </c>
    </row>
    <row r="94">
      <c r="A94" s="2">
        <f>IFERROR(__xludf.DUMMYFUNCTION("""COMPUTED_VALUE"""),93.0)</f>
        <v>93</v>
      </c>
      <c r="B94" s="2" t="str">
        <f>IFERROR(__xludf.DUMMYFUNCTION("""COMPUTED_VALUE"""),"Taiwan-Tainan")</f>
        <v>Taiwan-Tainan</v>
      </c>
      <c r="C94" s="2">
        <f>IFERROR(__xludf.DUMMYFUNCTION("""COMPUTED_VALUE"""),32.59)</f>
        <v>32.59</v>
      </c>
    </row>
    <row r="95">
      <c r="A95" s="2">
        <f>IFERROR(__xludf.DUMMYFUNCTION("""COMPUTED_VALUE"""),94.0)</f>
        <v>94</v>
      </c>
      <c r="B95" s="2" t="str">
        <f>IFERROR(__xludf.DUMMYFUNCTION("""COMPUTED_VALUE"""),"Brazil-S∆o Paulo")</f>
        <v>Brazil-S∆o Paulo</v>
      </c>
      <c r="C95" s="2">
        <f>IFERROR(__xludf.DUMMYFUNCTION("""COMPUTED_VALUE"""),31.98)</f>
        <v>31.98</v>
      </c>
    </row>
    <row r="96">
      <c r="A96" s="2">
        <f>IFERROR(__xludf.DUMMYFUNCTION("""COMPUTED_VALUE"""),95.0)</f>
        <v>95</v>
      </c>
      <c r="B96" s="2" t="str">
        <f>IFERROR(__xludf.DUMMYFUNCTION("""COMPUTED_VALUE"""),"Taiwan-Kaohsiung")</f>
        <v>Taiwan-Kaohsiung</v>
      </c>
      <c r="C96" s="2">
        <f>IFERROR(__xludf.DUMMYFUNCTION("""COMPUTED_VALUE"""),31.27)</f>
        <v>31.27</v>
      </c>
    </row>
    <row r="97">
      <c r="A97" s="2">
        <f>IFERROR(__xludf.DUMMYFUNCTION("""COMPUTED_VALUE"""),96.0)</f>
        <v>96</v>
      </c>
      <c r="B97" s="2" t="str">
        <f>IFERROR(__xludf.DUMMYFUNCTION("""COMPUTED_VALUE"""),"Taiwan-Taichung")</f>
        <v>Taiwan-Taichung</v>
      </c>
      <c r="C97" s="2">
        <f>IFERROR(__xludf.DUMMYFUNCTION("""COMPUTED_VALUE"""),31.11)</f>
        <v>31.11</v>
      </c>
    </row>
    <row r="98">
      <c r="A98" s="2">
        <f>IFERROR(__xludf.DUMMYFUNCTION("""COMPUTED_VALUE"""),97.0)</f>
        <v>97</v>
      </c>
      <c r="B98" s="2" t="str">
        <f>IFERROR(__xludf.DUMMYFUNCTION("""COMPUTED_VALUE"""),"Brazil-Curitiba")</f>
        <v>Brazil-Curitiba</v>
      </c>
      <c r="C98" s="2">
        <f>IFERROR(__xludf.DUMMYFUNCTION("""COMPUTED_VALUE"""),31.04)</f>
        <v>31.04</v>
      </c>
    </row>
    <row r="99">
      <c r="A99" s="2">
        <f>IFERROR(__xludf.DUMMYFUNCTION("""COMPUTED_VALUE"""),98.0)</f>
        <v>98</v>
      </c>
      <c r="B99" s="2" t="str">
        <f>IFERROR(__xludf.DUMMYFUNCTION("""COMPUTED_VALUE"""),"Colombia-Cali")</f>
        <v>Colombia-Cali</v>
      </c>
      <c r="C99" s="2">
        <f>IFERROR(__xludf.DUMMYFUNCTION("""COMPUTED_VALUE"""),30.77)</f>
        <v>30.77</v>
      </c>
    </row>
    <row r="100">
      <c r="A100" s="2">
        <f>IFERROR(__xludf.DUMMYFUNCTION("""COMPUTED_VALUE"""),99.0)</f>
        <v>99</v>
      </c>
      <c r="B100" s="2" t="str">
        <f>IFERROR(__xludf.DUMMYFUNCTION("""COMPUTED_VALUE"""),"China-Tianjin")</f>
        <v>China-Tianjin</v>
      </c>
      <c r="C100" s="2">
        <f>IFERROR(__xludf.DUMMYFUNCTION("""COMPUTED_VALUE"""),30.49)</f>
        <v>30.49</v>
      </c>
    </row>
    <row r="101">
      <c r="A101" s="2">
        <f>IFERROR(__xludf.DUMMYFUNCTION("""COMPUTED_VALUE"""),100.0)</f>
        <v>100</v>
      </c>
      <c r="B101" s="2" t="str">
        <f>IFERROR(__xludf.DUMMYFUNCTION("""COMPUTED_VALUE"""),"Argentina-Rosario")</f>
        <v>Argentina-Rosario</v>
      </c>
      <c r="C101" s="2">
        <f>IFERROR(__xludf.DUMMYFUNCTION("""COMPUTED_VALUE"""),30.42)</f>
        <v>30.42</v>
      </c>
    </row>
    <row r="102">
      <c r="A102" s="2">
        <f>IFERROR(__xludf.DUMMYFUNCTION("""COMPUTED_VALUE"""),101.0)</f>
        <v>101</v>
      </c>
      <c r="B102" s="2" t="str">
        <f>IFERROR(__xludf.DUMMYFUNCTION("""COMPUTED_VALUE"""),"Mexico-Mexico City")</f>
        <v>Mexico-Mexico City</v>
      </c>
      <c r="C102" s="2">
        <f>IFERROR(__xludf.DUMMYFUNCTION("""COMPUTED_VALUE"""),29.86)</f>
        <v>29.86</v>
      </c>
    </row>
    <row r="103">
      <c r="A103" s="2">
        <f>IFERROR(__xludf.DUMMYFUNCTION("""COMPUTED_VALUE"""),102.0)</f>
        <v>102</v>
      </c>
      <c r="B103" s="2" t="str">
        <f>IFERROR(__xludf.DUMMYFUNCTION("""COMPUTED_VALUE"""),"Mexico-Guadalajara")</f>
        <v>Mexico-Guadalajara</v>
      </c>
      <c r="C103" s="2">
        <f>IFERROR(__xludf.DUMMYFUNCTION("""COMPUTED_VALUE"""),29.85)</f>
        <v>29.85</v>
      </c>
    </row>
    <row r="104">
      <c r="A104" s="2">
        <f>IFERROR(__xludf.DUMMYFUNCTION("""COMPUTED_VALUE"""),103.0)</f>
        <v>103</v>
      </c>
      <c r="B104" s="2" t="str">
        <f>IFERROR(__xludf.DUMMYFUNCTION("""COMPUTED_VALUE"""),"Argentina-C¢rdoba")</f>
        <v>Argentina-C¢rdoba</v>
      </c>
      <c r="C104" s="2">
        <f>IFERROR(__xludf.DUMMYFUNCTION("""COMPUTED_VALUE"""),29.59)</f>
        <v>29.59</v>
      </c>
    </row>
    <row r="105">
      <c r="A105" s="2">
        <f>IFERROR(__xludf.DUMMYFUNCTION("""COMPUTED_VALUE"""),104.0)</f>
        <v>104</v>
      </c>
      <c r="B105" s="2" t="str">
        <f>IFERROR(__xludf.DUMMYFUNCTION("""COMPUTED_VALUE"""),"South Africa-Durban")</f>
        <v>South Africa-Durban</v>
      </c>
      <c r="C105" s="2">
        <f>IFERROR(__xludf.DUMMYFUNCTION("""COMPUTED_VALUE"""),29.33)</f>
        <v>29.33</v>
      </c>
    </row>
    <row r="106">
      <c r="A106" s="2">
        <f>IFERROR(__xludf.DUMMYFUNCTION("""COMPUTED_VALUE"""),105.0)</f>
        <v>105</v>
      </c>
      <c r="B106" s="2" t="str">
        <f>IFERROR(__xludf.DUMMYFUNCTION("""COMPUTED_VALUE"""),"Colombia-Medell°n")</f>
        <v>Colombia-Medell°n</v>
      </c>
      <c r="C106" s="2">
        <f>IFERROR(__xludf.DUMMYFUNCTION("""COMPUTED_VALUE"""),29.06)</f>
        <v>29.06</v>
      </c>
    </row>
    <row r="107">
      <c r="A107" s="2">
        <f>IFERROR(__xludf.DUMMYFUNCTION("""COMPUTED_VALUE"""),106.0)</f>
        <v>106</v>
      </c>
      <c r="B107" s="2" t="str">
        <f>IFERROR(__xludf.DUMMYFUNCTION("""COMPUTED_VALUE"""),"Argentina-Buenos Aires")</f>
        <v>Argentina-Buenos Aires</v>
      </c>
      <c r="C107" s="2">
        <f>IFERROR(__xludf.DUMMYFUNCTION("""COMPUTED_VALUE"""),28.63)</f>
        <v>28.63</v>
      </c>
    </row>
    <row r="108">
      <c r="A108" s="2">
        <f>IFERROR(__xludf.DUMMYFUNCTION("""COMPUTED_VALUE"""),107.0)</f>
        <v>107</v>
      </c>
      <c r="B108" s="2" t="str">
        <f>IFERROR(__xludf.DUMMYFUNCTION("""COMPUTED_VALUE"""),"Colombia-Bogota")</f>
        <v>Colombia-Bogota</v>
      </c>
      <c r="C108" s="2">
        <f>IFERROR(__xludf.DUMMYFUNCTION("""COMPUTED_VALUE"""),28.47)</f>
        <v>28.47</v>
      </c>
    </row>
    <row r="109">
      <c r="A109" s="2">
        <f>IFERROR(__xludf.DUMMYFUNCTION("""COMPUTED_VALUE"""),108.0)</f>
        <v>108</v>
      </c>
      <c r="B109" s="2" t="str">
        <f>IFERROR(__xludf.DUMMYFUNCTION("""COMPUTED_VALUE"""),"Uruguay-Montevideo")</f>
        <v>Uruguay-Montevideo</v>
      </c>
      <c r="C109" s="2">
        <f>IFERROR(__xludf.DUMMYFUNCTION("""COMPUTED_VALUE"""),26.84)</f>
        <v>26.84</v>
      </c>
    </row>
    <row r="110">
      <c r="A110" s="2">
        <f>IFERROR(__xludf.DUMMYFUNCTION("""COMPUTED_VALUE"""),109.0)</f>
        <v>109</v>
      </c>
      <c r="B110" s="2" t="str">
        <f>IFERROR(__xludf.DUMMYFUNCTION("""COMPUTED_VALUE"""),"Peru-Lima")</f>
        <v>Peru-Lima</v>
      </c>
      <c r="C110" s="2">
        <f>IFERROR(__xludf.DUMMYFUNCTION("""COMPUTED_VALUE"""),25.95)</f>
        <v>25.95</v>
      </c>
    </row>
    <row r="111">
      <c r="A111" s="2">
        <f>IFERROR(__xludf.DUMMYFUNCTION("""COMPUTED_VALUE"""),110.0)</f>
        <v>110</v>
      </c>
      <c r="B111" s="2" t="str">
        <f>IFERROR(__xludf.DUMMYFUNCTION("""COMPUTED_VALUE"""),"China-Shenyang")</f>
        <v>China-Shenyang</v>
      </c>
      <c r="C111" s="2">
        <f>IFERROR(__xludf.DUMMYFUNCTION("""COMPUTED_VALUE"""),25.36)</f>
        <v>25.36</v>
      </c>
    </row>
    <row r="112">
      <c r="A112" s="2">
        <f>IFERROR(__xludf.DUMMYFUNCTION("""COMPUTED_VALUE"""),111.0)</f>
        <v>111</v>
      </c>
      <c r="B112" s="2" t="str">
        <f>IFERROR(__xludf.DUMMYFUNCTION("""COMPUTED_VALUE"""),"Russia-St Petersburg")</f>
        <v>Russia-St Petersburg</v>
      </c>
      <c r="C112" s="2">
        <f>IFERROR(__xludf.DUMMYFUNCTION("""COMPUTED_VALUE"""),25.23)</f>
        <v>25.23</v>
      </c>
    </row>
    <row r="113">
      <c r="A113" s="2">
        <f>IFERROR(__xludf.DUMMYFUNCTION("""COMPUTED_VALUE"""),112.0)</f>
        <v>112</v>
      </c>
      <c r="B113" s="2" t="str">
        <f>IFERROR(__xludf.DUMMYFUNCTION("""COMPUTED_VALUE"""),"China-Wuhan")</f>
        <v>China-Wuhan</v>
      </c>
      <c r="C113" s="2">
        <f>IFERROR(__xludf.DUMMYFUNCTION("""COMPUTED_VALUE"""),25.17)</f>
        <v>25.17</v>
      </c>
    </row>
    <row r="114">
      <c r="A114" s="2">
        <f>IFERROR(__xludf.DUMMYFUNCTION("""COMPUTED_VALUE"""),113.0)</f>
        <v>113</v>
      </c>
      <c r="B114" s="2" t="str">
        <f>IFERROR(__xludf.DUMMYFUNCTION("""COMPUTED_VALUE"""),"China-Harbin")</f>
        <v>China-Harbin</v>
      </c>
      <c r="C114" s="2">
        <f>IFERROR(__xludf.DUMMYFUNCTION("""COMPUTED_VALUE"""),24.94)</f>
        <v>24.94</v>
      </c>
    </row>
    <row r="115">
      <c r="A115" s="2">
        <f>IFERROR(__xludf.DUMMYFUNCTION("""COMPUTED_VALUE"""),114.0)</f>
        <v>114</v>
      </c>
      <c r="B115" s="2" t="str">
        <f>IFERROR(__xludf.DUMMYFUNCTION("""COMPUTED_VALUE"""),"China-Chongqing")</f>
        <v>China-Chongqing</v>
      </c>
      <c r="C115" s="2">
        <f>IFERROR(__xludf.DUMMYFUNCTION("""COMPUTED_VALUE"""),24.93)</f>
        <v>24.93</v>
      </c>
    </row>
    <row r="116">
      <c r="A116" s="2">
        <f>IFERROR(__xludf.DUMMYFUNCTION("""COMPUTED_VALUE"""),115.0)</f>
        <v>115</v>
      </c>
      <c r="B116" s="2" t="str">
        <f>IFERROR(__xludf.DUMMYFUNCTION("""COMPUTED_VALUE"""),"Egypt-Alexandria")</f>
        <v>Egypt-Alexandria</v>
      </c>
      <c r="C116" s="2">
        <f>IFERROR(__xludf.DUMMYFUNCTION("""COMPUTED_VALUE"""),24.51)</f>
        <v>24.51</v>
      </c>
    </row>
    <row r="117">
      <c r="A117" s="2">
        <f>IFERROR(__xludf.DUMMYFUNCTION("""COMPUTED_VALUE"""),116.0)</f>
        <v>116</v>
      </c>
      <c r="B117" s="2" t="str">
        <f>IFERROR(__xludf.DUMMYFUNCTION("""COMPUTED_VALUE"""),"Brazil-Rio de Janeiro")</f>
        <v>Brazil-Rio de Janeiro</v>
      </c>
      <c r="C117" s="2">
        <f>IFERROR(__xludf.DUMMYFUNCTION("""COMPUTED_VALUE"""),23.69)</f>
        <v>23.69</v>
      </c>
    </row>
    <row r="118">
      <c r="A118" s="2">
        <f>IFERROR(__xludf.DUMMYFUNCTION("""COMPUTED_VALUE"""),117.0)</f>
        <v>117</v>
      </c>
      <c r="B118" s="2" t="str">
        <f>IFERROR(__xludf.DUMMYFUNCTION("""COMPUTED_VALUE"""),"South Africa-Pretoria")</f>
        <v>South Africa-Pretoria</v>
      </c>
      <c r="C118" s="2">
        <f>IFERROR(__xludf.DUMMYFUNCTION("""COMPUTED_VALUE"""),22.17)</f>
        <v>22.17</v>
      </c>
    </row>
    <row r="119">
      <c r="A119" s="2">
        <f>IFERROR(__xludf.DUMMYFUNCTION("""COMPUTED_VALUE"""),118.0)</f>
        <v>118</v>
      </c>
      <c r="B119" s="2" t="str">
        <f>IFERROR(__xludf.DUMMYFUNCTION("""COMPUTED_VALUE"""),"South Africa-Johannesburg")</f>
        <v>South Africa-Johannesburg</v>
      </c>
      <c r="C119" s="2">
        <f>IFERROR(__xludf.DUMMYFUNCTION("""COMPUTED_VALUE"""),22.16)</f>
        <v>22.16</v>
      </c>
    </row>
    <row r="120">
      <c r="A120" s="2">
        <f>IFERROR(__xludf.DUMMYFUNCTION("""COMPUTED_VALUE"""),119.0)</f>
        <v>119</v>
      </c>
      <c r="B120" s="2" t="str">
        <f>IFERROR(__xludf.DUMMYFUNCTION("""COMPUTED_VALUE"""),"South Africa-Cape Town")</f>
        <v>South Africa-Cape Town</v>
      </c>
      <c r="C120" s="2">
        <f>IFERROR(__xludf.DUMMYFUNCTION("""COMPUTED_VALUE"""),21.95)</f>
        <v>21.95</v>
      </c>
    </row>
    <row r="121">
      <c r="A121" s="2">
        <f>IFERROR(__xludf.DUMMYFUNCTION("""COMPUTED_VALUE"""),120.0)</f>
        <v>120</v>
      </c>
      <c r="B121" s="2" t="str">
        <f>IFERROR(__xludf.DUMMYFUNCTION("""COMPUTED_VALUE"""),"Philippines-Manila")</f>
        <v>Philippines-Manila</v>
      </c>
      <c r="C121" s="2">
        <f>IFERROR(__xludf.DUMMYFUNCTION("""COMPUTED_VALUE"""),21.15)</f>
        <v>21.15</v>
      </c>
    </row>
    <row r="122">
      <c r="A122" s="2">
        <f>IFERROR(__xludf.DUMMYFUNCTION("""COMPUTED_VALUE"""),121.0)</f>
        <v>121</v>
      </c>
      <c r="B122" s="2" t="str">
        <f>IFERROR(__xludf.DUMMYFUNCTION("""COMPUTED_VALUE"""),"Ecuador-Quito")</f>
        <v>Ecuador-Quito</v>
      </c>
      <c r="C122" s="2">
        <f>IFERROR(__xludf.DUMMYFUNCTION("""COMPUTED_VALUE"""),20.79)</f>
        <v>20.79</v>
      </c>
    </row>
    <row r="123">
      <c r="A123" s="2">
        <f>IFERROR(__xludf.DUMMYFUNCTION("""COMPUTED_VALUE"""),122.0)</f>
        <v>122</v>
      </c>
      <c r="B123" s="2" t="str">
        <f>IFERROR(__xludf.DUMMYFUNCTION("""COMPUTED_VALUE"""),"Egypt-Cairo")</f>
        <v>Egypt-Cairo</v>
      </c>
      <c r="C123" s="2">
        <f>IFERROR(__xludf.DUMMYFUNCTION("""COMPUTED_VALUE"""),20.64)</f>
        <v>20.64</v>
      </c>
    </row>
    <row r="124">
      <c r="A124" s="2">
        <f>IFERROR(__xludf.DUMMYFUNCTION("""COMPUTED_VALUE"""),123.0)</f>
        <v>123</v>
      </c>
      <c r="B124" s="2" t="str">
        <f>IFERROR(__xludf.DUMMYFUNCTION("""COMPUTED_VALUE"""),"China-Shenzhen")</f>
        <v>China-Shenzhen</v>
      </c>
      <c r="C124" s="2">
        <f>IFERROR(__xludf.DUMMYFUNCTION("""COMPUTED_VALUE"""),19.42)</f>
        <v>19.42</v>
      </c>
    </row>
    <row r="125">
      <c r="A125" s="2">
        <f>IFERROR(__xludf.DUMMYFUNCTION("""COMPUTED_VALUE"""),124.0)</f>
        <v>124</v>
      </c>
      <c r="B125" s="2" t="str">
        <f>IFERROR(__xludf.DUMMYFUNCTION("""COMPUTED_VALUE"""),"China-Suzhou")</f>
        <v>China-Suzhou</v>
      </c>
      <c r="C125" s="2">
        <f>IFERROR(__xludf.DUMMYFUNCTION("""COMPUTED_VALUE"""),18.05)</f>
        <v>18.05</v>
      </c>
    </row>
    <row r="126">
      <c r="A126" s="2">
        <f>IFERROR(__xludf.DUMMYFUNCTION("""COMPUTED_VALUE"""),125.0)</f>
        <v>125</v>
      </c>
      <c r="B126" s="2" t="str">
        <f>IFERROR(__xludf.DUMMYFUNCTION("""COMPUTED_VALUE"""),"Indonesia-Jakarta")</f>
        <v>Indonesia-Jakarta</v>
      </c>
      <c r="C126" s="2">
        <f>IFERROR(__xludf.DUMMYFUNCTION("""COMPUTED_VALUE"""),17.82)</f>
        <v>17.82</v>
      </c>
    </row>
    <row r="127">
      <c r="A127" s="2">
        <f>IFERROR(__xludf.DUMMYFUNCTION("""COMPUTED_VALUE"""),126.0)</f>
        <v>126</v>
      </c>
      <c r="B127" s="2" t="str">
        <f>IFERROR(__xludf.DUMMYFUNCTION("""COMPUTED_VALUE"""),"Venezuela-Caracas")</f>
        <v>Venezuela-Caracas</v>
      </c>
      <c r="C127" s="2">
        <f>IFERROR(__xludf.DUMMYFUNCTION("""COMPUTED_VALUE"""),17.37)</f>
        <v>17.37</v>
      </c>
    </row>
    <row r="128">
      <c r="A128" s="2">
        <f>IFERROR(__xludf.DUMMYFUNCTION("""COMPUTED_VALUE"""),127.0)</f>
        <v>127</v>
      </c>
      <c r="B128" s="2" t="str">
        <f>IFERROR(__xludf.DUMMYFUNCTION("""COMPUTED_VALUE"""),"Brazil-Salvador")</f>
        <v>Brazil-Salvador</v>
      </c>
      <c r="C128" s="2">
        <f>IFERROR(__xludf.DUMMYFUNCTION("""COMPUTED_VALUE"""),15.64)</f>
        <v>15.64</v>
      </c>
    </row>
    <row r="129">
      <c r="A129" s="2">
        <f>IFERROR(__xludf.DUMMYFUNCTION("""COMPUTED_VALUE"""),128.0)</f>
        <v>128</v>
      </c>
      <c r="B129" s="2" t="str">
        <f>IFERROR(__xludf.DUMMYFUNCTION("""COMPUTED_VALUE"""),"Brazil-Porto Alegre")</f>
        <v>Brazil-Porto Alegre</v>
      </c>
      <c r="C129" s="2">
        <f>IFERROR(__xludf.DUMMYFUNCTION("""COMPUTED_VALUE"""),15.02)</f>
        <v>15.02</v>
      </c>
    </row>
    <row r="130">
      <c r="A130" s="2">
        <f>IFERROR(__xludf.DUMMYFUNCTION("""COMPUTED_VALUE"""),129.0)</f>
        <v>129</v>
      </c>
      <c r="B130" s="2" t="str">
        <f>IFERROR(__xludf.DUMMYFUNCTION("""COMPUTED_VALUE"""),"Brazil-Belo Horizonte")</f>
        <v>Brazil-Belo Horizonte</v>
      </c>
      <c r="C130" s="2">
        <f>IFERROR(__xludf.DUMMYFUNCTION("""COMPUTED_VALUE"""),14.97)</f>
        <v>14.97</v>
      </c>
    </row>
    <row r="131">
      <c r="A131" s="2">
        <f>IFERROR(__xludf.DUMMYFUNCTION("""COMPUTED_VALUE"""),130.0)</f>
        <v>130</v>
      </c>
      <c r="B131" s="2" t="str">
        <f>IFERROR(__xludf.DUMMYFUNCTION("""COMPUTED_VALUE"""),"Bolivia-La Paz")</f>
        <v>Bolivia-La Paz</v>
      </c>
      <c r="C131" s="2">
        <f>IFERROR(__xludf.DUMMYFUNCTION("""COMPUTED_VALUE"""),14.97)</f>
        <v>14.97</v>
      </c>
    </row>
    <row r="132">
      <c r="A132" s="2">
        <f>IFERROR(__xludf.DUMMYFUNCTION("""COMPUTED_VALUE"""),131.0)</f>
        <v>131</v>
      </c>
      <c r="B132" s="2" t="str">
        <f>IFERROR(__xludf.DUMMYFUNCTION("""COMPUTED_VALUE"""),"Brazil-Bras°lia")</f>
        <v>Brazil-Bras°lia</v>
      </c>
      <c r="C132" s="2">
        <f>IFERROR(__xludf.DUMMYFUNCTION("""COMPUTED_VALUE"""),14.23)</f>
        <v>14.23</v>
      </c>
    </row>
    <row r="133">
      <c r="A133" s="2">
        <f>IFERROR(__xludf.DUMMYFUNCTION("""COMPUTED_VALUE"""),132.0)</f>
        <v>132</v>
      </c>
      <c r="B133" s="2" t="str">
        <f>IFERROR(__xludf.DUMMYFUNCTION("""COMPUTED_VALUE"""),"Brazil-Recife")</f>
        <v>Brazil-Recife</v>
      </c>
      <c r="C133" s="2">
        <f>IFERROR(__xludf.DUMMYFUNCTION("""COMPUTED_VALUE"""),14.14)</f>
        <v>14.14</v>
      </c>
    </row>
    <row r="134">
      <c r="A134" s="2">
        <f>IFERROR(__xludf.DUMMYFUNCTION("""COMPUTED_VALUE"""),133.0)</f>
        <v>133</v>
      </c>
      <c r="B134" s="2" t="str">
        <f>IFERROR(__xludf.DUMMYFUNCTION("""COMPUTED_VALUE"""),"Brazil-Fortaleza")</f>
        <v>Brazil-Fortaleza</v>
      </c>
      <c r="C134" s="2">
        <f>IFERROR(__xludf.DUMMYFUNCTION("""COMPUTED_VALUE"""),13.96)</f>
        <v>13.96</v>
      </c>
    </row>
    <row r="135">
      <c r="A135" s="2">
        <f>IFERROR(__xludf.DUMMYFUNCTION("""COMPUTED_VALUE"""),134.0)</f>
        <v>134</v>
      </c>
      <c r="B135" s="2" t="str">
        <f>IFERROR(__xludf.DUMMYFUNCTION("""COMPUTED_VALUE"""),"Bosnia-Herzegovina-Sarajevo")</f>
        <v>Bosnia-Herzegovina-Sarajevo</v>
      </c>
      <c r="C135" s="2">
        <f>IFERROR(__xludf.DUMMYFUNCTION("""COMPUTED_VALUE"""),7.32)</f>
        <v>7.32</v>
      </c>
    </row>
    <row r="136">
      <c r="A136" s="2">
        <f>IFERROR(__xludf.DUMMYFUNCTION("""COMPUTED_VALUE"""),135.0)</f>
        <v>135</v>
      </c>
      <c r="B136" s="2" t="str">
        <f>IFERROR(__xludf.DUMMYFUNCTION("""COMPUTED_VALUE"""),"Dominican Republic-Santo Domingo")</f>
        <v>Dominican Republic-Santo Domingo</v>
      </c>
      <c r="C136" s="2">
        <f>IFERROR(__xludf.DUMMYFUNCTION("""COMPUTED_VALUE"""),0.0)</f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2">
        <f>IFERROR(__xludf.DUMMYFUNCTION("ARRAYFORMULA(IFERROR(FILTER(IESE2014v1!A:A, REGEXMATCH(IESE2014v1!B:B, ""USA-""))))"),3.0)</f>
        <v>3</v>
      </c>
      <c r="B1" s="2" t="str">
        <f>IFERROR(__xludf.DUMMYFUNCTION("ARRAYFORMULA(IFERROR(FILTER(REGEXEXTRACT(IESE2014v1!B:B, ""-(.*)""), REGEXMATCH(IESE2014v1!B:B, ""USA-""))))"),"New York")</f>
        <v>New York</v>
      </c>
      <c r="C1" s="2">
        <f>IFERROR(__xludf.DUMMYFUNCTION("ARRAYFORMULA(IFERROR(FILTER(VALUE(IESE2014v1!C:C), REGEXMATCH(IESE2014v1!B:B, ""USA-""))))"),81.25)</f>
        <v>81.25</v>
      </c>
      <c r="D1" s="7">
        <f t="shared" ref="D1:D8" si="1">A1</f>
        <v>3</v>
      </c>
    </row>
    <row r="2">
      <c r="A2" s="2">
        <f>IFERROR(__xludf.DUMMYFUNCTION("""COMPUTED_VALUE"""),11.0)</f>
        <v>11</v>
      </c>
      <c r="B2" s="2" t="str">
        <f>IFERROR(__xludf.DUMMYFUNCTION("""COMPUTED_VALUE"""),"Philadelphia")</f>
        <v>Philadelphia</v>
      </c>
      <c r="C2" s="2">
        <f>IFERROR(__xludf.DUMMYFUNCTION("""COMPUTED_VALUE"""),67.06)</f>
        <v>67.06</v>
      </c>
      <c r="D2" s="7">
        <f t="shared" si="1"/>
        <v>11</v>
      </c>
    </row>
    <row r="3">
      <c r="A3" s="2">
        <f>IFERROR(__xludf.DUMMYFUNCTION("""COMPUTED_VALUE"""),12.0)</f>
        <v>12</v>
      </c>
      <c r="B3" s="2" t="str">
        <f>IFERROR(__xludf.DUMMYFUNCTION("""COMPUTED_VALUE"""),"Los Angeles")</f>
        <v>Los Angeles</v>
      </c>
      <c r="C3" s="2">
        <f>IFERROR(__xludf.DUMMYFUNCTION("""COMPUTED_VALUE"""),67.05)</f>
        <v>67.05</v>
      </c>
      <c r="D3" s="7">
        <f t="shared" si="1"/>
        <v>12</v>
      </c>
    </row>
    <row r="4">
      <c r="A4" s="2">
        <f>IFERROR(__xludf.DUMMYFUNCTION("""COMPUTED_VALUE"""),13.0)</f>
        <v>13</v>
      </c>
      <c r="B4" s="2" t="str">
        <f>IFERROR(__xludf.DUMMYFUNCTION("""COMPUTED_VALUE"""),"Dallas")</f>
        <v>Dallas</v>
      </c>
      <c r="C4" s="2">
        <f>IFERROR(__xludf.DUMMYFUNCTION("""COMPUTED_VALUE"""),65.82)</f>
        <v>65.82</v>
      </c>
      <c r="D4" s="7">
        <f t="shared" si="1"/>
        <v>13</v>
      </c>
    </row>
    <row r="5">
      <c r="A5" s="2">
        <f>IFERROR(__xludf.DUMMYFUNCTION("""COMPUTED_VALUE"""),19.0)</f>
        <v>19</v>
      </c>
      <c r="B5" s="2" t="str">
        <f>IFERROR(__xludf.DUMMYFUNCTION("""COMPUTED_VALUE"""),"Chicago")</f>
        <v>Chicago</v>
      </c>
      <c r="C5" s="2">
        <f>IFERROR(__xludf.DUMMYFUNCTION("""COMPUTED_VALUE"""),63.23)</f>
        <v>63.23</v>
      </c>
      <c r="D5" s="7">
        <f t="shared" si="1"/>
        <v>19</v>
      </c>
    </row>
    <row r="6">
      <c r="A6" s="2">
        <f>IFERROR(__xludf.DUMMYFUNCTION("""COMPUTED_VALUE"""),20.0)</f>
        <v>20</v>
      </c>
      <c r="B6" s="2" t="str">
        <f>IFERROR(__xludf.DUMMYFUNCTION("""COMPUTED_VALUE"""),"Baltimore")</f>
        <v>Baltimore</v>
      </c>
      <c r="C6" s="2">
        <f>IFERROR(__xludf.DUMMYFUNCTION("""COMPUTED_VALUE"""),61.95)</f>
        <v>61.95</v>
      </c>
      <c r="D6" s="7">
        <f t="shared" si="1"/>
        <v>20</v>
      </c>
    </row>
    <row r="7">
      <c r="A7" s="2">
        <f>IFERROR(__xludf.DUMMYFUNCTION("""COMPUTED_VALUE"""),22.0)</f>
        <v>22</v>
      </c>
      <c r="B7" s="2" t="str">
        <f>IFERROR(__xludf.DUMMYFUNCTION("""COMPUTED_VALUE"""),"Minneapolis-Saint Paul")</f>
        <v>Minneapolis-Saint Paul</v>
      </c>
      <c r="C7" s="2">
        <f>IFERROR(__xludf.DUMMYFUNCTION("""COMPUTED_VALUE"""),60.72)</f>
        <v>60.72</v>
      </c>
      <c r="D7" s="7">
        <f t="shared" si="1"/>
        <v>22</v>
      </c>
    </row>
    <row r="8">
      <c r="A8" s="2">
        <f>IFERROR(__xludf.DUMMYFUNCTION("""COMPUTED_VALUE"""),25.0)</f>
        <v>25</v>
      </c>
      <c r="B8" s="2" t="str">
        <f>IFERROR(__xludf.DUMMYFUNCTION("""COMPUTED_VALUE"""),"Houston")</f>
        <v>Houston</v>
      </c>
      <c r="C8" s="2">
        <f>IFERROR(__xludf.DUMMYFUNCTION("""COMPUTED_VALUE"""),58.81)</f>
        <v>58.81</v>
      </c>
      <c r="D8" s="7">
        <f t="shared" si="1"/>
        <v>25</v>
      </c>
    </row>
    <row r="9">
      <c r="D9" s="7"/>
    </row>
    <row r="10">
      <c r="D10" s="7"/>
    </row>
    <row r="11">
      <c r="D11" s="7"/>
    </row>
    <row r="12">
      <c r="D12" s="7"/>
    </row>
    <row r="13">
      <c r="D13" s="7"/>
    </row>
    <row r="14">
      <c r="D14" s="7"/>
    </row>
    <row r="15">
      <c r="D15" s="7"/>
    </row>
    <row r="16">
      <c r="D16" s="7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IFERROR(__xludf.DUMMYFUNCTION("FILTER(IESE2024rawa!A:A, MOD(ROW(IESE2024rawa!A:A)-1, 4) = 0)"),"Ranking")</f>
        <v>Ranking</v>
      </c>
      <c r="B1" s="6" t="str">
        <f>IFERROR(__xludf.DUMMYFUNCTION("FILTER(IESE2024rawa!A:A, MOD(ROW(IESE2024rawa!A:A)-2, 4) = 0)"),"City")</f>
        <v>City</v>
      </c>
      <c r="C1" s="6" t="str">
        <f>IFERROR(__xludf.DUMMYFUNCTION("FILTER(IESE2024rawa!A:A, MOD(ROW(IESE2024rawa!A:A)-3, 4) = 0)"),"Performance")</f>
        <v>Performance</v>
      </c>
      <c r="D1" s="6" t="str">
        <f>IFERROR(__xludf.DUMMYFUNCTION("FILTER(IESE2024rawa!A:A, MOD(ROW(IESE2024rawa!A:A), 4) = 0)"),"ICIM")</f>
        <v>ICIM</v>
      </c>
    </row>
    <row r="2">
      <c r="A2" s="2" t="str">
        <f>IFERROR(__xludf.DUMMYFUNCTION("""COMPUTED_VALUE"""),"Ranking")</f>
        <v>Ranking</v>
      </c>
      <c r="B2" s="2" t="str">
        <f>IFERROR(__xludf.DUMMYFUNCTION("""COMPUTED_VALUE"""),"City")</f>
        <v>City</v>
      </c>
      <c r="C2" s="2" t="str">
        <f>IFERROR(__xludf.DUMMYFUNCTION("""COMPUTED_VALUE"""),"Performance")</f>
        <v>Performance</v>
      </c>
      <c r="D2" s="2" t="str">
        <f>IFERROR(__xludf.DUMMYFUNCTION("""COMPUTED_VALUE"""),"ICIM")</f>
        <v>ICIM</v>
      </c>
    </row>
    <row r="3">
      <c r="A3" s="2">
        <f>IFERROR(__xludf.DUMMYFUNCTION("""COMPUTED_VALUE"""),1.0)</f>
        <v>1</v>
      </c>
      <c r="B3" s="2" t="str">
        <f>IFERROR(__xludf.DUMMYFUNCTION("""COMPUTED_VALUE"""),"London ‐ United Kingdom")</f>
        <v>London ‐ United Kingdom</v>
      </c>
      <c r="C3" s="2" t="str">
        <f>IFERROR(__xludf.DUMMYFUNCTION("""COMPUTED_VALUE"""),"A")</f>
        <v>A</v>
      </c>
      <c r="D3" s="2" t="str">
        <f>IFERROR(__xludf.DUMMYFUNCTION("""COMPUTED_VALUE"""),"100,00")</f>
        <v>100,00</v>
      </c>
    </row>
    <row r="4">
      <c r="A4" s="2">
        <f>IFERROR(__xludf.DUMMYFUNCTION("""COMPUTED_VALUE"""),62.0)</f>
        <v>62</v>
      </c>
      <c r="B4" s="2" t="str">
        <f>IFERROR(__xludf.DUMMYFUNCTION("""COMPUTED_VALUE"""),"Liverpool ‐ United Kingdom")</f>
        <v>Liverpool ‐ United Kingdom</v>
      </c>
      <c r="C4" s="2" t="str">
        <f>IFERROR(__xludf.DUMMYFUNCTION("""COMPUTED_VALUE"""),"M")</f>
        <v>M</v>
      </c>
      <c r="D4" s="2" t="str">
        <f>IFERROR(__xludf.DUMMYFUNCTION("""COMPUTED_VALUE"""),"57,49")</f>
        <v>57,49</v>
      </c>
    </row>
    <row r="5">
      <c r="A5" s="2">
        <f>IFERROR(__xludf.DUMMYFUNCTION("""COMPUTED_VALUE"""),2.0)</f>
        <v>2</v>
      </c>
      <c r="B5" s="2" t="str">
        <f>IFERROR(__xludf.DUMMYFUNCTION("""COMPUTED_VALUE"""),"New York ‐ USA")</f>
        <v>New York ‐ USA</v>
      </c>
      <c r="C5" s="2" t="str">
        <f>IFERROR(__xludf.DUMMYFUNCTION("""COMPUTED_VALUE"""),"A")</f>
        <v>A</v>
      </c>
      <c r="D5" s="2" t="str">
        <f>IFERROR(__xludf.DUMMYFUNCTION("""COMPUTED_VALUE"""),"97,11")</f>
        <v>97,11</v>
      </c>
    </row>
    <row r="6">
      <c r="A6" s="2">
        <f>IFERROR(__xludf.DUMMYFUNCTION("""COMPUTED_VALUE"""),63.0)</f>
        <v>63</v>
      </c>
      <c r="B6" s="2" t="str">
        <f>IFERROR(__xludf.DUMMYFUNCTION("""COMPUTED_VALUE"""),"Warsaw ‐ Poland")</f>
        <v>Warsaw ‐ Poland</v>
      </c>
      <c r="C6" s="2" t="str">
        <f>IFERROR(__xludf.DUMMYFUNCTION("""COMPUTED_VALUE"""),"M")</f>
        <v>M</v>
      </c>
      <c r="D6" s="2" t="str">
        <f>IFERROR(__xludf.DUMMYFUNCTION("""COMPUTED_VALUE"""),"57,44")</f>
        <v>57,44</v>
      </c>
    </row>
    <row r="7">
      <c r="A7" s="2">
        <f>IFERROR(__xludf.DUMMYFUNCTION("""COMPUTED_VALUE"""),3.0)</f>
        <v>3</v>
      </c>
      <c r="B7" s="2" t="str">
        <f>IFERROR(__xludf.DUMMYFUNCTION("""COMPUTED_VALUE"""),"Paris ‐ France")</f>
        <v>Paris ‐ France</v>
      </c>
      <c r="C7" s="2" t="str">
        <f>IFERROR(__xludf.DUMMYFUNCTION("""COMPUTED_VALUE"""),"RA")</f>
        <v>RA</v>
      </c>
      <c r="D7" s="2" t="str">
        <f>IFERROR(__xludf.DUMMYFUNCTION("""COMPUTED_VALUE"""),"84,29")</f>
        <v>84,29</v>
      </c>
    </row>
    <row r="8">
      <c r="A8" s="2">
        <f>IFERROR(__xludf.DUMMYFUNCTION("""COMPUTED_VALUE"""),64.0)</f>
        <v>64</v>
      </c>
      <c r="B8" s="2" t="str">
        <f>IFERROR(__xludf.DUMMYFUNCTION("""COMPUTED_VALUE"""),"Milan ‐ Italy")</f>
        <v>Milan ‐ Italy</v>
      </c>
      <c r="C8" s="2" t="str">
        <f>IFERROR(__xludf.DUMMYFUNCTION("""COMPUTED_VALUE"""),"M")</f>
        <v>M</v>
      </c>
      <c r="D8" s="2" t="str">
        <f>IFERROR(__xludf.DUMMYFUNCTION("""COMPUTED_VALUE"""),"57,42")</f>
        <v>57,42</v>
      </c>
    </row>
    <row r="9">
      <c r="A9" s="2">
        <f>IFERROR(__xludf.DUMMYFUNCTION("""COMPUTED_VALUE"""),4.0)</f>
        <v>4</v>
      </c>
      <c r="B9" s="2" t="str">
        <f>IFERROR(__xludf.DUMMYFUNCTION("""COMPUTED_VALUE"""),"Tokyo ‐ Japan")</f>
        <v>Tokyo ‐ Japan</v>
      </c>
      <c r="C9" s="2" t="str">
        <f>IFERROR(__xludf.DUMMYFUNCTION("""COMPUTED_VALUE"""),"RA")</f>
        <v>RA</v>
      </c>
      <c r="D9" s="2" t="str">
        <f>IFERROR(__xludf.DUMMYFUNCTION("""COMPUTED_VALUE"""),"77,74")</f>
        <v>77,74</v>
      </c>
    </row>
    <row r="10">
      <c r="A10" s="2">
        <f>IFERROR(__xludf.DUMMYFUNCTION("""COMPUTED_VALUE"""),65.0)</f>
        <v>65</v>
      </c>
      <c r="B10" s="2" t="str">
        <f>IFERROR(__xludf.DUMMYFUNCTION("""COMPUTED_VALUE"""),"Nottingham ‐ United Kingdom")</f>
        <v>Nottingham ‐ United Kingdom</v>
      </c>
      <c r="C10" s="2" t="str">
        <f>IFERROR(__xludf.DUMMYFUNCTION("""COMPUTED_VALUE"""),"M")</f>
        <v>M</v>
      </c>
      <c r="D10" s="2" t="str">
        <f>IFERROR(__xludf.DUMMYFUNCTION("""COMPUTED_VALUE"""),"56,93")</f>
        <v>56,93</v>
      </c>
    </row>
    <row r="11">
      <c r="A11" s="2">
        <f>IFERROR(__xludf.DUMMYFUNCTION("""COMPUTED_VALUE"""),5.0)</f>
        <v>5</v>
      </c>
      <c r="B11" s="2" t="str">
        <f>IFERROR(__xludf.DUMMYFUNCTION("""COMPUTED_VALUE"""),"Berlin ‐ Germany")</f>
        <v>Berlin ‐ Germany</v>
      </c>
      <c r="C11" s="2" t="str">
        <f>IFERROR(__xludf.DUMMYFUNCTION("""COMPUTED_VALUE"""),"RA")</f>
        <v>RA</v>
      </c>
      <c r="D11" s="2" t="str">
        <f>IFERROR(__xludf.DUMMYFUNCTION("""COMPUTED_VALUE"""),"75,66")</f>
        <v>75,66</v>
      </c>
    </row>
    <row r="12">
      <c r="A12" s="2">
        <f>IFERROR(__xludf.DUMMYFUNCTION("""COMPUTED_VALUE"""),66.0)</f>
        <v>66</v>
      </c>
      <c r="B12" s="2" t="str">
        <f>IFERROR(__xludf.DUMMYFUNCTION("""COMPUTED_VALUE"""),"Glasgow ‐ United Kingdom")</f>
        <v>Glasgow ‐ United Kingdom</v>
      </c>
      <c r="C12" s="2" t="str">
        <f>IFERROR(__xludf.DUMMYFUNCTION("""COMPUTED_VALUE"""),"M")</f>
        <v>M</v>
      </c>
      <c r="D12" s="2" t="str">
        <f>IFERROR(__xludf.DUMMYFUNCTION("""COMPUTED_VALUE"""),"56,62")</f>
        <v>56,62</v>
      </c>
    </row>
    <row r="13">
      <c r="A13" s="2">
        <f>IFERROR(__xludf.DUMMYFUNCTION("""COMPUTED_VALUE"""),6.0)</f>
        <v>6</v>
      </c>
      <c r="B13" s="2" t="str">
        <f>IFERROR(__xludf.DUMMYFUNCTION("""COMPUTED_VALUE"""),"Singapore ‐ Singapore")</f>
        <v>Singapore ‐ Singapore</v>
      </c>
      <c r="C13" s="2" t="str">
        <f>IFERROR(__xludf.DUMMYFUNCTION("""COMPUTED_VALUE"""),"RA")</f>
        <v>RA</v>
      </c>
      <c r="D13" s="2" t="str">
        <f>IFERROR(__xludf.DUMMYFUNCTION("""COMPUTED_VALUE"""),"72,65")</f>
        <v>72,65</v>
      </c>
    </row>
    <row r="14">
      <c r="A14" s="2">
        <f>IFERROR(__xludf.DUMMYFUNCTION("""COMPUTED_VALUE"""),67.0)</f>
        <v>67</v>
      </c>
      <c r="B14" s="2" t="str">
        <f>IFERROR(__xludf.DUMMYFUNCTION("""COMPUTED_VALUE"""),"Quebec City ‐ Canada")</f>
        <v>Quebec City ‐ Canada</v>
      </c>
      <c r="C14" s="2" t="str">
        <f>IFERROR(__xludf.DUMMYFUNCTION("""COMPUTED_VALUE"""),"M")</f>
        <v>M</v>
      </c>
      <c r="D14" s="2" t="str">
        <f>IFERROR(__xludf.DUMMYFUNCTION("""COMPUTED_VALUE"""),"56,22")</f>
        <v>56,22</v>
      </c>
    </row>
    <row r="15">
      <c r="A15" s="2">
        <f>IFERROR(__xludf.DUMMYFUNCTION("""COMPUTED_VALUE"""),7.0)</f>
        <v>7</v>
      </c>
      <c r="B15" s="2" t="str">
        <f>IFERROR(__xludf.DUMMYFUNCTION("""COMPUTED_VALUE"""),"Oslo ‐ Norway")</f>
        <v>Oslo ‐ Norway</v>
      </c>
      <c r="C15" s="2" t="str">
        <f>IFERROR(__xludf.DUMMYFUNCTION("""COMPUTED_VALUE"""),"RA")</f>
        <v>RA</v>
      </c>
      <c r="D15" s="2" t="str">
        <f>IFERROR(__xludf.DUMMYFUNCTION("""COMPUTED_VALUE"""),"72,55")</f>
        <v>72,55</v>
      </c>
    </row>
    <row r="16">
      <c r="A16" s="2">
        <f>IFERROR(__xludf.DUMMYFUNCTION("""COMPUTED_VALUE"""),68.0)</f>
        <v>68</v>
      </c>
      <c r="B16" s="2" t="str">
        <f>IFERROR(__xludf.DUMMYFUNCTION("""COMPUTED_VALUE"""),"Brussels ‐ Belgium")</f>
        <v>Brussels ‐ Belgium</v>
      </c>
      <c r="C16" s="2" t="str">
        <f>IFERROR(__xludf.DUMMYFUNCTION("""COMPUTED_VALUE"""),"M")</f>
        <v>M</v>
      </c>
      <c r="D16" s="2" t="str">
        <f>IFERROR(__xludf.DUMMYFUNCTION("""COMPUTED_VALUE"""),"56,04")</f>
        <v>56,04</v>
      </c>
    </row>
    <row r="17">
      <c r="A17" s="2">
        <f>IFERROR(__xludf.DUMMYFUNCTION("""COMPUTED_VALUE"""),8.0)</f>
        <v>8</v>
      </c>
      <c r="B17" s="2" t="str">
        <f>IFERROR(__xludf.DUMMYFUNCTION("""COMPUTED_VALUE"""),"Amsterdam ‐ Netherlands")</f>
        <v>Amsterdam ‐ Netherlands</v>
      </c>
      <c r="C17" s="2" t="str">
        <f>IFERROR(__xludf.DUMMYFUNCTION("""COMPUTED_VALUE"""),"RA")</f>
        <v>RA</v>
      </c>
      <c r="D17" s="2" t="str">
        <f>IFERROR(__xludf.DUMMYFUNCTION("""COMPUTED_VALUE"""),"72,21")</f>
        <v>72,21</v>
      </c>
    </row>
    <row r="18">
      <c r="A18" s="2">
        <f>IFERROR(__xludf.DUMMYFUNCTION("""COMPUTED_VALUE"""),69.0)</f>
        <v>69</v>
      </c>
      <c r="B18" s="2" t="str">
        <f>IFERROR(__xludf.DUMMYFUNCTION("""COMPUTED_VALUE"""),"Rome ‐ Italy")</f>
        <v>Rome ‐ Italy</v>
      </c>
      <c r="C18" s="2" t="str">
        <f>IFERROR(__xludf.DUMMYFUNCTION("""COMPUTED_VALUE"""),"M")</f>
        <v>M</v>
      </c>
      <c r="D18" s="2" t="str">
        <f>IFERROR(__xludf.DUMMYFUNCTION("""COMPUTED_VALUE"""),"55,81")</f>
        <v>55,81</v>
      </c>
    </row>
    <row r="19">
      <c r="A19" s="2">
        <f>IFERROR(__xludf.DUMMYFUNCTION("""COMPUTED_VALUE"""),9.0)</f>
        <v>9</v>
      </c>
      <c r="B19" s="2" t="str">
        <f>IFERROR(__xludf.DUMMYFUNCTION("""COMPUTED_VALUE"""),"San Francisco ‐ USA")</f>
        <v>San Francisco ‐ USA</v>
      </c>
      <c r="C19" s="2" t="str">
        <f>IFERROR(__xludf.DUMMYFUNCTION("""COMPUTED_VALUE"""),"RA")</f>
        <v>RA</v>
      </c>
      <c r="D19" s="2" t="str">
        <f>IFERROR(__xludf.DUMMYFUNCTION("""COMPUTED_VALUE"""),"70,77")</f>
        <v>70,77</v>
      </c>
    </row>
    <row r="20">
      <c r="A20" s="2">
        <f>IFERROR(__xludf.DUMMYFUNCTION("""COMPUTED_VALUE"""),70.0)</f>
        <v>70</v>
      </c>
      <c r="B20" s="2" t="str">
        <f>IFERROR(__xludf.DUMMYFUNCTION("""COMPUTED_VALUE"""),"Phoenix ‐ USA")</f>
        <v>Phoenix ‐ USA</v>
      </c>
      <c r="C20" s="2" t="str">
        <f>IFERROR(__xludf.DUMMYFUNCTION("""COMPUTED_VALUE"""),"M")</f>
        <v>M</v>
      </c>
      <c r="D20" s="2" t="str">
        <f>IFERROR(__xludf.DUMMYFUNCTION("""COMPUTED_VALUE"""),"55,75")</f>
        <v>55,75</v>
      </c>
    </row>
    <row r="21">
      <c r="A21" s="2">
        <f>IFERROR(__xludf.DUMMYFUNCTION("""COMPUTED_VALUE"""),10.0)</f>
        <v>10</v>
      </c>
      <c r="B21" s="2" t="str">
        <f>IFERROR(__xludf.DUMMYFUNCTION("""COMPUTED_VALUE"""),"Chicago ‐ USA")</f>
        <v>Chicago ‐ USA</v>
      </c>
      <c r="C21" s="2" t="str">
        <f>IFERROR(__xludf.DUMMYFUNCTION("""COMPUTED_VALUE"""),"RA")</f>
        <v>RA</v>
      </c>
      <c r="D21" s="2" t="str">
        <f>IFERROR(__xludf.DUMMYFUNCTION("""COMPUTED_VALUE"""),"70,76")</f>
        <v>70,76</v>
      </c>
    </row>
    <row r="22">
      <c r="A22" s="2">
        <f>IFERROR(__xludf.DUMMYFUNCTION("""COMPUTED_VALUE"""),71.0)</f>
        <v>71</v>
      </c>
      <c r="B22" s="2" t="str">
        <f>IFERROR(__xludf.DUMMYFUNCTION("""COMPUTED_VALUE"""),"Leeds ‐ United Kingdom")</f>
        <v>Leeds ‐ United Kingdom</v>
      </c>
      <c r="C22" s="2" t="str">
        <f>IFERROR(__xludf.DUMMYFUNCTION("""COMPUTED_VALUE"""),"M")</f>
        <v>M</v>
      </c>
      <c r="D22" s="2" t="str">
        <f>IFERROR(__xludf.DUMMYFUNCTION("""COMPUTED_VALUE"""),"55,72")</f>
        <v>55,72</v>
      </c>
    </row>
    <row r="23">
      <c r="A23" s="2">
        <f>IFERROR(__xludf.DUMMYFUNCTION("""COMPUTED_VALUE"""),11.0)</f>
        <v>11</v>
      </c>
      <c r="B23" s="2" t="str">
        <f>IFERROR(__xludf.DUMMYFUNCTION("""COMPUTED_VALUE"""),"Copenhagen ‐ Denmark")</f>
        <v>Copenhagen ‐ Denmark</v>
      </c>
      <c r="C23" s="2" t="str">
        <f>IFERROR(__xludf.DUMMYFUNCTION("""COMPUTED_VALUE"""),"RA")</f>
        <v>RA</v>
      </c>
      <c r="D23" s="2" t="str">
        <f>IFERROR(__xludf.DUMMYFUNCTION("""COMPUTED_VALUE"""),"70,68")</f>
        <v>70,68</v>
      </c>
    </row>
    <row r="24">
      <c r="A24" s="2">
        <f>IFERROR(__xludf.DUMMYFUNCTION("""COMPUTED_VALUE"""),72.0)</f>
        <v>72</v>
      </c>
      <c r="B24" s="2" t="str">
        <f>IFERROR(__xludf.DUMMYFUNCTION("""COMPUTED_VALUE"""),"Tallinn ‐ Estonia")</f>
        <v>Tallinn ‐ Estonia</v>
      </c>
      <c r="C24" s="2" t="str">
        <f>IFERROR(__xludf.DUMMYFUNCTION("""COMPUTED_VALUE"""),"M")</f>
        <v>M</v>
      </c>
      <c r="D24" s="2" t="str">
        <f>IFERROR(__xludf.DUMMYFUNCTION("""COMPUTED_VALUE"""),"55,04")</f>
        <v>55,04</v>
      </c>
    </row>
    <row r="25">
      <c r="A25" s="2">
        <f>IFERROR(__xludf.DUMMYFUNCTION("""COMPUTED_VALUE"""),12.0)</f>
        <v>12</v>
      </c>
      <c r="B25" s="2" t="str">
        <f>IFERROR(__xludf.DUMMYFUNCTION("""COMPUTED_VALUE"""),"Zurich ‐ Switzerland")</f>
        <v>Zurich ‐ Switzerland</v>
      </c>
      <c r="C25" s="2" t="str">
        <f>IFERROR(__xludf.DUMMYFUNCTION("""COMPUTED_VALUE"""),"RA")</f>
        <v>RA</v>
      </c>
      <c r="D25" s="2" t="str">
        <f>IFERROR(__xludf.DUMMYFUNCTION("""COMPUTED_VALUE"""),"69,45")</f>
        <v>69,45</v>
      </c>
    </row>
    <row r="26">
      <c r="A26" s="2">
        <f>IFERROR(__xludf.DUMMYFUNCTION("""COMPUTED_VALUE"""),73.0)</f>
        <v>73</v>
      </c>
      <c r="B26" s="2" t="str">
        <f>IFERROR(__xludf.DUMMYFUNCTION("""COMPUTED_VALUE"""),"Baltimore ‐ USA")</f>
        <v>Baltimore ‐ USA</v>
      </c>
      <c r="C26" s="2" t="str">
        <f>IFERROR(__xludf.DUMMYFUNCTION("""COMPUTED_VALUE"""),"M")</f>
        <v>M</v>
      </c>
      <c r="D26" s="2" t="str">
        <f>IFERROR(__xludf.DUMMYFUNCTION("""COMPUTED_VALUE"""),"54,73")</f>
        <v>54,73</v>
      </c>
    </row>
    <row r="27">
      <c r="A27" s="2">
        <f>IFERROR(__xludf.DUMMYFUNCTION("""COMPUTED_VALUE"""),13.0)</f>
        <v>13</v>
      </c>
      <c r="B27" s="2" t="str">
        <f>IFERROR(__xludf.DUMMYFUNCTION("""COMPUTED_VALUE"""),"Seoul ‐ South Korea")</f>
        <v>Seoul ‐ South Korea</v>
      </c>
      <c r="C27" s="2" t="str">
        <f>IFERROR(__xludf.DUMMYFUNCTION("""COMPUTED_VALUE"""),"RA")</f>
        <v>RA</v>
      </c>
      <c r="D27" s="2" t="str">
        <f>IFERROR(__xludf.DUMMYFUNCTION("""COMPUTED_VALUE"""),"69,21")</f>
        <v>69,21</v>
      </c>
    </row>
    <row r="28">
      <c r="A28" s="2">
        <f>IFERROR(__xludf.DUMMYFUNCTION("""COMPUTED_VALUE"""),74.0)</f>
        <v>74</v>
      </c>
      <c r="B28" s="2" t="str">
        <f>IFERROR(__xludf.DUMMYFUNCTION("""COMPUTED_VALUE"""),"San Antonio ‐ USA")</f>
        <v>San Antonio ‐ USA</v>
      </c>
      <c r="C28" s="2" t="str">
        <f>IFERROR(__xludf.DUMMYFUNCTION("""COMPUTED_VALUE"""),"M")</f>
        <v>M</v>
      </c>
      <c r="D28" s="2" t="str">
        <f>IFERROR(__xludf.DUMMYFUNCTION("""COMPUTED_VALUE"""),"54,61")</f>
        <v>54,61</v>
      </c>
    </row>
    <row r="29">
      <c r="A29" s="2">
        <f>IFERROR(__xludf.DUMMYFUNCTION("""COMPUTED_VALUE"""),14.0)</f>
        <v>14</v>
      </c>
      <c r="B29" s="2" t="str">
        <f>IFERROR(__xludf.DUMMYFUNCTION("""COMPUTED_VALUE"""),"Munich ‐ Germany")</f>
        <v>Munich ‐ Germany</v>
      </c>
      <c r="C29" s="2" t="str">
        <f>IFERROR(__xludf.DUMMYFUNCTION("""COMPUTED_VALUE"""),"RA")</f>
        <v>RA</v>
      </c>
      <c r="D29" s="2" t="str">
        <f>IFERROR(__xludf.DUMMYFUNCTION("""COMPUTED_VALUE"""),"68,91")</f>
        <v>68,91</v>
      </c>
    </row>
    <row r="30">
      <c r="A30" s="2">
        <f>IFERROR(__xludf.DUMMYFUNCTION("""COMPUTED_VALUE"""),75.0)</f>
        <v>75</v>
      </c>
      <c r="B30" s="2" t="str">
        <f>IFERROR(__xludf.DUMMYFUNCTION("""COMPUTED_VALUE"""),"Detroit ‐ USA")</f>
        <v>Detroit ‐ USA</v>
      </c>
      <c r="C30" s="2" t="str">
        <f>IFERROR(__xludf.DUMMYFUNCTION("""COMPUTED_VALUE"""),"M")</f>
        <v>M</v>
      </c>
      <c r="D30" s="2" t="str">
        <f>IFERROR(__xludf.DUMMYFUNCTION("""COMPUTED_VALUE"""),"54,53")</f>
        <v>54,53</v>
      </c>
    </row>
    <row r="31">
      <c r="A31" s="2">
        <f>IFERROR(__xludf.DUMMYFUNCTION("""COMPUTED_VALUE"""),15.0)</f>
        <v>15</v>
      </c>
      <c r="B31" s="2" t="str">
        <f>IFERROR(__xludf.DUMMYFUNCTION("""COMPUTED_VALUE"""),"Boston ‐ USA")</f>
        <v>Boston ‐ USA</v>
      </c>
      <c r="C31" s="2" t="str">
        <f>IFERROR(__xludf.DUMMYFUNCTION("""COMPUTED_VALUE"""),"RA")</f>
        <v>RA</v>
      </c>
      <c r="D31" s="2" t="str">
        <f>IFERROR(__xludf.DUMMYFUNCTION("""COMPUTED_VALUE"""),"68,28")</f>
        <v>68,28</v>
      </c>
    </row>
    <row r="32">
      <c r="A32" s="2">
        <f>IFERROR(__xludf.DUMMYFUNCTION("""COMPUTED_VALUE"""),76.0)</f>
        <v>76</v>
      </c>
      <c r="B32" s="2" t="str">
        <f>IFERROR(__xludf.DUMMYFUNCTION("""COMPUTED_VALUE"""),"Lisbon ‐ Portugal")</f>
        <v>Lisbon ‐ Portugal</v>
      </c>
      <c r="C32" s="2" t="str">
        <f>IFERROR(__xludf.DUMMYFUNCTION("""COMPUTED_VALUE"""),"M")</f>
        <v>M</v>
      </c>
      <c r="D32" s="2" t="str">
        <f>IFERROR(__xludf.DUMMYFUNCTION("""COMPUTED_VALUE"""),"54,44")</f>
        <v>54,44</v>
      </c>
    </row>
    <row r="33">
      <c r="A33" s="2">
        <f>IFERROR(__xludf.DUMMYFUNCTION("""COMPUTED_VALUE"""),16.0)</f>
        <v>16</v>
      </c>
      <c r="B33" s="2" t="str">
        <f>IFERROR(__xludf.DUMMYFUNCTION("""COMPUTED_VALUE"""),"Hamburg ‐ Germany")</f>
        <v>Hamburg ‐ Germany</v>
      </c>
      <c r="C33" s="2" t="str">
        <f>IFERROR(__xludf.DUMMYFUNCTION("""COMPUTED_VALUE"""),"RA")</f>
        <v>RA</v>
      </c>
      <c r="D33" s="2" t="str">
        <f>IFERROR(__xludf.DUMMYFUNCTION("""COMPUTED_VALUE"""),"67,92")</f>
        <v>67,92</v>
      </c>
    </row>
    <row r="34">
      <c r="A34" s="2">
        <f>IFERROR(__xludf.DUMMYFUNCTION("""COMPUTED_VALUE"""),77.0)</f>
        <v>77</v>
      </c>
      <c r="B34" s="2" t="str">
        <f>IFERROR(__xludf.DUMMYFUNCTION("""COMPUTED_VALUE"""),"Valencia ‐ Spain")</f>
        <v>Valencia ‐ Spain</v>
      </c>
      <c r="C34" s="2" t="str">
        <f>IFERROR(__xludf.DUMMYFUNCTION("""COMPUTED_VALUE"""),"M")</f>
        <v>M</v>
      </c>
      <c r="D34" s="2" t="str">
        <f>IFERROR(__xludf.DUMMYFUNCTION("""COMPUTED_VALUE"""),"54,37")</f>
        <v>54,37</v>
      </c>
    </row>
    <row r="35">
      <c r="A35" s="2">
        <f>IFERROR(__xludf.DUMMYFUNCTION("""COMPUTED_VALUE"""),17.0)</f>
        <v>17</v>
      </c>
      <c r="B35" s="2" t="str">
        <f>IFERROR(__xludf.DUMMYFUNCTION("""COMPUTED_VALUE"""),"Washington ‐ USA")</f>
        <v>Washington ‐ USA</v>
      </c>
      <c r="C35" s="2" t="str">
        <f>IFERROR(__xludf.DUMMYFUNCTION("""COMPUTED_VALUE"""),"RA")</f>
        <v>RA</v>
      </c>
      <c r="D35" s="2" t="str">
        <f>IFERROR(__xludf.DUMMYFUNCTION("""COMPUTED_VALUE"""),"67,30")</f>
        <v>67,30</v>
      </c>
    </row>
    <row r="36">
      <c r="A36" s="2">
        <f>IFERROR(__xludf.DUMMYFUNCTION("""COMPUTED_VALUE"""),78.0)</f>
        <v>78</v>
      </c>
      <c r="B36" s="2" t="str">
        <f>IFERROR(__xludf.DUMMYFUNCTION("""COMPUTED_VALUE"""),"Las Vegas ‐ USA")</f>
        <v>Las Vegas ‐ USA</v>
      </c>
      <c r="C36" s="2" t="str">
        <f>IFERROR(__xludf.DUMMYFUNCTION("""COMPUTED_VALUE"""),"M")</f>
        <v>M</v>
      </c>
      <c r="D36" s="2" t="str">
        <f>IFERROR(__xludf.DUMMYFUNCTION("""COMPUTED_VALUE"""),"53,91")</f>
        <v>53,91</v>
      </c>
    </row>
    <row r="37">
      <c r="A37" s="2">
        <f>IFERROR(__xludf.DUMMYFUNCTION("""COMPUTED_VALUE"""),18.0)</f>
        <v>18</v>
      </c>
      <c r="B37" s="2" t="str">
        <f>IFERROR(__xludf.DUMMYFUNCTION("""COMPUTED_VALUE"""),"Stockholm ‐ Sweden")</f>
        <v>Stockholm ‐ Sweden</v>
      </c>
      <c r="C37" s="2" t="str">
        <f>IFERROR(__xludf.DUMMYFUNCTION("""COMPUTED_VALUE"""),"RA")</f>
        <v>RA</v>
      </c>
      <c r="D37" s="2" t="str">
        <f>IFERROR(__xludf.DUMMYFUNCTION("""COMPUTED_VALUE"""),"66,64")</f>
        <v>66,64</v>
      </c>
    </row>
    <row r="38">
      <c r="A38" s="2">
        <f>IFERROR(__xludf.DUMMYFUNCTION("""COMPUTED_VALUE"""),79.0)</f>
        <v>79</v>
      </c>
      <c r="B38" s="2" t="str">
        <f>IFERROR(__xludf.DUMMYFUNCTION("""COMPUTED_VALUE"""),"Marseille ‐ France")</f>
        <v>Marseille ‐ France</v>
      </c>
      <c r="C38" s="2" t="str">
        <f>IFERROR(__xludf.DUMMYFUNCTION("""COMPUTED_VALUE"""),"M")</f>
        <v>M</v>
      </c>
      <c r="D38" s="2" t="str">
        <f>IFERROR(__xludf.DUMMYFUNCTION("""COMPUTED_VALUE"""),"53,79")</f>
        <v>53,79</v>
      </c>
    </row>
    <row r="39">
      <c r="A39" s="2">
        <f>IFERROR(__xludf.DUMMYFUNCTION("""COMPUTED_VALUE"""),19.0)</f>
        <v>19</v>
      </c>
      <c r="B39" s="2" t="str">
        <f>IFERROR(__xludf.DUMMYFUNCTION("""COMPUTED_VALUE"""),"Melbourne ‐ Australia")</f>
        <v>Melbourne ‐ Australia</v>
      </c>
      <c r="C39" s="2" t="str">
        <f>IFERROR(__xludf.DUMMYFUNCTION("""COMPUTED_VALUE"""),"RA")</f>
        <v>RA</v>
      </c>
      <c r="D39" s="2" t="str">
        <f>IFERROR(__xludf.DUMMYFUNCTION("""COMPUTED_VALUE"""),"66,31")</f>
        <v>66,31</v>
      </c>
    </row>
    <row r="40">
      <c r="A40" s="2">
        <f>IFERROR(__xludf.DUMMYFUNCTION("""COMPUTED_VALUE"""),80.0)</f>
        <v>80</v>
      </c>
      <c r="B40" s="2" t="str">
        <f>IFERROR(__xludf.DUMMYFUNCTION("""COMPUTED_VALUE"""),"Tel Aviv ‐ Israel")</f>
        <v>Tel Aviv ‐ Israel</v>
      </c>
      <c r="C40" s="2" t="str">
        <f>IFERROR(__xludf.DUMMYFUNCTION("""COMPUTED_VALUE"""),"M")</f>
        <v>M</v>
      </c>
      <c r="D40" s="2" t="str">
        <f>IFERROR(__xludf.DUMMYFUNCTION("""COMPUTED_VALUE"""),"53,29")</f>
        <v>53,29</v>
      </c>
    </row>
    <row r="41">
      <c r="A41" s="2">
        <f>IFERROR(__xludf.DUMMYFUNCTION("""COMPUTED_VALUE"""),20.0)</f>
        <v>20</v>
      </c>
      <c r="B41" s="2" t="str">
        <f>IFERROR(__xludf.DUMMYFUNCTION("""COMPUTED_VALUE"""),"Madrid ‐ Spain")</f>
        <v>Madrid ‐ Spain</v>
      </c>
      <c r="C41" s="2" t="str">
        <f>IFERROR(__xludf.DUMMYFUNCTION("""COMPUTED_VALUE"""),"RA")</f>
        <v>RA</v>
      </c>
      <c r="D41" s="2" t="str">
        <f>IFERROR(__xludf.DUMMYFUNCTION("""COMPUTED_VALUE"""),"66,06")</f>
        <v>66,06</v>
      </c>
    </row>
    <row r="42">
      <c r="A42" s="2">
        <f>IFERROR(__xludf.DUMMYFUNCTION("""COMPUTED_VALUE"""),81.0)</f>
        <v>81</v>
      </c>
      <c r="B42" s="2" t="str">
        <f>IFERROR(__xludf.DUMMYFUNCTION("""COMPUTED_VALUE"""),"Dubai ‐ United Arab Emirates")</f>
        <v>Dubai ‐ United Arab Emirates</v>
      </c>
      <c r="C42" s="2" t="str">
        <f>IFERROR(__xludf.DUMMYFUNCTION("""COMPUTED_VALUE"""),"M")</f>
        <v>M</v>
      </c>
      <c r="D42" s="2" t="str">
        <f>IFERROR(__xludf.DUMMYFUNCTION("""COMPUTED_VALUE"""),"53,28")</f>
        <v>53,28</v>
      </c>
    </row>
    <row r="43">
      <c r="A43" s="2">
        <f>IFERROR(__xludf.DUMMYFUNCTION("""COMPUTED_VALUE"""),21.0)</f>
        <v>21</v>
      </c>
      <c r="B43" s="2" t="str">
        <f>IFERROR(__xludf.DUMMYFUNCTION("""COMPUTED_VALUE"""),"Beijing ‐ China")</f>
        <v>Beijing ‐ China</v>
      </c>
      <c r="C43" s="2" t="str">
        <f>IFERROR(__xludf.DUMMYFUNCTION("""COMPUTED_VALUE"""),"RA")</f>
        <v>RA</v>
      </c>
      <c r="D43" s="2" t="str">
        <f>IFERROR(__xludf.DUMMYFUNCTION("""COMPUTED_VALUE"""),"65,88")</f>
        <v>65,88</v>
      </c>
    </row>
    <row r="44">
      <c r="A44" s="2">
        <f>IFERROR(__xludf.DUMMYFUNCTION("""COMPUTED_VALUE"""),82.0)</f>
        <v>82</v>
      </c>
      <c r="B44" s="2" t="str">
        <f>IFERROR(__xludf.DUMMYFUNCTION("""COMPUTED_VALUE"""),"Antwerp ‐ Belgium")</f>
        <v>Antwerp ‐ Belgium</v>
      </c>
      <c r="C44" s="2" t="str">
        <f>IFERROR(__xludf.DUMMYFUNCTION("""COMPUTED_VALUE"""),"M")</f>
        <v>M</v>
      </c>
      <c r="D44" s="2" t="str">
        <f>IFERROR(__xludf.DUMMYFUNCTION("""COMPUTED_VALUE"""),"53,03")</f>
        <v>53,03</v>
      </c>
    </row>
    <row r="45">
      <c r="A45" s="2">
        <f>IFERROR(__xludf.DUMMYFUNCTION("""COMPUTED_VALUE"""),22.0)</f>
        <v>22</v>
      </c>
      <c r="B45" s="2" t="str">
        <f>IFERROR(__xludf.DUMMYFUNCTION("""COMPUTED_VALUE"""),"Vienna ‐ Austria")</f>
        <v>Vienna ‐ Austria</v>
      </c>
      <c r="C45" s="2" t="str">
        <f>IFERROR(__xludf.DUMMYFUNCTION("""COMPUTED_VALUE"""),"RA")</f>
        <v>RA</v>
      </c>
      <c r="D45" s="2" t="str">
        <f>IFERROR(__xludf.DUMMYFUNCTION("""COMPUTED_VALUE"""),"65,86")</f>
        <v>65,86</v>
      </c>
    </row>
    <row r="46">
      <c r="A46" s="2">
        <f>IFERROR(__xludf.DUMMYFUNCTION("""COMPUTED_VALUE"""),83.0)</f>
        <v>83</v>
      </c>
      <c r="B46" s="2" t="str">
        <f>IFERROR(__xludf.DUMMYFUNCTION("""COMPUTED_VALUE"""),"Nice ‐ France")</f>
        <v>Nice ‐ France</v>
      </c>
      <c r="C46" s="2" t="str">
        <f>IFERROR(__xludf.DUMMYFUNCTION("""COMPUTED_VALUE"""),"M")</f>
        <v>M</v>
      </c>
      <c r="D46" s="2" t="str">
        <f>IFERROR(__xludf.DUMMYFUNCTION("""COMPUTED_VALUE"""),"52,69")</f>
        <v>52,69</v>
      </c>
    </row>
    <row r="47">
      <c r="A47" s="2">
        <f>IFERROR(__xludf.DUMMYFUNCTION("""COMPUTED_VALUE"""),23.0)</f>
        <v>23</v>
      </c>
      <c r="B47" s="2" t="str">
        <f>IFERROR(__xludf.DUMMYFUNCTION("""COMPUTED_VALUE"""),"Reykjavik ‐ Iceland")</f>
        <v>Reykjavik ‐ Iceland</v>
      </c>
      <c r="C47" s="2" t="str">
        <f>IFERROR(__xludf.DUMMYFUNCTION("""COMPUTED_VALUE"""),"RA")</f>
        <v>RA</v>
      </c>
      <c r="D47" s="2" t="str">
        <f>IFERROR(__xludf.DUMMYFUNCTION("""COMPUTED_VALUE"""),"65,43")</f>
        <v>65,43</v>
      </c>
    </row>
    <row r="48">
      <c r="A48" s="2">
        <f>IFERROR(__xludf.DUMMYFUNCTION("""COMPUTED_VALUE"""),84.0)</f>
        <v>84</v>
      </c>
      <c r="B48" s="2" t="str">
        <f>IFERROR(__xludf.DUMMYFUNCTION("""COMPUTED_VALUE"""),"Osaka ‐ Japan")</f>
        <v>Osaka ‐ Japan</v>
      </c>
      <c r="C48" s="2" t="str">
        <f>IFERROR(__xludf.DUMMYFUNCTION("""COMPUTED_VALUE"""),"M")</f>
        <v>M</v>
      </c>
      <c r="D48" s="2" t="str">
        <f>IFERROR(__xludf.DUMMYFUNCTION("""COMPUTED_VALUE"""),"52,39")</f>
        <v>52,39</v>
      </c>
    </row>
    <row r="49">
      <c r="A49" s="2">
        <f>IFERROR(__xludf.DUMMYFUNCTION("""COMPUTED_VALUE"""),24.0)</f>
        <v>24</v>
      </c>
      <c r="B49" s="2" t="str">
        <f>IFERROR(__xludf.DUMMYFUNCTION("""COMPUTED_VALUE"""),"Basel ‐ Switzerland")</f>
        <v>Basel ‐ Switzerland</v>
      </c>
      <c r="C49" s="2" t="str">
        <f>IFERROR(__xludf.DUMMYFUNCTION("""COMPUTED_VALUE"""),"RA")</f>
        <v>RA</v>
      </c>
      <c r="D49" s="2" t="str">
        <f>IFERROR(__xludf.DUMMYFUNCTION("""COMPUTED_VALUE"""),"65,14")</f>
        <v>65,14</v>
      </c>
    </row>
    <row r="50">
      <c r="A50" s="2">
        <f>IFERROR(__xludf.DUMMYFUNCTION("""COMPUTED_VALUE"""),85.0)</f>
        <v>85</v>
      </c>
      <c r="B50" s="2" t="str">
        <f>IFERROR(__xludf.DUMMYFUNCTION("""COMPUTED_VALUE"""),"Linz ‐ Austria")</f>
        <v>Linz ‐ Austria</v>
      </c>
      <c r="C50" s="2" t="str">
        <f>IFERROR(__xludf.DUMMYFUNCTION("""COMPUTED_VALUE"""),"M")</f>
        <v>M</v>
      </c>
      <c r="D50" s="2" t="str">
        <f>IFERROR(__xludf.DUMMYFUNCTION("""COMPUTED_VALUE"""),"51,81")</f>
        <v>51,81</v>
      </c>
    </row>
    <row r="51">
      <c r="A51" s="2">
        <f>IFERROR(__xludf.DUMMYFUNCTION("""COMPUTED_VALUE"""),25.0)</f>
        <v>25</v>
      </c>
      <c r="B51" s="2" t="str">
        <f>IFERROR(__xludf.DUMMYFUNCTION("""COMPUTED_VALUE"""),"Rotterdam ‐ Netherlands")</f>
        <v>Rotterdam ‐ Netherlands</v>
      </c>
      <c r="C51" s="2" t="str">
        <f>IFERROR(__xludf.DUMMYFUNCTION("""COMPUTED_VALUE"""),"RA")</f>
        <v>RA</v>
      </c>
      <c r="D51" s="2" t="str">
        <f>IFERROR(__xludf.DUMMYFUNCTION("""COMPUTED_VALUE"""),"65,09")</f>
        <v>65,09</v>
      </c>
    </row>
    <row r="52">
      <c r="A52" s="2">
        <f>IFERROR(__xludf.DUMMYFUNCTION("""COMPUTED_VALUE"""),86.0)</f>
        <v>86</v>
      </c>
      <c r="B52" s="2" t="str">
        <f>IFERROR(__xludf.DUMMYFUNCTION("""COMPUTED_VALUE"""),"Nagoya ‐ Japan")</f>
        <v>Nagoya ‐ Japan</v>
      </c>
      <c r="C52" s="2" t="str">
        <f>IFERROR(__xludf.DUMMYFUNCTION("""COMPUTED_VALUE"""),"M")</f>
        <v>M</v>
      </c>
      <c r="D52" s="2" t="str">
        <f>IFERROR(__xludf.DUMMYFUNCTION("""COMPUTED_VALUE"""),"51,80")</f>
        <v>51,80</v>
      </c>
    </row>
    <row r="53">
      <c r="A53" s="2">
        <f>IFERROR(__xludf.DUMMYFUNCTION("""COMPUTED_VALUE"""),26.0)</f>
        <v>26</v>
      </c>
      <c r="B53" s="2" t="str">
        <f>IFERROR(__xludf.DUMMYFUNCTION("""COMPUTED_VALUE"""),"Helsinki ‐ Finland")</f>
        <v>Helsinki ‐ Finland</v>
      </c>
      <c r="C53" s="2" t="str">
        <f>IFERROR(__xludf.DUMMYFUNCTION("""COMPUTED_VALUE"""),"RA")</f>
        <v>RA</v>
      </c>
      <c r="D53" s="2" t="str">
        <f>IFERROR(__xludf.DUMMYFUNCTION("""COMPUTED_VALUE"""),"64,68")</f>
        <v>64,68</v>
      </c>
    </row>
    <row r="54">
      <c r="A54" s="2">
        <f>IFERROR(__xludf.DUMMYFUNCTION("""COMPUTED_VALUE"""),87.0)</f>
        <v>87</v>
      </c>
      <c r="B54" s="2" t="str">
        <f>IFERROR(__xludf.DUMMYFUNCTION("""COMPUTED_VALUE"""),"Budapest ‐ Hungary")</f>
        <v>Budapest ‐ Hungary</v>
      </c>
      <c r="C54" s="2" t="str">
        <f>IFERROR(__xludf.DUMMYFUNCTION("""COMPUTED_VALUE"""),"M")</f>
        <v>M</v>
      </c>
      <c r="D54" s="2" t="str">
        <f>IFERROR(__xludf.DUMMYFUNCTION("""COMPUTED_VALUE"""),"51,22")</f>
        <v>51,22</v>
      </c>
    </row>
    <row r="55">
      <c r="A55" s="2">
        <f>IFERROR(__xludf.DUMMYFUNCTION("""COMPUTED_VALUE"""),27.0)</f>
        <v>27</v>
      </c>
      <c r="B55" s="2" t="str">
        <f>IFERROR(__xludf.DUMMYFUNCTION("""COMPUTED_VALUE"""),"Taipei ‐ Taiwan")</f>
        <v>Taipei ‐ Taiwan</v>
      </c>
      <c r="C55" s="2" t="str">
        <f>IFERROR(__xludf.DUMMYFUNCTION("""COMPUTED_VALUE"""),"RA")</f>
        <v>RA</v>
      </c>
      <c r="D55" s="2" t="str">
        <f>IFERROR(__xludf.DUMMYFUNCTION("""COMPUTED_VALUE"""),"64,60")</f>
        <v>64,60</v>
      </c>
    </row>
    <row r="56">
      <c r="A56" s="2">
        <f>IFERROR(__xludf.DUMMYFUNCTION("""COMPUTED_VALUE"""),88.0)</f>
        <v>88</v>
      </c>
      <c r="B56" s="2" t="str">
        <f>IFERROR(__xludf.DUMMYFUNCTION("""COMPUTED_VALUE"""),"Lille ‐ France")</f>
        <v>Lille ‐ France</v>
      </c>
      <c r="C56" s="2" t="str">
        <f>IFERROR(__xludf.DUMMYFUNCTION("""COMPUTED_VALUE"""),"M")</f>
        <v>M</v>
      </c>
      <c r="D56" s="2" t="str">
        <f>IFERROR(__xludf.DUMMYFUNCTION("""COMPUTED_VALUE"""),"50,96")</f>
        <v>50,96</v>
      </c>
    </row>
    <row r="57">
      <c r="A57" s="2">
        <f>IFERROR(__xludf.DUMMYFUNCTION("""COMPUTED_VALUE"""),28.0)</f>
        <v>28</v>
      </c>
      <c r="B57" s="2" t="str">
        <f>IFERROR(__xludf.DUMMYFUNCTION("""COMPUTED_VALUE"""),"Sydney ‐ Australia")</f>
        <v>Sydney ‐ Australia</v>
      </c>
      <c r="C57" s="2" t="str">
        <f>IFERROR(__xludf.DUMMYFUNCTION("""COMPUTED_VALUE"""),"RA")</f>
        <v>RA</v>
      </c>
      <c r="D57" s="2" t="str">
        <f>IFERROR(__xludf.DUMMYFUNCTION("""COMPUTED_VALUE"""),"64,32")</f>
        <v>64,32</v>
      </c>
    </row>
    <row r="58">
      <c r="A58" s="2">
        <f>IFERROR(__xludf.DUMMYFUNCTION("""COMPUTED_VALUE"""),89.0)</f>
        <v>89</v>
      </c>
      <c r="B58" s="2" t="str">
        <f>IFERROR(__xludf.DUMMYFUNCTION("""COMPUTED_VALUE"""),"Duisburg ‐ Germany")</f>
        <v>Duisburg ‐ Germany</v>
      </c>
      <c r="C58" s="2" t="str">
        <f>IFERROR(__xludf.DUMMYFUNCTION("""COMPUTED_VALUE"""),"M")</f>
        <v>M</v>
      </c>
      <c r="D58" s="2" t="str">
        <f>IFERROR(__xludf.DUMMYFUNCTION("""COMPUTED_VALUE"""),"50,85")</f>
        <v>50,85</v>
      </c>
    </row>
    <row r="59">
      <c r="A59" s="2">
        <f>IFERROR(__xludf.DUMMYFUNCTION("""COMPUTED_VALUE"""),29.0)</f>
        <v>29</v>
      </c>
      <c r="B59" s="2" t="str">
        <f>IFERROR(__xludf.DUMMYFUNCTION("""COMPUTED_VALUE"""),"Barcelona ‐ Spain")</f>
        <v>Barcelona ‐ Spain</v>
      </c>
      <c r="C59" s="2" t="str">
        <f>IFERROR(__xludf.DUMMYFUNCTION("""COMPUTED_VALUE"""),"RA")</f>
        <v>RA</v>
      </c>
      <c r="D59" s="2" t="str">
        <f>IFERROR(__xludf.DUMMYFUNCTION("""COMPUTED_VALUE"""),"64,17")</f>
        <v>64,17</v>
      </c>
    </row>
    <row r="60">
      <c r="A60" s="2">
        <f>IFERROR(__xludf.DUMMYFUNCTION("""COMPUTED_VALUE"""),90.0)</f>
        <v>90</v>
      </c>
      <c r="B60" s="2" t="str">
        <f>IFERROR(__xludf.DUMMYFUNCTION("""COMPUTED_VALUE"""),"Málaga ‐ Spain")</f>
        <v>Málaga ‐ Spain</v>
      </c>
      <c r="C60" s="2" t="str">
        <f>IFERROR(__xludf.DUMMYFUNCTION("""COMPUTED_VALUE"""),"M")</f>
        <v>M</v>
      </c>
      <c r="D60" s="2" t="str">
        <f>IFERROR(__xludf.DUMMYFUNCTION("""COMPUTED_VALUE"""),"50,27")</f>
        <v>50,27</v>
      </c>
    </row>
    <row r="61">
      <c r="A61" s="2">
        <f>IFERROR(__xludf.DUMMYFUNCTION("""COMPUTED_VALUE"""),30.0)</f>
        <v>30</v>
      </c>
      <c r="B61" s="2" t="str">
        <f>IFERROR(__xludf.DUMMYFUNCTION("""COMPUTED_VALUE"""),"Bern ‐ Switzerland")</f>
        <v>Bern ‐ Switzerland</v>
      </c>
      <c r="C61" s="2" t="str">
        <f>IFERROR(__xludf.DUMMYFUNCTION("""COMPUTED_VALUE"""),"RA")</f>
        <v>RA</v>
      </c>
      <c r="D61" s="2" t="str">
        <f>IFERROR(__xludf.DUMMYFUNCTION("""COMPUTED_VALUE"""),"64,01")</f>
        <v>64,01</v>
      </c>
    </row>
    <row r="62">
      <c r="A62" s="2">
        <f>IFERROR(__xludf.DUMMYFUNCTION("""COMPUTED_VALUE"""),91.0)</f>
        <v>91</v>
      </c>
      <c r="B62" s="2" t="str">
        <f>IFERROR(__xludf.DUMMYFUNCTION("""COMPUTED_VALUE"""),"Santiago ‐ Chile")</f>
        <v>Santiago ‐ Chile</v>
      </c>
      <c r="C62" s="2" t="str">
        <f>IFERROR(__xludf.DUMMYFUNCTION("""COMPUTED_VALUE"""),"M")</f>
        <v>M</v>
      </c>
      <c r="D62" s="2" t="str">
        <f>IFERROR(__xludf.DUMMYFUNCTION("""COMPUTED_VALUE"""),"49,96")</f>
        <v>49,96</v>
      </c>
    </row>
    <row r="63">
      <c r="A63" s="2">
        <f>IFERROR(__xludf.DUMMYFUNCTION("""COMPUTED_VALUE"""),31.0)</f>
        <v>31</v>
      </c>
      <c r="B63" s="2" t="str">
        <f>IFERROR(__xludf.DUMMYFUNCTION("""COMPUTED_VALUE"""),"Seattle ‐ USA")</f>
        <v>Seattle ‐ USA</v>
      </c>
      <c r="C63" s="2" t="str">
        <f>IFERROR(__xludf.DUMMYFUNCTION("""COMPUTED_VALUE"""),"RA")</f>
        <v>RA</v>
      </c>
      <c r="D63" s="2" t="str">
        <f>IFERROR(__xludf.DUMMYFUNCTION("""COMPUTED_VALUE"""),"63,28")</f>
        <v>63,28</v>
      </c>
    </row>
    <row r="64">
      <c r="A64" s="2">
        <f>IFERROR(__xludf.DUMMYFUNCTION("""COMPUTED_VALUE"""),92.0)</f>
        <v>92</v>
      </c>
      <c r="B64" s="2" t="str">
        <f>IFERROR(__xludf.DUMMYFUNCTION("""COMPUTED_VALUE"""),"Riga ‐ Latvia")</f>
        <v>Riga ‐ Latvia</v>
      </c>
      <c r="C64" s="2" t="str">
        <f>IFERROR(__xludf.DUMMYFUNCTION("""COMPUTED_VALUE"""),"M")</f>
        <v>M</v>
      </c>
      <c r="D64" s="2" t="str">
        <f>IFERROR(__xludf.DUMMYFUNCTION("""COMPUTED_VALUE"""),"49,73")</f>
        <v>49,73</v>
      </c>
    </row>
    <row r="65">
      <c r="A65" s="2">
        <f>IFERROR(__xludf.DUMMYFUNCTION("""COMPUTED_VALUE"""),32.0)</f>
        <v>32</v>
      </c>
      <c r="B65" s="2" t="str">
        <f>IFERROR(__xludf.DUMMYFUNCTION("""COMPUTED_VALUE"""),"Edinburgh ‐ United Kingdom")</f>
        <v>Edinburgh ‐ United Kingdom</v>
      </c>
      <c r="C65" s="2" t="str">
        <f>IFERROR(__xludf.DUMMYFUNCTION("""COMPUTED_VALUE"""),"RA")</f>
        <v>RA</v>
      </c>
      <c r="D65" s="2" t="str">
        <f>IFERROR(__xludf.DUMMYFUNCTION("""COMPUTED_VALUE"""),"63,17")</f>
        <v>63,17</v>
      </c>
    </row>
    <row r="66">
      <c r="A66" s="2">
        <f>IFERROR(__xludf.DUMMYFUNCTION("""COMPUTED_VALUE"""),93.0)</f>
        <v>93</v>
      </c>
      <c r="B66" s="2" t="str">
        <f>IFERROR(__xludf.DUMMYFUNCTION("""COMPUTED_VALUE"""),"Istanbul ‐ Turkey")</f>
        <v>Istanbul ‐ Turkey</v>
      </c>
      <c r="C66" s="2" t="str">
        <f>IFERROR(__xludf.DUMMYFUNCTION("""COMPUTED_VALUE"""),"M")</f>
        <v>M</v>
      </c>
      <c r="D66" s="2" t="str">
        <f>IFERROR(__xludf.DUMMYFUNCTION("""COMPUTED_VALUE"""),"49,71")</f>
        <v>49,71</v>
      </c>
    </row>
    <row r="67">
      <c r="A67" s="2">
        <f>IFERROR(__xludf.DUMMYFUNCTION("""COMPUTED_VALUE"""),33.0)</f>
        <v>33</v>
      </c>
      <c r="B67" s="2" t="str">
        <f>IFERROR(__xludf.DUMMYFUNCTION("""COMPUTED_VALUE"""),"Toronto ‐ Canada")</f>
        <v>Toronto ‐ Canada</v>
      </c>
      <c r="C67" s="2" t="str">
        <f>IFERROR(__xludf.DUMMYFUNCTION("""COMPUTED_VALUE"""),"RA")</f>
        <v>RA</v>
      </c>
      <c r="D67" s="2" t="str">
        <f>IFERROR(__xludf.DUMMYFUNCTION("""COMPUTED_VALUE"""),"62,90")</f>
        <v>62,90</v>
      </c>
    </row>
    <row r="68">
      <c r="A68" s="2">
        <f>IFERROR(__xludf.DUMMYFUNCTION("""COMPUTED_VALUE"""),94.0)</f>
        <v>94</v>
      </c>
      <c r="B68" s="2" t="str">
        <f>IFERROR(__xludf.DUMMYFUNCTION("""COMPUTED_VALUE"""),"Seville ‐ Spain")</f>
        <v>Seville ‐ Spain</v>
      </c>
      <c r="C68" s="2" t="str">
        <f>IFERROR(__xludf.DUMMYFUNCTION("""COMPUTED_VALUE"""),"M")</f>
        <v>M</v>
      </c>
      <c r="D68" s="2" t="str">
        <f>IFERROR(__xludf.DUMMYFUNCTION("""COMPUTED_VALUE"""),"49,62")</f>
        <v>49,62</v>
      </c>
    </row>
    <row r="69">
      <c r="A69" s="2">
        <f>IFERROR(__xludf.DUMMYFUNCTION("""COMPUTED_VALUE"""),34.0)</f>
        <v>34</v>
      </c>
      <c r="B69" s="2" t="str">
        <f>IFERROR(__xludf.DUMMYFUNCTION("""COMPUTED_VALUE"""),"Dublin ‐ Ireland")</f>
        <v>Dublin ‐ Ireland</v>
      </c>
      <c r="C69" s="2" t="str">
        <f>IFERROR(__xludf.DUMMYFUNCTION("""COMPUTED_VALUE"""),"RA")</f>
        <v>RA</v>
      </c>
      <c r="D69" s="2" t="str">
        <f>IFERROR(__xludf.DUMMYFUNCTION("""COMPUTED_VALUE"""),"62,49")</f>
        <v>62,49</v>
      </c>
    </row>
    <row r="70">
      <c r="A70" s="2">
        <f>IFERROR(__xludf.DUMMYFUNCTION("""COMPUTED_VALUE"""),95.0)</f>
        <v>95</v>
      </c>
      <c r="B70" s="2" t="str">
        <f>IFERROR(__xludf.DUMMYFUNCTION("""COMPUTED_VALUE"""),"Vilnius ‐ Lithuania")</f>
        <v>Vilnius ‐ Lithuania</v>
      </c>
      <c r="C70" s="2" t="str">
        <f>IFERROR(__xludf.DUMMYFUNCTION("""COMPUTED_VALUE"""),"M")</f>
        <v>M</v>
      </c>
      <c r="D70" s="2" t="str">
        <f>IFERROR(__xludf.DUMMYFUNCTION("""COMPUTED_VALUE"""),"49,43")</f>
        <v>49,43</v>
      </c>
    </row>
    <row r="71">
      <c r="A71" s="2">
        <f>IFERROR(__xludf.DUMMYFUNCTION("""COMPUTED_VALUE"""),35.0)</f>
        <v>35</v>
      </c>
      <c r="B71" s="2" t="str">
        <f>IFERROR(__xludf.DUMMYFUNCTION("""COMPUTED_VALUE"""),"Frankfurt ‐ Germany")</f>
        <v>Frankfurt ‐ Germany</v>
      </c>
      <c r="C71" s="2" t="str">
        <f>IFERROR(__xludf.DUMMYFUNCTION("""COMPUTED_VALUE"""),"RA")</f>
        <v>RA</v>
      </c>
      <c r="D71" s="2" t="str">
        <f>IFERROR(__xludf.DUMMYFUNCTION("""COMPUTED_VALUE"""),"62,43")</f>
        <v>62,43</v>
      </c>
    </row>
    <row r="72">
      <c r="A72" s="2">
        <f>IFERROR(__xludf.DUMMYFUNCTION("""COMPUTED_VALUE"""),96.0)</f>
        <v>96</v>
      </c>
      <c r="B72" s="2" t="str">
        <f>IFERROR(__xludf.DUMMYFUNCTION("""COMPUTED_VALUE"""),"Zaragoza ‐ Spain")</f>
        <v>Zaragoza ‐ Spain</v>
      </c>
      <c r="C72" s="2" t="str">
        <f>IFERROR(__xludf.DUMMYFUNCTION("""COMPUTED_VALUE"""),"M")</f>
        <v>M</v>
      </c>
      <c r="D72" s="2" t="str">
        <f>IFERROR(__xludf.DUMMYFUNCTION("""COMPUTED_VALUE"""),"49,42")</f>
        <v>49,42</v>
      </c>
    </row>
    <row r="73">
      <c r="A73" s="2">
        <f>IFERROR(__xludf.DUMMYFUNCTION("""COMPUTED_VALUE"""),36.0)</f>
        <v>36</v>
      </c>
      <c r="B73" s="2" t="str">
        <f>IFERROR(__xludf.DUMMYFUNCTION("""COMPUTED_VALUE"""),"Manchester ‐ United Kingdom")</f>
        <v>Manchester ‐ United Kingdom</v>
      </c>
      <c r="C73" s="2" t="str">
        <f>IFERROR(__xludf.DUMMYFUNCTION("""COMPUTED_VALUE"""),"RA")</f>
        <v>RA</v>
      </c>
      <c r="D73" s="2" t="str">
        <f>IFERROR(__xludf.DUMMYFUNCTION("""COMPUTED_VALUE"""),"61,35")</f>
        <v>61,35</v>
      </c>
    </row>
    <row r="74">
      <c r="A74" s="2">
        <f>IFERROR(__xludf.DUMMYFUNCTION("""COMPUTED_VALUE"""),97.0)</f>
        <v>97</v>
      </c>
      <c r="B74" s="2" t="str">
        <f>IFERROR(__xludf.DUMMYFUNCTION("""COMPUTED_VALUE"""),"Moscow ‐ Russia")</f>
        <v>Moscow ‐ Russia</v>
      </c>
      <c r="C74" s="2" t="str">
        <f>IFERROR(__xludf.DUMMYFUNCTION("""COMPUTED_VALUE"""),"M")</f>
        <v>M</v>
      </c>
      <c r="D74" s="2" t="str">
        <f>IFERROR(__xludf.DUMMYFUNCTION("""COMPUTED_VALUE"""),"49,14")</f>
        <v>49,14</v>
      </c>
    </row>
    <row r="75">
      <c r="A75" s="2">
        <f>IFERROR(__xludf.DUMMYFUNCTION("""COMPUTED_VALUE"""),37.0)</f>
        <v>37</v>
      </c>
      <c r="B75" s="2" t="str">
        <f>IFERROR(__xludf.DUMMYFUNCTION("""COMPUTED_VALUE"""),"Hong Kong ‐ China")</f>
        <v>Hong Kong ‐ China</v>
      </c>
      <c r="C75" s="2" t="str">
        <f>IFERROR(__xludf.DUMMYFUNCTION("""COMPUTED_VALUE"""),"RA")</f>
        <v>RA</v>
      </c>
      <c r="D75" s="2" t="str">
        <f>IFERROR(__xludf.DUMMYFUNCTION("""COMPUTED_VALUE"""),"61,30")</f>
        <v>61,30</v>
      </c>
    </row>
    <row r="76">
      <c r="A76" s="2">
        <f>IFERROR(__xludf.DUMMYFUNCTION("""COMPUTED_VALUE"""),98.0)</f>
        <v>98</v>
      </c>
      <c r="B76" s="2" t="str">
        <f>IFERROR(__xludf.DUMMYFUNCTION("""COMPUTED_VALUE"""),"Palma de Mallorca ‐ Spain")</f>
        <v>Palma de Mallorca ‐ Spain</v>
      </c>
      <c r="C76" s="2" t="str">
        <f>IFERROR(__xludf.DUMMYFUNCTION("""COMPUTED_VALUE"""),"M")</f>
        <v>M</v>
      </c>
      <c r="D76" s="2" t="str">
        <f>IFERROR(__xludf.DUMMYFUNCTION("""COMPUTED_VALUE"""),"48,59")</f>
        <v>48,59</v>
      </c>
    </row>
    <row r="77">
      <c r="A77" s="2">
        <f>IFERROR(__xludf.DUMMYFUNCTION("""COMPUTED_VALUE"""),38.0)</f>
        <v>38</v>
      </c>
      <c r="B77" s="2" t="str">
        <f>IFERROR(__xludf.DUMMYFUNCTION("""COMPUTED_VALUE"""),"Canberra ‐ Australia")</f>
        <v>Canberra ‐ Australia</v>
      </c>
      <c r="C77" s="2" t="str">
        <f>IFERROR(__xludf.DUMMYFUNCTION("""COMPUTED_VALUE"""),"RA")</f>
        <v>RA</v>
      </c>
      <c r="D77" s="2" t="str">
        <f>IFERROR(__xludf.DUMMYFUNCTION("""COMPUTED_VALUE"""),"61,12")</f>
        <v>61,12</v>
      </c>
    </row>
    <row r="78">
      <c r="A78" s="2">
        <f>IFERROR(__xludf.DUMMYFUNCTION("""COMPUTED_VALUE"""),99.0)</f>
        <v>99</v>
      </c>
      <c r="B78" s="2" t="str">
        <f>IFERROR(__xludf.DUMMYFUNCTION("""COMPUTED_VALUE"""),"Wroclaw ‐ Poland")</f>
        <v>Wroclaw ‐ Poland</v>
      </c>
      <c r="C78" s="2" t="str">
        <f>IFERROR(__xludf.DUMMYFUNCTION("""COMPUTED_VALUE"""),"M")</f>
        <v>M</v>
      </c>
      <c r="D78" s="2" t="str">
        <f>IFERROR(__xludf.DUMMYFUNCTION("""COMPUTED_VALUE"""),"48,57")</f>
        <v>48,57</v>
      </c>
    </row>
    <row r="79">
      <c r="A79" s="2">
        <f>IFERROR(__xludf.DUMMYFUNCTION("""COMPUTED_VALUE"""),39.0)</f>
        <v>39</v>
      </c>
      <c r="B79" s="2" t="str">
        <f>IFERROR(__xludf.DUMMYFUNCTION("""COMPUTED_VALUE"""),"Los Angeles ‐ USA")</f>
        <v>Los Angeles ‐ USA</v>
      </c>
      <c r="C79" s="2" t="str">
        <f>IFERROR(__xludf.DUMMYFUNCTION("""COMPUTED_VALUE"""),"RA")</f>
        <v>RA</v>
      </c>
      <c r="D79" s="2" t="str">
        <f>IFERROR(__xludf.DUMMYFUNCTION("""COMPUTED_VALUE"""),"61,08")</f>
        <v>61,08</v>
      </c>
    </row>
    <row r="80">
      <c r="A80" s="2">
        <f>IFERROR(__xludf.DUMMYFUNCTION("""COMPUTED_VALUE"""),100.0)</f>
        <v>100</v>
      </c>
      <c r="B80" s="2" t="str">
        <f>IFERROR(__xludf.DUMMYFUNCTION("""COMPUTED_VALUE"""),"Turin ‐ Italy")</f>
        <v>Turin ‐ Italy</v>
      </c>
      <c r="C80" s="2" t="str">
        <f>IFERROR(__xludf.DUMMYFUNCTION("""COMPUTED_VALUE"""),"M")</f>
        <v>M</v>
      </c>
      <c r="D80" s="2" t="str">
        <f>IFERROR(__xludf.DUMMYFUNCTION("""COMPUTED_VALUE"""),"48,49")</f>
        <v>48,49</v>
      </c>
    </row>
    <row r="81">
      <c r="A81" s="2">
        <f>IFERROR(__xludf.DUMMYFUNCTION("""COMPUTED_VALUE"""),40.0)</f>
        <v>40</v>
      </c>
      <c r="B81" s="2" t="str">
        <f>IFERROR(__xludf.DUMMYFUNCTION("""COMPUTED_VALUE"""),"Geneva ‐ Switzerland")</f>
        <v>Geneva ‐ Switzerland</v>
      </c>
      <c r="C81" s="2" t="str">
        <f>IFERROR(__xludf.DUMMYFUNCTION("""COMPUTED_VALUE"""),"RA")</f>
        <v>RA</v>
      </c>
      <c r="D81" s="2" t="str">
        <f>IFERROR(__xludf.DUMMYFUNCTION("""COMPUTED_VALUE"""),"61,03")</f>
        <v>61,03</v>
      </c>
    </row>
    <row r="82">
      <c r="A82" s="2">
        <f>IFERROR(__xludf.DUMMYFUNCTION("""COMPUTED_VALUE"""),101.0)</f>
        <v>101</v>
      </c>
      <c r="B82" s="2" t="str">
        <f>IFERROR(__xludf.DUMMYFUNCTION("""COMPUTED_VALUE"""),"Bratislava ‐ Slovakia")</f>
        <v>Bratislava ‐ Slovakia</v>
      </c>
      <c r="C82" s="2" t="str">
        <f>IFERROR(__xludf.DUMMYFUNCTION("""COMPUTED_VALUE"""),"M")</f>
        <v>M</v>
      </c>
      <c r="D82" s="2" t="str">
        <f>IFERROR(__xludf.DUMMYFUNCTION("""COMPUTED_VALUE"""),"48,01")</f>
        <v>48,01</v>
      </c>
    </row>
    <row r="83">
      <c r="A83" s="2">
        <f>IFERROR(__xludf.DUMMYFUNCTION("""COMPUTED_VALUE"""),41.0)</f>
        <v>41</v>
      </c>
      <c r="B83" s="2" t="str">
        <f>IFERROR(__xludf.DUMMYFUNCTION("""COMPUTED_VALUE"""),"Eindhoven ‐ Netherlands")</f>
        <v>Eindhoven ‐ Netherlands</v>
      </c>
      <c r="C83" s="2" t="str">
        <f>IFERROR(__xludf.DUMMYFUNCTION("""COMPUTED_VALUE"""),"RA")</f>
        <v>RA</v>
      </c>
      <c r="D83" s="2" t="str">
        <f>IFERROR(__xludf.DUMMYFUNCTION("""COMPUTED_VALUE"""),"60,72")</f>
        <v>60,72</v>
      </c>
    </row>
    <row r="84">
      <c r="A84" s="2">
        <f>IFERROR(__xludf.DUMMYFUNCTION("""COMPUTED_VALUE"""),102.0)</f>
        <v>102</v>
      </c>
      <c r="B84" s="2" t="str">
        <f>IFERROR(__xludf.DUMMYFUNCTION("""COMPUTED_VALUE"""),"Ljubljana ‐ Slovenia")</f>
        <v>Ljubljana ‐ Slovenia</v>
      </c>
      <c r="C84" s="2" t="str">
        <f>IFERROR(__xludf.DUMMYFUNCTION("""COMPUTED_VALUE"""),"M")</f>
        <v>M</v>
      </c>
      <c r="D84" s="2" t="str">
        <f>IFERROR(__xludf.DUMMYFUNCTION("""COMPUTED_VALUE"""),"47,91")</f>
        <v>47,91</v>
      </c>
    </row>
    <row r="85">
      <c r="A85" s="2">
        <f>IFERROR(__xludf.DUMMYFUNCTION("""COMPUTED_VALUE"""),42.0)</f>
        <v>42</v>
      </c>
      <c r="B85" s="2" t="str">
        <f>IFERROR(__xludf.DUMMYFUNCTION("""COMPUTED_VALUE"""),"Ottawa ‐ Canada")</f>
        <v>Ottawa ‐ Canada</v>
      </c>
      <c r="C85" s="2" t="str">
        <f>IFERROR(__xludf.DUMMYFUNCTION("""COMPUTED_VALUE"""),"RA")</f>
        <v>RA</v>
      </c>
      <c r="D85" s="2" t="str">
        <f>IFERROR(__xludf.DUMMYFUNCTION("""COMPUTED_VALUE"""),"60,37")</f>
        <v>60,37</v>
      </c>
    </row>
    <row r="86">
      <c r="A86" s="2">
        <f>IFERROR(__xludf.DUMMYFUNCTION("""COMPUTED_VALUE"""),103.0)</f>
        <v>103</v>
      </c>
      <c r="B86" s="2" t="str">
        <f>IFERROR(__xludf.DUMMYFUNCTION("""COMPUTED_VALUE"""),"Bilbao ‐ Spain")</f>
        <v>Bilbao ‐ Spain</v>
      </c>
      <c r="C86" s="2" t="str">
        <f>IFERROR(__xludf.DUMMYFUNCTION("""COMPUTED_VALUE"""),"M")</f>
        <v>M</v>
      </c>
      <c r="D86" s="2" t="str">
        <f>IFERROR(__xludf.DUMMYFUNCTION("""COMPUTED_VALUE"""),"47,66")</f>
        <v>47,66</v>
      </c>
    </row>
    <row r="87">
      <c r="A87" s="2">
        <f>IFERROR(__xludf.DUMMYFUNCTION("""COMPUTED_VALUE"""),43.0)</f>
        <v>43</v>
      </c>
      <c r="B87" s="2" t="str">
        <f>IFERROR(__xludf.DUMMYFUNCTION("""COMPUTED_VALUE"""),"Dallas ‐ USA")</f>
        <v>Dallas ‐ USA</v>
      </c>
      <c r="C87" s="2" t="str">
        <f>IFERROR(__xludf.DUMMYFUNCTION("""COMPUTED_VALUE"""),"RA")</f>
        <v>RA</v>
      </c>
      <c r="D87" s="2" t="str">
        <f>IFERROR(__xludf.DUMMYFUNCTION("""COMPUTED_VALUE"""),"60,36")</f>
        <v>60,36</v>
      </c>
    </row>
    <row r="88">
      <c r="A88" s="2">
        <f>IFERROR(__xludf.DUMMYFUNCTION("""COMPUTED_VALUE"""),104.0)</f>
        <v>104</v>
      </c>
      <c r="B88" s="2" t="str">
        <f>IFERROR(__xludf.DUMMYFUNCTION("""COMPUTED_VALUE"""),"A Coruña ‐ Spain")</f>
        <v>A Coruña ‐ Spain</v>
      </c>
      <c r="C88" s="2" t="str">
        <f>IFERROR(__xludf.DUMMYFUNCTION("""COMPUTED_VALUE"""),"M")</f>
        <v>M</v>
      </c>
      <c r="D88" s="2" t="str">
        <f>IFERROR(__xludf.DUMMYFUNCTION("""COMPUTED_VALUE"""),"47,41")</f>
        <v>47,41</v>
      </c>
    </row>
    <row r="89">
      <c r="A89" s="2">
        <f>IFERROR(__xludf.DUMMYFUNCTION("""COMPUTED_VALUE"""),44.0)</f>
        <v>44</v>
      </c>
      <c r="B89" s="2" t="str">
        <f>IFERROR(__xludf.DUMMYFUNCTION("""COMPUTED_VALUE"""),"Shanghai ‐ China")</f>
        <v>Shanghai ‐ China</v>
      </c>
      <c r="C89" s="2" t="str">
        <f>IFERROR(__xludf.DUMMYFUNCTION("""COMPUTED_VALUE"""),"RA")</f>
        <v>RA</v>
      </c>
      <c r="D89" s="2" t="str">
        <f>IFERROR(__xludf.DUMMYFUNCTION("""COMPUTED_VALUE"""),"60,18")</f>
        <v>60,18</v>
      </c>
    </row>
    <row r="90">
      <c r="A90" s="2">
        <f>IFERROR(__xludf.DUMMYFUNCTION("""COMPUTED_VALUE"""),105.0)</f>
        <v>105</v>
      </c>
      <c r="B90" s="2" t="str">
        <f>IFERROR(__xludf.DUMMYFUNCTION("""COMPUTED_VALUE"""),"Porto ‐ Portugal")</f>
        <v>Porto ‐ Portugal</v>
      </c>
      <c r="C90" s="2" t="str">
        <f>IFERROR(__xludf.DUMMYFUNCTION("""COMPUTED_VALUE"""),"M")</f>
        <v>M</v>
      </c>
      <c r="D90" s="2" t="str">
        <f>IFERROR(__xludf.DUMMYFUNCTION("""COMPUTED_VALUE"""),"46,85")</f>
        <v>46,85</v>
      </c>
    </row>
    <row r="91">
      <c r="A91" s="2">
        <f>IFERROR(__xludf.DUMMYFUNCTION("""COMPUTED_VALUE"""),45.0)</f>
        <v>45</v>
      </c>
      <c r="B91" s="2" t="str">
        <f>IFERROR(__xludf.DUMMYFUNCTION("""COMPUTED_VALUE"""),"Austin ‐ USA")</f>
        <v>Austin ‐ USA</v>
      </c>
      <c r="C91" s="2" t="str">
        <f>IFERROR(__xludf.DUMMYFUNCTION("""COMPUTED_VALUE"""),"M")</f>
        <v>M</v>
      </c>
      <c r="D91" s="2" t="str">
        <f>IFERROR(__xludf.DUMMYFUNCTION("""COMPUTED_VALUE"""),"59,99")</f>
        <v>59,99</v>
      </c>
    </row>
    <row r="92">
      <c r="A92" s="2">
        <f>IFERROR(__xludf.DUMMYFUNCTION("""COMPUTED_VALUE"""),106.0)</f>
        <v>106</v>
      </c>
      <c r="B92" s="2" t="str">
        <f>IFERROR(__xludf.DUMMYFUNCTION("""COMPUTED_VALUE"""),"Zagreb ‐ Croatia")</f>
        <v>Zagreb ‐ Croatia</v>
      </c>
      <c r="C92" s="2" t="str">
        <f>IFERROR(__xludf.DUMMYFUNCTION("""COMPUTED_VALUE"""),"M")</f>
        <v>M</v>
      </c>
      <c r="D92" s="2" t="str">
        <f>IFERROR(__xludf.DUMMYFUNCTION("""COMPUTED_VALUE"""),"46,82")</f>
        <v>46,82</v>
      </c>
    </row>
    <row r="93">
      <c r="A93" s="2">
        <f>IFERROR(__xludf.DUMMYFUNCTION("""COMPUTED_VALUE"""),46.0)</f>
        <v>46</v>
      </c>
      <c r="B93" s="2" t="str">
        <f>IFERROR(__xludf.DUMMYFUNCTION("""COMPUTED_VALUE"""),"Gothenburg ‐ Sweden")</f>
        <v>Gothenburg ‐ Sweden</v>
      </c>
      <c r="C93" s="2" t="str">
        <f>IFERROR(__xludf.DUMMYFUNCTION("""COMPUTED_VALUE"""),"M")</f>
        <v>M</v>
      </c>
      <c r="D93" s="2" t="str">
        <f>IFERROR(__xludf.DUMMYFUNCTION("""COMPUTED_VALUE"""),"59,95")</f>
        <v>59,95</v>
      </c>
    </row>
    <row r="94">
      <c r="A94" s="2">
        <f>IFERROR(__xludf.DUMMYFUNCTION("""COMPUTED_VALUE"""),107.0)</f>
        <v>107</v>
      </c>
      <c r="B94" s="2" t="str">
        <f>IFERROR(__xludf.DUMMYFUNCTION("""COMPUTED_VALUE"""),"Kuala Lumpur ‐ Malaysia")</f>
        <v>Kuala Lumpur ‐ Malaysia</v>
      </c>
      <c r="C94" s="2" t="str">
        <f>IFERROR(__xludf.DUMMYFUNCTION("""COMPUTED_VALUE"""),"M")</f>
        <v>M</v>
      </c>
      <c r="D94" s="2" t="str">
        <f>IFERROR(__xludf.DUMMYFUNCTION("""COMPUTED_VALUE"""),"46,81")</f>
        <v>46,81</v>
      </c>
    </row>
    <row r="95">
      <c r="A95" s="2">
        <f>IFERROR(__xludf.DUMMYFUNCTION("""COMPUTED_VALUE"""),47.0)</f>
        <v>47</v>
      </c>
      <c r="B95" s="2" t="str">
        <f>IFERROR(__xludf.DUMMYFUNCTION("""COMPUTED_VALUE"""),"San Diego ‐ USA")</f>
        <v>San Diego ‐ USA</v>
      </c>
      <c r="C95" s="2" t="str">
        <f>IFERROR(__xludf.DUMMYFUNCTION("""COMPUTED_VALUE"""),"M")</f>
        <v>M</v>
      </c>
      <c r="D95" s="2" t="str">
        <f>IFERROR(__xludf.DUMMYFUNCTION("""COMPUTED_VALUE"""),"59,83")</f>
        <v>59,83</v>
      </c>
    </row>
    <row r="96">
      <c r="A96" s="2">
        <f>IFERROR(__xludf.DUMMYFUNCTION("""COMPUTED_VALUE"""),108.0)</f>
        <v>108</v>
      </c>
      <c r="B96" s="2" t="str">
        <f>IFERROR(__xludf.DUMMYFUNCTION("""COMPUTED_VALUE"""),"Shenzhen ‐ China")</f>
        <v>Shenzhen ‐ China</v>
      </c>
      <c r="C96" s="2" t="str">
        <f>IFERROR(__xludf.DUMMYFUNCTION("""COMPUTED_VALUE"""),"M")</f>
        <v>M</v>
      </c>
      <c r="D96" s="2" t="str">
        <f>IFERROR(__xludf.DUMMYFUNCTION("""COMPUTED_VALUE"""),"45,92")</f>
        <v>45,92</v>
      </c>
    </row>
    <row r="97">
      <c r="A97" s="2">
        <f>IFERROR(__xludf.DUMMYFUNCTION("""COMPUTED_VALUE"""),48.0)</f>
        <v>48</v>
      </c>
      <c r="B97" s="2" t="str">
        <f>IFERROR(__xludf.DUMMYFUNCTION("""COMPUTED_VALUE"""),"Houston ‐ USA")</f>
        <v>Houston ‐ USA</v>
      </c>
      <c r="C97" s="2" t="str">
        <f>IFERROR(__xludf.DUMMYFUNCTION("""COMPUTED_VALUE"""),"M")</f>
        <v>M</v>
      </c>
      <c r="D97" s="2" t="str">
        <f>IFERROR(__xludf.DUMMYFUNCTION("""COMPUTED_VALUE"""),"59,73")</f>
        <v>59,73</v>
      </c>
    </row>
    <row r="98">
      <c r="A98" s="2">
        <f>IFERROR(__xludf.DUMMYFUNCTION("""COMPUTED_VALUE"""),109.0)</f>
        <v>109</v>
      </c>
      <c r="B98" s="2" t="str">
        <f>IFERROR(__xludf.DUMMYFUNCTION("""COMPUTED_VALUE"""),"Florence ‐ Italy")</f>
        <v>Florence ‐ Italy</v>
      </c>
      <c r="C98" s="2" t="str">
        <f>IFERROR(__xludf.DUMMYFUNCTION("""COMPUTED_VALUE"""),"M")</f>
        <v>M</v>
      </c>
      <c r="D98" s="2" t="str">
        <f>IFERROR(__xludf.DUMMYFUNCTION("""COMPUTED_VALUE"""),"45,72")</f>
        <v>45,72</v>
      </c>
    </row>
    <row r="99">
      <c r="A99" s="2">
        <f>IFERROR(__xludf.DUMMYFUNCTION("""COMPUTED_VALUE"""),49.0)</f>
        <v>49</v>
      </c>
      <c r="B99" s="2" t="str">
        <f>IFERROR(__xludf.DUMMYFUNCTION("""COMPUTED_VALUE"""),"Miami ‐ USA")</f>
        <v>Miami ‐ USA</v>
      </c>
      <c r="C99" s="2" t="str">
        <f>IFERROR(__xludf.DUMMYFUNCTION("""COMPUTED_VALUE"""),"M")</f>
        <v>M</v>
      </c>
      <c r="D99" s="2" t="str">
        <f>IFERROR(__xludf.DUMMYFUNCTION("""COMPUTED_VALUE"""),"59,46")</f>
        <v>59,46</v>
      </c>
    </row>
    <row r="100">
      <c r="A100" s="2">
        <f>IFERROR(__xludf.DUMMYFUNCTION("""COMPUTED_VALUE"""),110.0)</f>
        <v>110</v>
      </c>
      <c r="B100" s="2" t="str">
        <f>IFERROR(__xludf.DUMMYFUNCTION("""COMPUTED_VALUE"""),"Murcia ‐ Spain")</f>
        <v>Murcia ‐ Spain</v>
      </c>
      <c r="C100" s="2" t="str">
        <f>IFERROR(__xludf.DUMMYFUNCTION("""COMPUTED_VALUE"""),"M")</f>
        <v>M</v>
      </c>
      <c r="D100" s="2" t="str">
        <f>IFERROR(__xludf.DUMMYFUNCTION("""COMPUTED_VALUE"""),"45,27")</f>
        <v>45,27</v>
      </c>
    </row>
    <row r="101">
      <c r="A101" s="2">
        <f>IFERROR(__xludf.DUMMYFUNCTION("""COMPUTED_VALUE"""),50.0)</f>
        <v>50</v>
      </c>
      <c r="B101" s="2" t="str">
        <f>IFERROR(__xludf.DUMMYFUNCTION("""COMPUTED_VALUE"""),"Prague ‐ Czech Republic")</f>
        <v>Prague ‐ Czech Republic</v>
      </c>
      <c r="C101" s="2" t="str">
        <f>IFERROR(__xludf.DUMMYFUNCTION("""COMPUTED_VALUE"""),"M")</f>
        <v>M</v>
      </c>
      <c r="D101" s="2" t="str">
        <f>IFERROR(__xludf.DUMMYFUNCTION("""COMPUTED_VALUE"""),"59,23")</f>
        <v>59,23</v>
      </c>
    </row>
    <row r="102">
      <c r="A102" s="2">
        <f>IFERROR(__xludf.DUMMYFUNCTION("""COMPUTED_VALUE"""),111.0)</f>
        <v>111</v>
      </c>
      <c r="B102" s="2" t="str">
        <f>IFERROR(__xludf.DUMMYFUNCTION("""COMPUTED_VALUE"""),"Athens ‐ Greece")</f>
        <v>Athens ‐ Greece</v>
      </c>
      <c r="C102" s="2" t="str">
        <f>IFERROR(__xludf.DUMMYFUNCTION("""COMPUTED_VALUE"""),"M")</f>
        <v>M</v>
      </c>
      <c r="D102" s="2" t="str">
        <f>IFERROR(__xludf.DUMMYFUNCTION("""COMPUTED_VALUE"""),"45,06")</f>
        <v>45,06</v>
      </c>
    </row>
    <row r="103">
      <c r="A103" s="2">
        <f>IFERROR(__xludf.DUMMYFUNCTION("""COMPUTED_VALUE"""),51.0)</f>
        <v>51</v>
      </c>
      <c r="B103" s="2" t="str">
        <f>IFERROR(__xludf.DUMMYFUNCTION("""COMPUTED_VALUE"""),"Denver ‐ USA")</f>
        <v>Denver ‐ USA</v>
      </c>
      <c r="C103" s="2" t="str">
        <f>IFERROR(__xludf.DUMMYFUNCTION("""COMPUTED_VALUE"""),"M")</f>
        <v>M</v>
      </c>
      <c r="D103" s="2" t="str">
        <f>IFERROR(__xludf.DUMMYFUNCTION("""COMPUTED_VALUE"""),"59,16")</f>
        <v>59,16</v>
      </c>
    </row>
    <row r="104">
      <c r="A104" s="2">
        <f>IFERROR(__xludf.DUMMYFUNCTION("""COMPUTED_VALUE"""),112.0)</f>
        <v>112</v>
      </c>
      <c r="B104" s="2" t="str">
        <f>IFERROR(__xludf.DUMMYFUNCTION("""COMPUTED_VALUE"""),"Jerusalem ‐ Israel")</f>
        <v>Jerusalem ‐ Israel</v>
      </c>
      <c r="C104" s="2" t="str">
        <f>IFERROR(__xludf.DUMMYFUNCTION("""COMPUTED_VALUE"""),"B")</f>
        <v>B</v>
      </c>
      <c r="D104" s="2" t="str">
        <f>IFERROR(__xludf.DUMMYFUNCTION("""COMPUTED_VALUE"""),"44,90")</f>
        <v>44,90</v>
      </c>
    </row>
    <row r="105">
      <c r="A105" s="2">
        <f>IFERROR(__xludf.DUMMYFUNCTION("""COMPUTED_VALUE"""),52.0)</f>
        <v>52</v>
      </c>
      <c r="B105" s="2" t="str">
        <f>IFERROR(__xludf.DUMMYFUNCTION("""COMPUTED_VALUE"""),"Cologne ‐ Germany")</f>
        <v>Cologne ‐ Germany</v>
      </c>
      <c r="C105" s="2" t="str">
        <f>IFERROR(__xludf.DUMMYFUNCTION("""COMPUTED_VALUE"""),"M")</f>
        <v>M</v>
      </c>
      <c r="D105" s="2" t="str">
        <f>IFERROR(__xludf.DUMMYFUNCTION("""COMPUTED_VALUE"""),"59,15")</f>
        <v>59,15</v>
      </c>
    </row>
    <row r="106">
      <c r="A106" s="2">
        <f>IFERROR(__xludf.DUMMYFUNCTION("""COMPUTED_VALUE"""),113.0)</f>
        <v>113</v>
      </c>
      <c r="B106" s="2" t="str">
        <f>IFERROR(__xludf.DUMMYFUNCTION("""COMPUTED_VALUE"""),"Sofia ‐ Bulgaria")</f>
        <v>Sofia ‐ Bulgaria</v>
      </c>
      <c r="C106" s="2" t="str">
        <f>IFERROR(__xludf.DUMMYFUNCTION("""COMPUTED_VALUE"""),"B")</f>
        <v>B</v>
      </c>
      <c r="D106" s="2" t="str">
        <f>IFERROR(__xludf.DUMMYFUNCTION("""COMPUTED_VALUE"""),"44,70")</f>
        <v>44,70</v>
      </c>
    </row>
    <row r="107">
      <c r="A107" s="2">
        <f>IFERROR(__xludf.DUMMYFUNCTION("""COMPUTED_VALUE"""),53.0)</f>
        <v>53</v>
      </c>
      <c r="B107" s="2" t="str">
        <f>IFERROR(__xludf.DUMMYFUNCTION("""COMPUTED_VALUE"""),"Montreal ‐ Canada")</f>
        <v>Montreal ‐ Canada</v>
      </c>
      <c r="C107" s="2" t="str">
        <f>IFERROR(__xludf.DUMMYFUNCTION("""COMPUTED_VALUE"""),"M")</f>
        <v>M</v>
      </c>
      <c r="D107" s="2" t="str">
        <f>IFERROR(__xludf.DUMMYFUNCTION("""COMPUTED_VALUE"""),"59,10")</f>
        <v>59,10</v>
      </c>
    </row>
    <row r="108">
      <c r="A108" s="2">
        <f>IFERROR(__xludf.DUMMYFUNCTION("""COMPUTED_VALUE"""),114.0)</f>
        <v>114</v>
      </c>
      <c r="B108" s="2" t="str">
        <f>IFERROR(__xludf.DUMMYFUNCTION("""COMPUTED_VALUE"""),"Bucharest ‐ Romania")</f>
        <v>Bucharest ‐ Romania</v>
      </c>
      <c r="C108" s="2" t="str">
        <f>IFERROR(__xludf.DUMMYFUNCTION("""COMPUTED_VALUE"""),"B")</f>
        <v>B</v>
      </c>
      <c r="D108" s="2" t="str">
        <f>IFERROR(__xludf.DUMMYFUNCTION("""COMPUTED_VALUE"""),"44,38")</f>
        <v>44,38</v>
      </c>
    </row>
    <row r="109">
      <c r="A109" s="2">
        <f>IFERROR(__xludf.DUMMYFUNCTION("""COMPUTED_VALUE"""),54.0)</f>
        <v>54</v>
      </c>
      <c r="B109" s="2" t="str">
        <f>IFERROR(__xludf.DUMMYFUNCTION("""COMPUTED_VALUE"""),"Wellington ‐ New Zealand")</f>
        <v>Wellington ‐ New Zealand</v>
      </c>
      <c r="C109" s="2" t="str">
        <f>IFERROR(__xludf.DUMMYFUNCTION("""COMPUTED_VALUE"""),"M")</f>
        <v>M</v>
      </c>
      <c r="D109" s="2" t="str">
        <f>IFERROR(__xludf.DUMMYFUNCTION("""COMPUTED_VALUE"""),"59,06")</f>
        <v>59,06</v>
      </c>
    </row>
    <row r="110">
      <c r="A110" s="2">
        <f>IFERROR(__xludf.DUMMYFUNCTION("""COMPUTED_VALUE"""),115.0)</f>
        <v>115</v>
      </c>
      <c r="B110" s="2" t="str">
        <f>IFERROR(__xludf.DUMMYFUNCTION("""COMPUTED_VALUE"""),"Buenos Aires ‐ Argentina")</f>
        <v>Buenos Aires ‐ Argentina</v>
      </c>
      <c r="C110" s="2" t="str">
        <f>IFERROR(__xludf.DUMMYFUNCTION("""COMPUTED_VALUE"""),"B")</f>
        <v>B</v>
      </c>
      <c r="D110" s="2" t="str">
        <f>IFERROR(__xludf.DUMMYFUNCTION("""COMPUTED_VALUE"""),"43,67")</f>
        <v>43,67</v>
      </c>
    </row>
    <row r="111">
      <c r="A111" s="2">
        <f>IFERROR(__xludf.DUMMYFUNCTION("""COMPUTED_VALUE"""),55.0)</f>
        <v>55</v>
      </c>
      <c r="B111" s="2" t="str">
        <f>IFERROR(__xludf.DUMMYFUNCTION("""COMPUTED_VALUE"""),"Lyon ‐ France")</f>
        <v>Lyon ‐ France</v>
      </c>
      <c r="C111" s="2" t="str">
        <f>IFERROR(__xludf.DUMMYFUNCTION("""COMPUTED_VALUE"""),"M")</f>
        <v>M</v>
      </c>
      <c r="D111" s="2" t="str">
        <f>IFERROR(__xludf.DUMMYFUNCTION("""COMPUTED_VALUE"""),"59,00")</f>
        <v>59,00</v>
      </c>
    </row>
    <row r="112">
      <c r="A112" s="2">
        <f>IFERROR(__xludf.DUMMYFUNCTION("""COMPUTED_VALUE"""),116.0)</f>
        <v>116</v>
      </c>
      <c r="B112" s="2" t="str">
        <f>IFERROR(__xludf.DUMMYFUNCTION("""COMPUTED_VALUE"""),"Abu Dhabi ‐ United Arab Emirates")</f>
        <v>Abu Dhabi ‐ United Arab Emirates</v>
      </c>
      <c r="C112" s="2" t="str">
        <f>IFERROR(__xludf.DUMMYFUNCTION("""COMPUTED_VALUE"""),"B")</f>
        <v>B</v>
      </c>
      <c r="D112" s="2" t="str">
        <f>IFERROR(__xludf.DUMMYFUNCTION("""COMPUTED_VALUE"""),"43,64")</f>
        <v>43,64</v>
      </c>
    </row>
    <row r="113">
      <c r="A113" s="2">
        <f>IFERROR(__xludf.DUMMYFUNCTION("""COMPUTED_VALUE"""),56.0)</f>
        <v>56</v>
      </c>
      <c r="B113" s="2" t="str">
        <f>IFERROR(__xludf.DUMMYFUNCTION("""COMPUTED_VALUE"""),"Vancouver ‐ Canada")</f>
        <v>Vancouver ‐ Canada</v>
      </c>
      <c r="C113" s="2" t="str">
        <f>IFERROR(__xludf.DUMMYFUNCTION("""COMPUTED_VALUE"""),"M")</f>
        <v>M</v>
      </c>
      <c r="D113" s="2" t="str">
        <f>IFERROR(__xludf.DUMMYFUNCTION("""COMPUTED_VALUE"""),"58,80")</f>
        <v>58,80</v>
      </c>
    </row>
    <row r="114">
      <c r="A114" s="2">
        <f>IFERROR(__xludf.DUMMYFUNCTION("""COMPUTED_VALUE"""),117.0)</f>
        <v>117</v>
      </c>
      <c r="B114" s="2" t="str">
        <f>IFERROR(__xludf.DUMMYFUNCTION("""COMPUTED_VALUE"""),"Guangzhou ‐ China")</f>
        <v>Guangzhou ‐ China</v>
      </c>
      <c r="C114" s="2" t="str">
        <f>IFERROR(__xludf.DUMMYFUNCTION("""COMPUTED_VALUE"""),"B")</f>
        <v>B</v>
      </c>
      <c r="D114" s="2" t="str">
        <f>IFERROR(__xludf.DUMMYFUNCTION("""COMPUTED_VALUE"""),"43,50")</f>
        <v>43,50</v>
      </c>
    </row>
    <row r="115">
      <c r="A115" s="2">
        <f>IFERROR(__xludf.DUMMYFUNCTION("""COMPUTED_VALUE"""),57.0)</f>
        <v>57</v>
      </c>
      <c r="B115" s="2" t="str">
        <f>IFERROR(__xludf.DUMMYFUNCTION("""COMPUTED_VALUE"""),"Düsseldorf ‐ Germany")</f>
        <v>Düsseldorf ‐ Germany</v>
      </c>
      <c r="C115" s="2" t="str">
        <f>IFERROR(__xludf.DUMMYFUNCTION("""COMPUTED_VALUE"""),"M")</f>
        <v>M</v>
      </c>
      <c r="D115" s="2" t="str">
        <f>IFERROR(__xludf.DUMMYFUNCTION("""COMPUTED_VALUE"""),"58,74")</f>
        <v>58,74</v>
      </c>
    </row>
    <row r="116">
      <c r="A116" s="2">
        <f>IFERROR(__xludf.DUMMYFUNCTION("""COMPUTED_VALUE"""),118.0)</f>
        <v>118</v>
      </c>
      <c r="B116" s="2" t="str">
        <f>IFERROR(__xludf.DUMMYFUNCTION("""COMPUTED_VALUE"""),"Kyiv ‐ Ukraine")</f>
        <v>Kyiv ‐ Ukraine</v>
      </c>
      <c r="C116" s="2" t="str">
        <f>IFERROR(__xludf.DUMMYFUNCTION("""COMPUTED_VALUE"""),"B")</f>
        <v>B</v>
      </c>
      <c r="D116" s="2" t="str">
        <f>IFERROR(__xludf.DUMMYFUNCTION("""COMPUTED_VALUE"""),"42,09")</f>
        <v>42,09</v>
      </c>
    </row>
    <row r="117">
      <c r="A117" s="2">
        <f>IFERROR(__xludf.DUMMYFUNCTION("""COMPUTED_VALUE"""),58.0)</f>
        <v>58</v>
      </c>
      <c r="B117" s="2" t="str">
        <f>IFERROR(__xludf.DUMMYFUNCTION("""COMPUTED_VALUE"""),"Stuttgart ‐ Germany")</f>
        <v>Stuttgart ‐ Germany</v>
      </c>
      <c r="C117" s="2" t="str">
        <f>IFERROR(__xludf.DUMMYFUNCTION("""COMPUTED_VALUE"""),"M")</f>
        <v>M</v>
      </c>
      <c r="D117" s="2" t="str">
        <f>IFERROR(__xludf.DUMMYFUNCTION("""COMPUTED_VALUE"""),"58,70")</f>
        <v>58,70</v>
      </c>
    </row>
    <row r="118">
      <c r="A118" s="2">
        <f>IFERROR(__xludf.DUMMYFUNCTION("""COMPUTED_VALUE"""),119.0)</f>
        <v>119</v>
      </c>
      <c r="B118" s="2" t="str">
        <f>IFERROR(__xludf.DUMMYFUNCTION("""COMPUTED_VALUE"""),"Montevideo ‐ Uruguay")</f>
        <v>Montevideo ‐ Uruguay</v>
      </c>
      <c r="C118" s="2" t="str">
        <f>IFERROR(__xludf.DUMMYFUNCTION("""COMPUTED_VALUE"""),"B")</f>
        <v>B</v>
      </c>
      <c r="D118" s="2" t="str">
        <f>IFERROR(__xludf.DUMMYFUNCTION("""COMPUTED_VALUE"""),"40,78")</f>
        <v>40,78</v>
      </c>
    </row>
    <row r="119">
      <c r="A119" s="2">
        <f>IFERROR(__xludf.DUMMYFUNCTION("""COMPUTED_VALUE"""),59.0)</f>
        <v>59</v>
      </c>
      <c r="B119" s="2" t="str">
        <f>IFERROR(__xludf.DUMMYFUNCTION("""COMPUTED_VALUE"""),"Birmingham ‐ United Kingdom")</f>
        <v>Birmingham ‐ United Kingdom</v>
      </c>
      <c r="C119" s="2" t="str">
        <f>IFERROR(__xludf.DUMMYFUNCTION("""COMPUTED_VALUE"""),"M")</f>
        <v>M</v>
      </c>
      <c r="D119" s="2" t="str">
        <f>IFERROR(__xludf.DUMMYFUNCTION("""COMPUTED_VALUE"""),"58,13")</f>
        <v>58,13</v>
      </c>
    </row>
    <row r="120">
      <c r="A120" s="2">
        <f>IFERROR(__xludf.DUMMYFUNCTION("""COMPUTED_VALUE"""),120.0)</f>
        <v>120</v>
      </c>
      <c r="B120" s="2" t="str">
        <f>IFERROR(__xludf.DUMMYFUNCTION("""COMPUTED_VALUE"""),"Mexico City ‐ Mexico")</f>
        <v>Mexico City ‐ Mexico</v>
      </c>
      <c r="C120" s="2" t="str">
        <f>IFERROR(__xludf.DUMMYFUNCTION("""COMPUTED_VALUE"""),"B")</f>
        <v>B</v>
      </c>
      <c r="D120" s="2" t="str">
        <f>IFERROR(__xludf.DUMMYFUNCTION("""COMPUTED_VALUE"""),"40,72")</f>
        <v>40,72</v>
      </c>
    </row>
    <row r="121">
      <c r="A121" s="2">
        <f>IFERROR(__xludf.DUMMYFUNCTION("""COMPUTED_VALUE"""),60.0)</f>
        <v>60</v>
      </c>
      <c r="B121" s="2" t="str">
        <f>IFERROR(__xludf.DUMMYFUNCTION("""COMPUTED_VALUE"""),"Auckland ‐ New Zealand")</f>
        <v>Auckland ‐ New Zealand</v>
      </c>
      <c r="C121" s="2" t="str">
        <f>IFERROR(__xludf.DUMMYFUNCTION("""COMPUTED_VALUE"""),"M")</f>
        <v>M</v>
      </c>
      <c r="D121" s="2" t="str">
        <f>IFERROR(__xludf.DUMMYFUNCTION("""COMPUTED_VALUE"""),"57,93")</f>
        <v>57,93</v>
      </c>
    </row>
    <row r="122">
      <c r="A122" s="2">
        <f>IFERROR(__xludf.DUMMYFUNCTION("""COMPUTED_VALUE"""),121.0)</f>
        <v>121</v>
      </c>
      <c r="B122" s="2" t="str">
        <f>IFERROR(__xludf.DUMMYFUNCTION("""COMPUTED_VALUE"""),"Doha ‐ Qatar")</f>
        <v>Doha ‐ Qatar</v>
      </c>
      <c r="C122" s="2" t="str">
        <f>IFERROR(__xludf.DUMMYFUNCTION("""COMPUTED_VALUE"""),"B")</f>
        <v>B</v>
      </c>
      <c r="D122" s="2" t="str">
        <f>IFERROR(__xludf.DUMMYFUNCTION("""COMPUTED_VALUE"""),"40,20")</f>
        <v>40,20</v>
      </c>
    </row>
    <row r="123">
      <c r="A123" s="2">
        <f>IFERROR(__xludf.DUMMYFUNCTION("""COMPUTED_VALUE"""),61.0)</f>
        <v>61</v>
      </c>
      <c r="B123" s="2" t="str">
        <f>IFERROR(__xludf.DUMMYFUNCTION("""COMPUTED_VALUE"""),"Philadelphia ‐ USA")</f>
        <v>Philadelphia ‐ USA</v>
      </c>
      <c r="C123" s="2" t="str">
        <f>IFERROR(__xludf.DUMMYFUNCTION("""COMPUTED_VALUE"""),"M")</f>
        <v>M</v>
      </c>
      <c r="D123" s="2" t="str">
        <f>IFERROR(__xludf.DUMMYFUNCTION("""COMPUTED_VALUE"""),"57,81")</f>
        <v>57,81</v>
      </c>
    </row>
    <row r="124">
      <c r="A124" s="2">
        <f>IFERROR(__xludf.DUMMYFUNCTION("""COMPUTED_VALUE"""),122.0)</f>
        <v>122</v>
      </c>
      <c r="B124" s="2" t="str">
        <f>IFERROR(__xludf.DUMMYFUNCTION("""COMPUTED_VALUE"""),"Bangkok ‐ Thailand")</f>
        <v>Bangkok ‐ Thailand</v>
      </c>
      <c r="C124" s="2" t="str">
        <f>IFERROR(__xludf.DUMMYFUNCTION("""COMPUTED_VALUE"""),"B")</f>
        <v>B</v>
      </c>
      <c r="D124" s="2" t="str">
        <f>IFERROR(__xludf.DUMMYFUNCTION("""COMPUTED_VALUE"""),"40,02")</f>
        <v>40,02</v>
      </c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639</v>
      </c>
    </row>
    <row r="2">
      <c r="A2" s="1" t="s">
        <v>569</v>
      </c>
    </row>
    <row r="3">
      <c r="A3" s="1" t="s">
        <v>640</v>
      </c>
    </row>
    <row r="4">
      <c r="A4" s="1" t="s">
        <v>915</v>
      </c>
    </row>
    <row r="5">
      <c r="A5" s="1" t="s">
        <v>639</v>
      </c>
    </row>
    <row r="6">
      <c r="A6" s="1" t="s">
        <v>569</v>
      </c>
    </row>
    <row r="7">
      <c r="A7" s="1" t="s">
        <v>640</v>
      </c>
    </row>
    <row r="8">
      <c r="A8" s="1" t="s">
        <v>915</v>
      </c>
    </row>
    <row r="9">
      <c r="A9" s="1">
        <v>1.0</v>
      </c>
    </row>
    <row r="10">
      <c r="A10" s="1" t="s">
        <v>916</v>
      </c>
    </row>
    <row r="11">
      <c r="A11" s="1" t="s">
        <v>643</v>
      </c>
    </row>
    <row r="12">
      <c r="A12" s="1" t="s">
        <v>644</v>
      </c>
    </row>
    <row r="13">
      <c r="A13" s="1">
        <v>62.0</v>
      </c>
    </row>
    <row r="14">
      <c r="A14" s="1" t="s">
        <v>917</v>
      </c>
    </row>
    <row r="15">
      <c r="A15" s="1" t="s">
        <v>646</v>
      </c>
    </row>
    <row r="16">
      <c r="A16" s="1" t="s">
        <v>918</v>
      </c>
    </row>
    <row r="17">
      <c r="A17" s="1">
        <v>2.0</v>
      </c>
    </row>
    <row r="18">
      <c r="A18" s="1" t="s">
        <v>919</v>
      </c>
    </row>
    <row r="19">
      <c r="A19" s="1" t="s">
        <v>643</v>
      </c>
    </row>
    <row r="20">
      <c r="A20" s="1" t="s">
        <v>920</v>
      </c>
    </row>
    <row r="21">
      <c r="A21" s="1">
        <v>63.0</v>
      </c>
    </row>
    <row r="22">
      <c r="A22" s="1" t="s">
        <v>921</v>
      </c>
    </row>
    <row r="23">
      <c r="A23" s="1" t="s">
        <v>646</v>
      </c>
    </row>
    <row r="24">
      <c r="A24" s="1" t="s">
        <v>922</v>
      </c>
    </row>
    <row r="25">
      <c r="A25" s="1">
        <v>3.0</v>
      </c>
    </row>
    <row r="26">
      <c r="A26" s="1" t="s">
        <v>923</v>
      </c>
    </row>
    <row r="27">
      <c r="A27" s="1" t="s">
        <v>649</v>
      </c>
    </row>
    <row r="28">
      <c r="A28" s="1" t="s">
        <v>924</v>
      </c>
    </row>
    <row r="29">
      <c r="A29" s="1">
        <v>64.0</v>
      </c>
    </row>
    <row r="30">
      <c r="A30" s="1" t="s">
        <v>925</v>
      </c>
    </row>
    <row r="31">
      <c r="A31" s="1" t="s">
        <v>646</v>
      </c>
    </row>
    <row r="32">
      <c r="A32" s="1" t="s">
        <v>926</v>
      </c>
    </row>
    <row r="33">
      <c r="A33" s="1">
        <v>4.0</v>
      </c>
    </row>
    <row r="34">
      <c r="A34" s="1" t="s">
        <v>927</v>
      </c>
    </row>
    <row r="35">
      <c r="A35" s="1" t="s">
        <v>649</v>
      </c>
    </row>
    <row r="36">
      <c r="A36" s="1" t="s">
        <v>928</v>
      </c>
    </row>
    <row r="37">
      <c r="A37" s="1">
        <v>65.0</v>
      </c>
    </row>
    <row r="38">
      <c r="A38" s="1" t="s">
        <v>929</v>
      </c>
    </row>
    <row r="39">
      <c r="A39" s="1" t="s">
        <v>646</v>
      </c>
    </row>
    <row r="40">
      <c r="A40" s="1" t="s">
        <v>930</v>
      </c>
    </row>
    <row r="41">
      <c r="A41" s="1">
        <v>5.0</v>
      </c>
    </row>
    <row r="42">
      <c r="A42" s="1" t="s">
        <v>931</v>
      </c>
    </row>
    <row r="43">
      <c r="A43" s="1" t="s">
        <v>649</v>
      </c>
    </row>
    <row r="44">
      <c r="A44" s="1" t="s">
        <v>932</v>
      </c>
    </row>
    <row r="45">
      <c r="A45" s="1">
        <v>66.0</v>
      </c>
    </row>
    <row r="46">
      <c r="A46" s="1" t="s">
        <v>933</v>
      </c>
    </row>
    <row r="47">
      <c r="A47" s="1" t="s">
        <v>646</v>
      </c>
    </row>
    <row r="48">
      <c r="A48" s="1" t="s">
        <v>934</v>
      </c>
    </row>
    <row r="49">
      <c r="A49" s="1">
        <v>6.0</v>
      </c>
    </row>
    <row r="50">
      <c r="A50" s="1" t="s">
        <v>935</v>
      </c>
    </row>
    <row r="51">
      <c r="A51" s="1" t="s">
        <v>649</v>
      </c>
    </row>
    <row r="52">
      <c r="A52" s="1" t="s">
        <v>936</v>
      </c>
    </row>
    <row r="53">
      <c r="A53" s="1">
        <v>67.0</v>
      </c>
    </row>
    <row r="54">
      <c r="A54" s="1" t="s">
        <v>937</v>
      </c>
    </row>
    <row r="55">
      <c r="A55" s="1" t="s">
        <v>646</v>
      </c>
    </row>
    <row r="56">
      <c r="A56" s="1" t="s">
        <v>938</v>
      </c>
    </row>
    <row r="57">
      <c r="A57" s="1">
        <v>7.0</v>
      </c>
    </row>
    <row r="58">
      <c r="A58" s="1" t="s">
        <v>939</v>
      </c>
    </row>
    <row r="59">
      <c r="A59" s="1" t="s">
        <v>649</v>
      </c>
    </row>
    <row r="60">
      <c r="A60" s="1" t="s">
        <v>940</v>
      </c>
    </row>
    <row r="61">
      <c r="A61" s="1">
        <v>68.0</v>
      </c>
    </row>
    <row r="62">
      <c r="A62" s="1" t="s">
        <v>941</v>
      </c>
    </row>
    <row r="63">
      <c r="A63" s="1" t="s">
        <v>646</v>
      </c>
    </row>
    <row r="64">
      <c r="A64" s="1" t="s">
        <v>942</v>
      </c>
    </row>
    <row r="65">
      <c r="A65" s="1">
        <v>8.0</v>
      </c>
    </row>
    <row r="66">
      <c r="A66" s="1" t="s">
        <v>943</v>
      </c>
    </row>
    <row r="67">
      <c r="A67" s="1" t="s">
        <v>649</v>
      </c>
    </row>
    <row r="68">
      <c r="A68" s="1" t="s">
        <v>944</v>
      </c>
    </row>
    <row r="69">
      <c r="A69" s="1">
        <v>69.0</v>
      </c>
    </row>
    <row r="70">
      <c r="A70" s="1" t="s">
        <v>945</v>
      </c>
    </row>
    <row r="71">
      <c r="A71" s="1" t="s">
        <v>646</v>
      </c>
    </row>
    <row r="72">
      <c r="A72" s="1" t="s">
        <v>946</v>
      </c>
    </row>
    <row r="73">
      <c r="A73" s="1">
        <v>9.0</v>
      </c>
    </row>
    <row r="74">
      <c r="A74" s="1" t="s">
        <v>947</v>
      </c>
    </row>
    <row r="75">
      <c r="A75" s="1" t="s">
        <v>649</v>
      </c>
    </row>
    <row r="76">
      <c r="A76" s="1" t="s">
        <v>948</v>
      </c>
    </row>
    <row r="77">
      <c r="A77" s="1">
        <v>70.0</v>
      </c>
    </row>
    <row r="78">
      <c r="A78" s="1" t="s">
        <v>949</v>
      </c>
    </row>
    <row r="79">
      <c r="A79" s="1" t="s">
        <v>646</v>
      </c>
    </row>
    <row r="80">
      <c r="A80" s="1" t="s">
        <v>950</v>
      </c>
    </row>
    <row r="81">
      <c r="A81" s="1">
        <v>10.0</v>
      </c>
    </row>
    <row r="82">
      <c r="A82" s="1" t="s">
        <v>951</v>
      </c>
    </row>
    <row r="83">
      <c r="A83" s="1" t="s">
        <v>649</v>
      </c>
    </row>
    <row r="84">
      <c r="A84" s="1" t="s">
        <v>952</v>
      </c>
    </row>
    <row r="85">
      <c r="A85" s="1">
        <v>71.0</v>
      </c>
    </row>
    <row r="86">
      <c r="A86" s="1" t="s">
        <v>953</v>
      </c>
    </row>
    <row r="87">
      <c r="A87" s="1" t="s">
        <v>646</v>
      </c>
    </row>
    <row r="88">
      <c r="A88" s="1" t="s">
        <v>954</v>
      </c>
    </row>
    <row r="89">
      <c r="A89" s="1">
        <v>11.0</v>
      </c>
    </row>
    <row r="90">
      <c r="A90" s="1" t="s">
        <v>955</v>
      </c>
    </row>
    <row r="91">
      <c r="A91" s="1" t="s">
        <v>649</v>
      </c>
    </row>
    <row r="92">
      <c r="A92" s="1" t="s">
        <v>956</v>
      </c>
    </row>
    <row r="93">
      <c r="A93" s="1">
        <v>72.0</v>
      </c>
    </row>
    <row r="94">
      <c r="A94" s="1" t="s">
        <v>957</v>
      </c>
    </row>
    <row r="95">
      <c r="A95" s="1" t="s">
        <v>646</v>
      </c>
    </row>
    <row r="96">
      <c r="A96" s="1" t="s">
        <v>958</v>
      </c>
    </row>
    <row r="97">
      <c r="A97" s="1">
        <v>12.0</v>
      </c>
    </row>
    <row r="98">
      <c r="A98" s="1" t="s">
        <v>959</v>
      </c>
    </row>
    <row r="99">
      <c r="A99" s="1" t="s">
        <v>649</v>
      </c>
    </row>
    <row r="100">
      <c r="A100" s="1" t="s">
        <v>960</v>
      </c>
    </row>
    <row r="101">
      <c r="A101" s="1">
        <v>73.0</v>
      </c>
    </row>
    <row r="102">
      <c r="A102" s="1" t="s">
        <v>961</v>
      </c>
    </row>
    <row r="103">
      <c r="A103" s="1" t="s">
        <v>646</v>
      </c>
    </row>
    <row r="104">
      <c r="A104" s="1" t="s">
        <v>962</v>
      </c>
    </row>
    <row r="105">
      <c r="A105" s="1">
        <v>13.0</v>
      </c>
    </row>
    <row r="106">
      <c r="A106" s="1" t="s">
        <v>963</v>
      </c>
    </row>
    <row r="107">
      <c r="A107" s="1" t="s">
        <v>649</v>
      </c>
    </row>
    <row r="108">
      <c r="A108" s="1" t="s">
        <v>964</v>
      </c>
    </row>
    <row r="109">
      <c r="A109" s="1">
        <v>74.0</v>
      </c>
    </row>
    <row r="110">
      <c r="A110" s="1" t="s">
        <v>965</v>
      </c>
    </row>
    <row r="111">
      <c r="A111" s="1" t="s">
        <v>646</v>
      </c>
    </row>
    <row r="112">
      <c r="A112" s="1" t="s">
        <v>966</v>
      </c>
    </row>
    <row r="113">
      <c r="A113" s="1">
        <v>14.0</v>
      </c>
    </row>
    <row r="114">
      <c r="A114" s="1" t="s">
        <v>967</v>
      </c>
    </row>
    <row r="115">
      <c r="A115" s="1" t="s">
        <v>649</v>
      </c>
    </row>
    <row r="116">
      <c r="A116" s="1" t="s">
        <v>968</v>
      </c>
    </row>
    <row r="117">
      <c r="A117" s="1">
        <v>75.0</v>
      </c>
    </row>
    <row r="118">
      <c r="A118" s="1" t="s">
        <v>969</v>
      </c>
    </row>
    <row r="119">
      <c r="A119" s="1" t="s">
        <v>646</v>
      </c>
    </row>
    <row r="120">
      <c r="A120" s="1" t="s">
        <v>970</v>
      </c>
    </row>
    <row r="121">
      <c r="A121" s="1">
        <v>15.0</v>
      </c>
    </row>
    <row r="122">
      <c r="A122" s="1" t="s">
        <v>971</v>
      </c>
    </row>
    <row r="123">
      <c r="A123" s="1" t="s">
        <v>649</v>
      </c>
    </row>
    <row r="124">
      <c r="A124" s="1" t="s">
        <v>972</v>
      </c>
    </row>
    <row r="125">
      <c r="A125" s="1">
        <v>76.0</v>
      </c>
    </row>
    <row r="126">
      <c r="A126" s="1" t="s">
        <v>973</v>
      </c>
    </row>
    <row r="127">
      <c r="A127" s="1" t="s">
        <v>646</v>
      </c>
    </row>
    <row r="128">
      <c r="A128" s="1" t="s">
        <v>974</v>
      </c>
    </row>
    <row r="129">
      <c r="A129" s="1">
        <v>16.0</v>
      </c>
    </row>
    <row r="130">
      <c r="A130" s="1" t="s">
        <v>975</v>
      </c>
    </row>
    <row r="131">
      <c r="A131" s="1" t="s">
        <v>649</v>
      </c>
    </row>
    <row r="132">
      <c r="A132" s="1" t="s">
        <v>976</v>
      </c>
    </row>
    <row r="133">
      <c r="A133" s="1">
        <v>77.0</v>
      </c>
    </row>
    <row r="134">
      <c r="A134" s="1" t="s">
        <v>977</v>
      </c>
    </row>
    <row r="135">
      <c r="A135" s="1" t="s">
        <v>646</v>
      </c>
    </row>
    <row r="136">
      <c r="A136" s="1" t="s">
        <v>978</v>
      </c>
    </row>
    <row r="137">
      <c r="A137" s="1">
        <v>17.0</v>
      </c>
    </row>
    <row r="138">
      <c r="A138" s="1" t="s">
        <v>979</v>
      </c>
    </row>
    <row r="139">
      <c r="A139" s="1" t="s">
        <v>649</v>
      </c>
    </row>
    <row r="140">
      <c r="A140" s="1" t="s">
        <v>980</v>
      </c>
    </row>
    <row r="141">
      <c r="A141" s="1">
        <v>78.0</v>
      </c>
    </row>
    <row r="142">
      <c r="A142" s="1" t="s">
        <v>981</v>
      </c>
    </row>
    <row r="143">
      <c r="A143" s="1" t="s">
        <v>646</v>
      </c>
    </row>
    <row r="144">
      <c r="A144" s="1" t="s">
        <v>982</v>
      </c>
    </row>
    <row r="145">
      <c r="A145" s="1">
        <v>18.0</v>
      </c>
    </row>
    <row r="146">
      <c r="A146" s="1" t="s">
        <v>983</v>
      </c>
    </row>
    <row r="147">
      <c r="A147" s="1" t="s">
        <v>649</v>
      </c>
    </row>
    <row r="148">
      <c r="A148" s="1" t="s">
        <v>984</v>
      </c>
    </row>
    <row r="149">
      <c r="A149" s="1">
        <v>79.0</v>
      </c>
    </row>
    <row r="150">
      <c r="A150" s="1" t="s">
        <v>985</v>
      </c>
    </row>
    <row r="151">
      <c r="A151" s="1" t="s">
        <v>646</v>
      </c>
    </row>
    <row r="152">
      <c r="A152" s="1" t="s">
        <v>986</v>
      </c>
    </row>
    <row r="153">
      <c r="A153" s="1">
        <v>19.0</v>
      </c>
    </row>
    <row r="154">
      <c r="A154" s="1" t="s">
        <v>987</v>
      </c>
    </row>
    <row r="155">
      <c r="A155" s="1" t="s">
        <v>649</v>
      </c>
    </row>
    <row r="156">
      <c r="A156" s="1" t="s">
        <v>988</v>
      </c>
    </row>
    <row r="157">
      <c r="A157" s="1">
        <v>80.0</v>
      </c>
    </row>
    <row r="158">
      <c r="A158" s="1" t="s">
        <v>989</v>
      </c>
    </row>
    <row r="159">
      <c r="A159" s="1" t="s">
        <v>646</v>
      </c>
    </row>
    <row r="160">
      <c r="A160" s="1" t="s">
        <v>990</v>
      </c>
    </row>
    <row r="161">
      <c r="A161" s="1">
        <v>20.0</v>
      </c>
    </row>
    <row r="162">
      <c r="A162" s="1" t="s">
        <v>991</v>
      </c>
    </row>
    <row r="163">
      <c r="A163" s="1" t="s">
        <v>649</v>
      </c>
    </row>
    <row r="164">
      <c r="A164" s="1" t="s">
        <v>992</v>
      </c>
    </row>
    <row r="165">
      <c r="A165" s="1">
        <v>81.0</v>
      </c>
    </row>
    <row r="166">
      <c r="A166" s="1" t="s">
        <v>993</v>
      </c>
    </row>
    <row r="167">
      <c r="A167" s="1" t="s">
        <v>646</v>
      </c>
    </row>
    <row r="168">
      <c r="A168" s="1" t="s">
        <v>994</v>
      </c>
    </row>
    <row r="169">
      <c r="A169" s="1">
        <v>21.0</v>
      </c>
    </row>
    <row r="170">
      <c r="A170" s="1" t="s">
        <v>995</v>
      </c>
    </row>
    <row r="171">
      <c r="A171" s="1" t="s">
        <v>649</v>
      </c>
    </row>
    <row r="172">
      <c r="A172" s="1" t="s">
        <v>996</v>
      </c>
    </row>
    <row r="173">
      <c r="A173" s="1">
        <v>82.0</v>
      </c>
    </row>
    <row r="174">
      <c r="A174" s="1" t="s">
        <v>997</v>
      </c>
    </row>
    <row r="175">
      <c r="A175" s="1" t="s">
        <v>646</v>
      </c>
    </row>
    <row r="176">
      <c r="A176" s="1" t="s">
        <v>998</v>
      </c>
    </row>
    <row r="177">
      <c r="A177" s="1">
        <v>22.0</v>
      </c>
    </row>
    <row r="178">
      <c r="A178" s="1" t="s">
        <v>999</v>
      </c>
    </row>
    <row r="179">
      <c r="A179" s="1" t="s">
        <v>649</v>
      </c>
    </row>
    <row r="180">
      <c r="A180" s="1" t="s">
        <v>1000</v>
      </c>
    </row>
    <row r="181">
      <c r="A181" s="1">
        <v>83.0</v>
      </c>
    </row>
    <row r="182">
      <c r="A182" s="1" t="s">
        <v>1001</v>
      </c>
    </row>
    <row r="183">
      <c r="A183" s="1" t="s">
        <v>646</v>
      </c>
    </row>
    <row r="184">
      <c r="A184" s="1" t="s">
        <v>1002</v>
      </c>
    </row>
    <row r="185">
      <c r="A185" s="1">
        <v>23.0</v>
      </c>
    </row>
    <row r="186">
      <c r="A186" s="1" t="s">
        <v>1003</v>
      </c>
    </row>
    <row r="187">
      <c r="A187" s="1" t="s">
        <v>649</v>
      </c>
    </row>
    <row r="188">
      <c r="A188" s="1" t="s">
        <v>1004</v>
      </c>
    </row>
    <row r="189">
      <c r="A189" s="1">
        <v>84.0</v>
      </c>
    </row>
    <row r="190">
      <c r="A190" s="1" t="s">
        <v>1005</v>
      </c>
    </row>
    <row r="191">
      <c r="A191" s="1" t="s">
        <v>646</v>
      </c>
    </row>
    <row r="192">
      <c r="A192" s="1" t="s">
        <v>1006</v>
      </c>
    </row>
    <row r="193">
      <c r="A193" s="1">
        <v>24.0</v>
      </c>
    </row>
    <row r="194">
      <c r="A194" s="1" t="s">
        <v>1007</v>
      </c>
    </row>
    <row r="195">
      <c r="A195" s="1" t="s">
        <v>649</v>
      </c>
    </row>
    <row r="196">
      <c r="A196" s="1" t="s">
        <v>1008</v>
      </c>
    </row>
    <row r="197">
      <c r="A197" s="1">
        <v>85.0</v>
      </c>
    </row>
    <row r="198">
      <c r="A198" s="1" t="s">
        <v>1009</v>
      </c>
    </row>
    <row r="199">
      <c r="A199" s="1" t="s">
        <v>646</v>
      </c>
    </row>
    <row r="200">
      <c r="A200" s="1" t="s">
        <v>700</v>
      </c>
    </row>
    <row r="201">
      <c r="A201" s="1">
        <v>25.0</v>
      </c>
    </row>
    <row r="202">
      <c r="A202" s="1" t="s">
        <v>1010</v>
      </c>
    </row>
    <row r="203">
      <c r="A203" s="1" t="s">
        <v>649</v>
      </c>
    </row>
    <row r="204">
      <c r="A204" s="1" t="s">
        <v>1011</v>
      </c>
    </row>
    <row r="205">
      <c r="A205" s="1">
        <v>86.0</v>
      </c>
    </row>
    <row r="206">
      <c r="A206" s="1" t="s">
        <v>1012</v>
      </c>
    </row>
    <row r="207">
      <c r="A207" s="1" t="s">
        <v>646</v>
      </c>
    </row>
    <row r="208">
      <c r="A208" s="1" t="s">
        <v>1013</v>
      </c>
    </row>
    <row r="209">
      <c r="A209" s="1">
        <v>26.0</v>
      </c>
    </row>
    <row r="210">
      <c r="A210" s="1" t="s">
        <v>1014</v>
      </c>
    </row>
    <row r="211">
      <c r="A211" s="1" t="s">
        <v>649</v>
      </c>
    </row>
    <row r="212">
      <c r="A212" s="1" t="s">
        <v>1015</v>
      </c>
    </row>
    <row r="213">
      <c r="A213" s="1">
        <v>87.0</v>
      </c>
    </row>
    <row r="214">
      <c r="A214" s="1" t="s">
        <v>1016</v>
      </c>
    </row>
    <row r="215">
      <c r="A215" s="1" t="s">
        <v>646</v>
      </c>
    </row>
    <row r="216">
      <c r="A216" s="1" t="s">
        <v>1017</v>
      </c>
    </row>
    <row r="217">
      <c r="A217" s="1">
        <v>27.0</v>
      </c>
    </row>
    <row r="218">
      <c r="A218" s="1" t="s">
        <v>1018</v>
      </c>
    </row>
    <row r="219">
      <c r="A219" s="1" t="s">
        <v>649</v>
      </c>
    </row>
    <row r="220">
      <c r="A220" s="1" t="s">
        <v>1019</v>
      </c>
    </row>
    <row r="221">
      <c r="A221" s="1">
        <v>88.0</v>
      </c>
    </row>
    <row r="222">
      <c r="A222" s="1" t="s">
        <v>1020</v>
      </c>
    </row>
    <row r="223">
      <c r="A223" s="1" t="s">
        <v>646</v>
      </c>
    </row>
    <row r="224">
      <c r="A224" s="1" t="s">
        <v>1021</v>
      </c>
    </row>
    <row r="225">
      <c r="A225" s="1">
        <v>28.0</v>
      </c>
    </row>
    <row r="226">
      <c r="A226" s="1" t="s">
        <v>1022</v>
      </c>
    </row>
    <row r="227">
      <c r="A227" s="1" t="s">
        <v>649</v>
      </c>
    </row>
    <row r="228">
      <c r="A228" s="1" t="s">
        <v>1023</v>
      </c>
    </row>
    <row r="229">
      <c r="A229" s="1">
        <v>89.0</v>
      </c>
    </row>
    <row r="230">
      <c r="A230" s="1" t="s">
        <v>1024</v>
      </c>
    </row>
    <row r="231">
      <c r="A231" s="1" t="s">
        <v>646</v>
      </c>
    </row>
    <row r="232">
      <c r="A232" s="1" t="s">
        <v>1025</v>
      </c>
    </row>
    <row r="233">
      <c r="A233" s="1">
        <v>29.0</v>
      </c>
    </row>
    <row r="234">
      <c r="A234" s="1" t="s">
        <v>1026</v>
      </c>
    </row>
    <row r="235">
      <c r="A235" s="1" t="s">
        <v>649</v>
      </c>
    </row>
    <row r="236">
      <c r="A236" s="1" t="s">
        <v>1027</v>
      </c>
    </row>
    <row r="237">
      <c r="A237" s="1">
        <v>90.0</v>
      </c>
    </row>
    <row r="238">
      <c r="A238" s="1" t="s">
        <v>1028</v>
      </c>
    </row>
    <row r="239">
      <c r="A239" s="1" t="s">
        <v>646</v>
      </c>
    </row>
    <row r="240">
      <c r="A240" s="1" t="s">
        <v>1029</v>
      </c>
    </row>
    <row r="241">
      <c r="A241" s="1">
        <v>30.0</v>
      </c>
    </row>
    <row r="242">
      <c r="A242" s="1" t="s">
        <v>1030</v>
      </c>
    </row>
    <row r="243">
      <c r="A243" s="1" t="s">
        <v>649</v>
      </c>
    </row>
    <row r="244">
      <c r="A244" s="1" t="s">
        <v>1031</v>
      </c>
    </row>
    <row r="245">
      <c r="A245" s="1">
        <v>91.0</v>
      </c>
    </row>
    <row r="246">
      <c r="A246" s="1" t="s">
        <v>1032</v>
      </c>
    </row>
    <row r="247">
      <c r="A247" s="1" t="s">
        <v>646</v>
      </c>
    </row>
    <row r="248">
      <c r="A248" s="1" t="s">
        <v>1033</v>
      </c>
    </row>
    <row r="249">
      <c r="A249" s="1">
        <v>31.0</v>
      </c>
    </row>
    <row r="250">
      <c r="A250" s="1" t="s">
        <v>1034</v>
      </c>
    </row>
    <row r="251">
      <c r="A251" s="1" t="s">
        <v>649</v>
      </c>
    </row>
    <row r="252">
      <c r="A252" s="1" t="s">
        <v>1035</v>
      </c>
    </row>
    <row r="253">
      <c r="A253" s="1">
        <v>92.0</v>
      </c>
    </row>
    <row r="254">
      <c r="A254" s="1" t="s">
        <v>1036</v>
      </c>
    </row>
    <row r="255">
      <c r="A255" s="1" t="s">
        <v>646</v>
      </c>
    </row>
    <row r="256">
      <c r="A256" s="1" t="s">
        <v>1037</v>
      </c>
    </row>
    <row r="257">
      <c r="A257" s="1">
        <v>32.0</v>
      </c>
    </row>
    <row r="258">
      <c r="A258" s="1" t="s">
        <v>1038</v>
      </c>
    </row>
    <row r="259">
      <c r="A259" s="1" t="s">
        <v>649</v>
      </c>
    </row>
    <row r="260">
      <c r="A260" s="1" t="s">
        <v>1039</v>
      </c>
    </row>
    <row r="261">
      <c r="A261" s="1">
        <v>93.0</v>
      </c>
    </row>
    <row r="262">
      <c r="A262" s="1" t="s">
        <v>1040</v>
      </c>
    </row>
    <row r="263">
      <c r="A263" s="1" t="s">
        <v>646</v>
      </c>
    </row>
    <row r="264">
      <c r="A264" s="1" t="s">
        <v>1041</v>
      </c>
    </row>
    <row r="265">
      <c r="A265" s="1">
        <v>33.0</v>
      </c>
    </row>
    <row r="266">
      <c r="A266" s="1" t="s">
        <v>1042</v>
      </c>
    </row>
    <row r="267">
      <c r="A267" s="1" t="s">
        <v>649</v>
      </c>
    </row>
    <row r="268">
      <c r="A268" s="1" t="s">
        <v>1043</v>
      </c>
    </row>
    <row r="269">
      <c r="A269" s="1">
        <v>94.0</v>
      </c>
    </row>
    <row r="270">
      <c r="A270" s="1" t="s">
        <v>1044</v>
      </c>
    </row>
    <row r="271">
      <c r="A271" s="1" t="s">
        <v>646</v>
      </c>
    </row>
    <row r="272">
      <c r="A272" s="1" t="s">
        <v>1045</v>
      </c>
    </row>
    <row r="273">
      <c r="A273" s="1">
        <v>34.0</v>
      </c>
    </row>
    <row r="274">
      <c r="A274" s="1" t="s">
        <v>1046</v>
      </c>
    </row>
    <row r="275">
      <c r="A275" s="1" t="s">
        <v>649</v>
      </c>
    </row>
    <row r="276">
      <c r="A276" s="1" t="s">
        <v>1047</v>
      </c>
    </row>
    <row r="277">
      <c r="A277" s="1">
        <v>95.0</v>
      </c>
    </row>
    <row r="278">
      <c r="A278" s="1" t="s">
        <v>1048</v>
      </c>
    </row>
    <row r="279">
      <c r="A279" s="1" t="s">
        <v>646</v>
      </c>
    </row>
    <row r="280">
      <c r="A280" s="1" t="s">
        <v>1049</v>
      </c>
    </row>
    <row r="281">
      <c r="A281" s="1">
        <v>35.0</v>
      </c>
    </row>
    <row r="282">
      <c r="A282" s="1" t="s">
        <v>1050</v>
      </c>
    </row>
    <row r="283">
      <c r="A283" s="1" t="s">
        <v>649</v>
      </c>
    </row>
    <row r="284">
      <c r="A284" s="1" t="s">
        <v>1051</v>
      </c>
    </row>
    <row r="285">
      <c r="A285" s="1">
        <v>96.0</v>
      </c>
    </row>
    <row r="286">
      <c r="A286" s="1" t="s">
        <v>1052</v>
      </c>
    </row>
    <row r="287">
      <c r="A287" s="1" t="s">
        <v>646</v>
      </c>
    </row>
    <row r="288">
      <c r="A288" s="1" t="s">
        <v>1053</v>
      </c>
    </row>
    <row r="289">
      <c r="A289" s="1">
        <v>36.0</v>
      </c>
    </row>
    <row r="290">
      <c r="A290" s="1" t="s">
        <v>1054</v>
      </c>
    </row>
    <row r="291">
      <c r="A291" s="1" t="s">
        <v>649</v>
      </c>
    </row>
    <row r="292">
      <c r="A292" s="1" t="s">
        <v>1055</v>
      </c>
    </row>
    <row r="293">
      <c r="A293" s="1">
        <v>97.0</v>
      </c>
    </row>
    <row r="294">
      <c r="A294" s="1" t="s">
        <v>1056</v>
      </c>
    </row>
    <row r="295">
      <c r="A295" s="1" t="s">
        <v>646</v>
      </c>
    </row>
    <row r="296">
      <c r="A296" s="1" t="s">
        <v>1057</v>
      </c>
    </row>
    <row r="297">
      <c r="A297" s="1">
        <v>37.0</v>
      </c>
    </row>
    <row r="298">
      <c r="A298" s="1" t="s">
        <v>1058</v>
      </c>
    </row>
    <row r="299">
      <c r="A299" s="1" t="s">
        <v>649</v>
      </c>
    </row>
    <row r="300">
      <c r="A300" s="1" t="s">
        <v>1059</v>
      </c>
    </row>
    <row r="301">
      <c r="A301" s="1">
        <v>98.0</v>
      </c>
    </row>
    <row r="302">
      <c r="A302" s="1" t="s">
        <v>1060</v>
      </c>
    </row>
    <row r="303">
      <c r="A303" s="1" t="s">
        <v>646</v>
      </c>
    </row>
    <row r="304">
      <c r="A304" s="1" t="s">
        <v>1061</v>
      </c>
    </row>
    <row r="305">
      <c r="A305" s="1">
        <v>38.0</v>
      </c>
    </row>
    <row r="306">
      <c r="A306" s="1" t="s">
        <v>1062</v>
      </c>
    </row>
    <row r="307">
      <c r="A307" s="1" t="s">
        <v>649</v>
      </c>
    </row>
    <row r="308">
      <c r="A308" s="1" t="s">
        <v>1063</v>
      </c>
    </row>
    <row r="309">
      <c r="A309" s="1">
        <v>99.0</v>
      </c>
    </row>
    <row r="310">
      <c r="A310" s="1" t="s">
        <v>1064</v>
      </c>
    </row>
    <row r="311">
      <c r="A311" s="1" t="s">
        <v>646</v>
      </c>
    </row>
    <row r="312">
      <c r="A312" s="1" t="s">
        <v>1065</v>
      </c>
    </row>
    <row r="313">
      <c r="A313" s="1">
        <v>39.0</v>
      </c>
    </row>
    <row r="314">
      <c r="A314" s="1" t="s">
        <v>1066</v>
      </c>
    </row>
    <row r="315">
      <c r="A315" s="1" t="s">
        <v>649</v>
      </c>
    </row>
    <row r="316">
      <c r="A316" s="1" t="s">
        <v>1067</v>
      </c>
    </row>
    <row r="317">
      <c r="A317" s="1">
        <v>100.0</v>
      </c>
    </row>
    <row r="318">
      <c r="A318" s="1" t="s">
        <v>1068</v>
      </c>
    </row>
    <row r="319">
      <c r="A319" s="1" t="s">
        <v>646</v>
      </c>
    </row>
    <row r="320">
      <c r="A320" s="1" t="s">
        <v>743</v>
      </c>
    </row>
    <row r="321">
      <c r="A321" s="1">
        <v>40.0</v>
      </c>
    </row>
    <row r="322">
      <c r="A322" s="1" t="s">
        <v>1069</v>
      </c>
    </row>
    <row r="323">
      <c r="A323" s="1" t="s">
        <v>649</v>
      </c>
    </row>
    <row r="324">
      <c r="A324" s="1" t="s">
        <v>1070</v>
      </c>
    </row>
    <row r="325">
      <c r="A325" s="1">
        <v>101.0</v>
      </c>
    </row>
    <row r="326">
      <c r="A326" s="1" t="s">
        <v>1071</v>
      </c>
    </row>
    <row r="327">
      <c r="A327" s="1" t="s">
        <v>646</v>
      </c>
    </row>
    <row r="328">
      <c r="A328" s="1" t="s">
        <v>1072</v>
      </c>
    </row>
    <row r="329">
      <c r="A329" s="1">
        <v>41.0</v>
      </c>
    </row>
    <row r="330">
      <c r="A330" s="1" t="s">
        <v>1073</v>
      </c>
    </row>
    <row r="331">
      <c r="A331" s="1" t="s">
        <v>649</v>
      </c>
    </row>
    <row r="332">
      <c r="A332" s="1" t="s">
        <v>729</v>
      </c>
    </row>
    <row r="333">
      <c r="A333" s="1">
        <v>102.0</v>
      </c>
    </row>
    <row r="334">
      <c r="A334" s="1" t="s">
        <v>1074</v>
      </c>
    </row>
    <row r="335">
      <c r="A335" s="1" t="s">
        <v>646</v>
      </c>
    </row>
    <row r="336">
      <c r="A336" s="1" t="s">
        <v>1075</v>
      </c>
    </row>
    <row r="337">
      <c r="A337" s="1">
        <v>42.0</v>
      </c>
    </row>
    <row r="338">
      <c r="A338" s="1" t="s">
        <v>1076</v>
      </c>
    </row>
    <row r="339">
      <c r="A339" s="1" t="s">
        <v>649</v>
      </c>
    </row>
    <row r="340">
      <c r="A340" s="1" t="s">
        <v>1077</v>
      </c>
    </row>
    <row r="341">
      <c r="A341" s="1">
        <v>103.0</v>
      </c>
    </row>
    <row r="342">
      <c r="A342" s="1" t="s">
        <v>1078</v>
      </c>
    </row>
    <row r="343">
      <c r="A343" s="1" t="s">
        <v>646</v>
      </c>
    </row>
    <row r="344">
      <c r="A344" s="1" t="s">
        <v>1079</v>
      </c>
    </row>
    <row r="345">
      <c r="A345" s="1">
        <v>43.0</v>
      </c>
    </row>
    <row r="346">
      <c r="A346" s="1" t="s">
        <v>1080</v>
      </c>
    </row>
    <row r="347">
      <c r="A347" s="1" t="s">
        <v>649</v>
      </c>
    </row>
    <row r="348">
      <c r="A348" s="1" t="s">
        <v>1081</v>
      </c>
    </row>
    <row r="349">
      <c r="A349" s="1">
        <v>104.0</v>
      </c>
    </row>
    <row r="350">
      <c r="A350" s="1" t="s">
        <v>1082</v>
      </c>
    </row>
    <row r="351">
      <c r="A351" s="1" t="s">
        <v>646</v>
      </c>
    </row>
    <row r="352">
      <c r="A352" s="1" t="s">
        <v>1083</v>
      </c>
    </row>
    <row r="353">
      <c r="A353" s="1">
        <v>44.0</v>
      </c>
    </row>
    <row r="354">
      <c r="A354" s="1" t="s">
        <v>1084</v>
      </c>
    </row>
    <row r="355">
      <c r="A355" s="1" t="s">
        <v>649</v>
      </c>
    </row>
    <row r="356">
      <c r="A356" s="1" t="s">
        <v>1085</v>
      </c>
    </row>
    <row r="357">
      <c r="A357" s="1">
        <v>105.0</v>
      </c>
    </row>
    <row r="358">
      <c r="A358" s="1" t="s">
        <v>1086</v>
      </c>
    </row>
    <row r="359">
      <c r="A359" s="1" t="s">
        <v>646</v>
      </c>
    </row>
    <row r="360">
      <c r="A360" s="1" t="s">
        <v>1087</v>
      </c>
    </row>
    <row r="361">
      <c r="A361" s="1">
        <v>45.0</v>
      </c>
    </row>
    <row r="362">
      <c r="A362" s="1" t="s">
        <v>1088</v>
      </c>
    </row>
    <row r="363">
      <c r="A363" s="1" t="s">
        <v>646</v>
      </c>
    </row>
    <row r="364">
      <c r="A364" s="1" t="s">
        <v>1089</v>
      </c>
    </row>
    <row r="365">
      <c r="A365" s="1">
        <v>106.0</v>
      </c>
    </row>
    <row r="366">
      <c r="A366" s="1" t="s">
        <v>1090</v>
      </c>
    </row>
    <row r="367">
      <c r="A367" s="1" t="s">
        <v>646</v>
      </c>
    </row>
    <row r="368">
      <c r="A368" s="1" t="s">
        <v>1091</v>
      </c>
    </row>
    <row r="369">
      <c r="A369" s="1">
        <v>46.0</v>
      </c>
    </row>
    <row r="370">
      <c r="A370" s="1" t="s">
        <v>1092</v>
      </c>
    </row>
    <row r="371">
      <c r="A371" s="1" t="s">
        <v>646</v>
      </c>
    </row>
    <row r="372">
      <c r="A372" s="1" t="s">
        <v>1093</v>
      </c>
    </row>
    <row r="373">
      <c r="A373" s="1">
        <v>107.0</v>
      </c>
    </row>
    <row r="374">
      <c r="A374" s="1" t="s">
        <v>1094</v>
      </c>
    </row>
    <row r="375">
      <c r="A375" s="1" t="s">
        <v>646</v>
      </c>
    </row>
    <row r="376">
      <c r="A376" s="1" t="s">
        <v>1095</v>
      </c>
    </row>
    <row r="377">
      <c r="A377" s="1">
        <v>47.0</v>
      </c>
    </row>
    <row r="378">
      <c r="A378" s="1" t="s">
        <v>1096</v>
      </c>
    </row>
    <row r="379">
      <c r="A379" s="1" t="s">
        <v>646</v>
      </c>
    </row>
    <row r="380">
      <c r="A380" s="1" t="s">
        <v>1097</v>
      </c>
    </row>
    <row r="381">
      <c r="A381" s="1">
        <v>108.0</v>
      </c>
    </row>
    <row r="382">
      <c r="A382" s="1" t="s">
        <v>1098</v>
      </c>
    </row>
    <row r="383">
      <c r="A383" s="1" t="s">
        <v>646</v>
      </c>
    </row>
    <row r="384">
      <c r="A384" s="1" t="s">
        <v>1099</v>
      </c>
    </row>
    <row r="385">
      <c r="A385" s="1">
        <v>48.0</v>
      </c>
    </row>
    <row r="386">
      <c r="A386" s="1" t="s">
        <v>1100</v>
      </c>
    </row>
    <row r="387">
      <c r="A387" s="1" t="s">
        <v>646</v>
      </c>
    </row>
    <row r="388">
      <c r="A388" s="1" t="s">
        <v>1101</v>
      </c>
    </row>
    <row r="389">
      <c r="A389" s="1">
        <v>109.0</v>
      </c>
    </row>
    <row r="390">
      <c r="A390" s="1" t="s">
        <v>1102</v>
      </c>
    </row>
    <row r="391">
      <c r="A391" s="1" t="s">
        <v>646</v>
      </c>
    </row>
    <row r="392">
      <c r="A392" s="1" t="s">
        <v>1103</v>
      </c>
    </row>
    <row r="393">
      <c r="A393" s="1">
        <v>49.0</v>
      </c>
    </row>
    <row r="394">
      <c r="A394" s="1" t="s">
        <v>1104</v>
      </c>
    </row>
    <row r="395">
      <c r="A395" s="1" t="s">
        <v>646</v>
      </c>
    </row>
    <row r="396">
      <c r="A396" s="1" t="s">
        <v>1105</v>
      </c>
    </row>
    <row r="397">
      <c r="A397" s="1">
        <v>110.0</v>
      </c>
    </row>
    <row r="398">
      <c r="A398" s="1" t="s">
        <v>1106</v>
      </c>
    </row>
    <row r="399">
      <c r="A399" s="1" t="s">
        <v>646</v>
      </c>
    </row>
    <row r="400">
      <c r="A400" s="1" t="s">
        <v>1107</v>
      </c>
    </row>
    <row r="401">
      <c r="A401" s="1">
        <v>50.0</v>
      </c>
    </row>
    <row r="402">
      <c r="A402" s="1" t="s">
        <v>1108</v>
      </c>
    </row>
    <row r="403">
      <c r="A403" s="1" t="s">
        <v>646</v>
      </c>
    </row>
    <row r="404">
      <c r="A404" s="1" t="s">
        <v>1109</v>
      </c>
    </row>
    <row r="405">
      <c r="A405" s="1">
        <v>111.0</v>
      </c>
    </row>
    <row r="406">
      <c r="A406" s="1" t="s">
        <v>1110</v>
      </c>
    </row>
    <row r="407">
      <c r="A407" s="1" t="s">
        <v>646</v>
      </c>
    </row>
    <row r="408">
      <c r="A408" s="1" t="s">
        <v>1111</v>
      </c>
    </row>
    <row r="409">
      <c r="A409" s="1">
        <v>51.0</v>
      </c>
    </row>
    <row r="410">
      <c r="A410" s="1" t="s">
        <v>1112</v>
      </c>
    </row>
    <row r="411">
      <c r="A411" s="1" t="s">
        <v>646</v>
      </c>
    </row>
    <row r="412">
      <c r="A412" s="1" t="s">
        <v>1113</v>
      </c>
    </row>
    <row r="413">
      <c r="A413" s="1">
        <v>112.0</v>
      </c>
    </row>
    <row r="414">
      <c r="A414" s="1" t="s">
        <v>1114</v>
      </c>
    </row>
    <row r="415">
      <c r="A415" s="1" t="s">
        <v>787</v>
      </c>
    </row>
    <row r="416">
      <c r="A416" s="1" t="s">
        <v>1115</v>
      </c>
    </row>
    <row r="417">
      <c r="A417" s="1">
        <v>52.0</v>
      </c>
    </row>
    <row r="418">
      <c r="A418" s="1" t="s">
        <v>1116</v>
      </c>
    </row>
    <row r="419">
      <c r="A419" s="1" t="s">
        <v>646</v>
      </c>
    </row>
    <row r="420">
      <c r="A420" s="1" t="s">
        <v>1117</v>
      </c>
    </row>
    <row r="421">
      <c r="A421" s="1">
        <v>113.0</v>
      </c>
    </row>
    <row r="422">
      <c r="A422" s="1" t="s">
        <v>1118</v>
      </c>
    </row>
    <row r="423">
      <c r="A423" s="1" t="s">
        <v>787</v>
      </c>
    </row>
    <row r="424">
      <c r="A424" s="1" t="s">
        <v>1119</v>
      </c>
    </row>
    <row r="425">
      <c r="A425" s="1">
        <v>53.0</v>
      </c>
    </row>
    <row r="426">
      <c r="A426" s="1" t="s">
        <v>1120</v>
      </c>
    </row>
    <row r="427">
      <c r="A427" s="1" t="s">
        <v>646</v>
      </c>
    </row>
    <row r="428">
      <c r="A428" s="1" t="s">
        <v>1121</v>
      </c>
    </row>
    <row r="429">
      <c r="A429" s="1">
        <v>114.0</v>
      </c>
    </row>
    <row r="430">
      <c r="A430" s="1" t="s">
        <v>1122</v>
      </c>
    </row>
    <row r="431">
      <c r="A431" s="1" t="s">
        <v>787</v>
      </c>
    </row>
    <row r="432">
      <c r="A432" s="1" t="s">
        <v>1123</v>
      </c>
    </row>
    <row r="433">
      <c r="A433" s="1">
        <v>54.0</v>
      </c>
    </row>
    <row r="434">
      <c r="A434" s="1" t="s">
        <v>1124</v>
      </c>
    </row>
    <row r="435">
      <c r="A435" s="1" t="s">
        <v>646</v>
      </c>
    </row>
    <row r="436">
      <c r="A436" s="1" t="s">
        <v>1125</v>
      </c>
    </row>
    <row r="437">
      <c r="A437" s="1">
        <v>115.0</v>
      </c>
    </row>
    <row r="438">
      <c r="A438" s="1" t="s">
        <v>1126</v>
      </c>
    </row>
    <row r="439">
      <c r="A439" s="1" t="s">
        <v>787</v>
      </c>
    </row>
    <row r="440">
      <c r="A440" s="1" t="s">
        <v>1127</v>
      </c>
    </row>
    <row r="441">
      <c r="A441" s="1">
        <v>55.0</v>
      </c>
    </row>
    <row r="442">
      <c r="A442" s="1" t="s">
        <v>1128</v>
      </c>
    </row>
    <row r="443">
      <c r="A443" s="1" t="s">
        <v>646</v>
      </c>
    </row>
    <row r="444">
      <c r="A444" s="1" t="s">
        <v>1129</v>
      </c>
    </row>
    <row r="445">
      <c r="A445" s="1">
        <v>116.0</v>
      </c>
    </row>
    <row r="446">
      <c r="A446" s="1" t="s">
        <v>1130</v>
      </c>
    </row>
    <row r="447">
      <c r="A447" s="1" t="s">
        <v>787</v>
      </c>
    </row>
    <row r="448">
      <c r="A448" s="1" t="s">
        <v>1131</v>
      </c>
    </row>
    <row r="449">
      <c r="A449" s="1">
        <v>56.0</v>
      </c>
    </row>
    <row r="450">
      <c r="A450" s="1" t="s">
        <v>1132</v>
      </c>
    </row>
    <row r="451">
      <c r="A451" s="1" t="s">
        <v>646</v>
      </c>
    </row>
    <row r="452">
      <c r="A452" s="1" t="s">
        <v>1133</v>
      </c>
    </row>
    <row r="453">
      <c r="A453" s="1">
        <v>117.0</v>
      </c>
    </row>
    <row r="454">
      <c r="A454" s="1" t="s">
        <v>1134</v>
      </c>
    </row>
    <row r="455">
      <c r="A455" s="1" t="s">
        <v>787</v>
      </c>
    </row>
    <row r="456">
      <c r="A456" s="1" t="s">
        <v>798</v>
      </c>
    </row>
    <row r="457">
      <c r="A457" s="1">
        <v>57.0</v>
      </c>
    </row>
    <row r="458">
      <c r="A458" s="1" t="s">
        <v>1135</v>
      </c>
    </row>
    <row r="459">
      <c r="A459" s="1" t="s">
        <v>646</v>
      </c>
    </row>
    <row r="460">
      <c r="A460" s="1" t="s">
        <v>1136</v>
      </c>
    </row>
    <row r="461">
      <c r="A461" s="1">
        <v>118.0</v>
      </c>
    </row>
    <row r="462">
      <c r="A462" s="1" t="s">
        <v>1137</v>
      </c>
    </row>
    <row r="463">
      <c r="A463" s="1" t="s">
        <v>787</v>
      </c>
    </row>
    <row r="464">
      <c r="A464" s="1" t="s">
        <v>1138</v>
      </c>
    </row>
    <row r="465">
      <c r="A465" s="1">
        <v>58.0</v>
      </c>
    </row>
    <row r="466">
      <c r="A466" s="1" t="s">
        <v>1139</v>
      </c>
    </row>
    <row r="467">
      <c r="A467" s="1" t="s">
        <v>646</v>
      </c>
    </row>
    <row r="468">
      <c r="A468" s="1" t="s">
        <v>1140</v>
      </c>
    </row>
    <row r="469">
      <c r="A469" s="1">
        <v>119.0</v>
      </c>
    </row>
    <row r="470">
      <c r="A470" s="1" t="s">
        <v>1141</v>
      </c>
    </row>
    <row r="471">
      <c r="A471" s="1" t="s">
        <v>787</v>
      </c>
    </row>
    <row r="472">
      <c r="A472" s="1" t="s">
        <v>1142</v>
      </c>
    </row>
    <row r="473">
      <c r="A473" s="1">
        <v>59.0</v>
      </c>
    </row>
    <row r="474">
      <c r="A474" s="1" t="s">
        <v>1143</v>
      </c>
    </row>
    <row r="475">
      <c r="A475" s="1" t="s">
        <v>646</v>
      </c>
    </row>
    <row r="476">
      <c r="A476" s="1" t="s">
        <v>1144</v>
      </c>
    </row>
    <row r="477">
      <c r="A477" s="1">
        <v>120.0</v>
      </c>
    </row>
    <row r="478">
      <c r="A478" s="1" t="s">
        <v>1145</v>
      </c>
    </row>
    <row r="479">
      <c r="A479" s="1" t="s">
        <v>787</v>
      </c>
    </row>
    <row r="480">
      <c r="A480" s="1" t="s">
        <v>1146</v>
      </c>
    </row>
    <row r="481">
      <c r="A481" s="1">
        <v>60.0</v>
      </c>
    </row>
    <row r="482">
      <c r="A482" s="1" t="s">
        <v>1147</v>
      </c>
    </row>
    <row r="483">
      <c r="A483" s="1" t="s">
        <v>646</v>
      </c>
    </row>
    <row r="484">
      <c r="A484" s="1" t="s">
        <v>1148</v>
      </c>
    </row>
    <row r="485">
      <c r="A485" s="1">
        <v>121.0</v>
      </c>
    </row>
    <row r="486">
      <c r="A486" s="1" t="s">
        <v>1149</v>
      </c>
    </row>
    <row r="487">
      <c r="A487" s="1" t="s">
        <v>787</v>
      </c>
    </row>
    <row r="488">
      <c r="A488" s="1" t="s">
        <v>1150</v>
      </c>
    </row>
    <row r="489">
      <c r="A489" s="1">
        <v>61.0</v>
      </c>
    </row>
    <row r="490">
      <c r="A490" s="1" t="s">
        <v>1151</v>
      </c>
    </row>
    <row r="491">
      <c r="A491" s="1" t="s">
        <v>646</v>
      </c>
    </row>
    <row r="492">
      <c r="A492" s="1" t="s">
        <v>1152</v>
      </c>
    </row>
    <row r="493">
      <c r="A493" s="1">
        <v>122.0</v>
      </c>
    </row>
    <row r="494">
      <c r="A494" s="1" t="s">
        <v>1153</v>
      </c>
    </row>
    <row r="495">
      <c r="A495" s="1" t="s">
        <v>787</v>
      </c>
    </row>
    <row r="496">
      <c r="A496" s="1" t="s">
        <v>1154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639</v>
      </c>
    </row>
    <row r="2">
      <c r="A2" s="1" t="s">
        <v>569</v>
      </c>
    </row>
    <row r="3">
      <c r="A3" s="1" t="s">
        <v>640</v>
      </c>
    </row>
    <row r="4">
      <c r="A4" s="1" t="s">
        <v>915</v>
      </c>
    </row>
    <row r="5">
      <c r="A5" s="1" t="s">
        <v>639</v>
      </c>
    </row>
    <row r="6">
      <c r="A6" s="1" t="s">
        <v>569</v>
      </c>
    </row>
    <row r="7">
      <c r="A7" s="1" t="s">
        <v>640</v>
      </c>
    </row>
    <row r="8">
      <c r="A8" s="1" t="s">
        <v>915</v>
      </c>
    </row>
    <row r="9">
      <c r="A9" s="1">
        <v>123.0</v>
      </c>
    </row>
    <row r="10">
      <c r="A10" s="1" t="s">
        <v>1155</v>
      </c>
    </row>
    <row r="11">
      <c r="A11" s="1" t="s">
        <v>787</v>
      </c>
    </row>
    <row r="12">
      <c r="A12" s="1" t="s">
        <v>830</v>
      </c>
    </row>
    <row r="13">
      <c r="A13" s="1">
        <v>156.0</v>
      </c>
    </row>
    <row r="14">
      <c r="A14" s="1" t="s">
        <v>1156</v>
      </c>
    </row>
    <row r="15">
      <c r="A15" s="1" t="s">
        <v>787</v>
      </c>
    </row>
    <row r="16">
      <c r="A16" s="1" t="s">
        <v>1157</v>
      </c>
    </row>
    <row r="17">
      <c r="A17" s="1">
        <v>124.0</v>
      </c>
    </row>
    <row r="18">
      <c r="A18" s="1" t="s">
        <v>1158</v>
      </c>
    </row>
    <row r="19">
      <c r="A19" s="1" t="s">
        <v>787</v>
      </c>
    </row>
    <row r="20">
      <c r="A20" s="1" t="s">
        <v>1159</v>
      </c>
    </row>
    <row r="21">
      <c r="A21" s="1">
        <v>157.0</v>
      </c>
    </row>
    <row r="22">
      <c r="A22" s="1" t="s">
        <v>1160</v>
      </c>
    </row>
    <row r="23">
      <c r="A23" s="1" t="s">
        <v>787</v>
      </c>
    </row>
    <row r="24">
      <c r="A24" s="1" t="s">
        <v>1161</v>
      </c>
    </row>
    <row r="25">
      <c r="A25" s="1">
        <v>125.0</v>
      </c>
    </row>
    <row r="26">
      <c r="A26" s="1" t="s">
        <v>1162</v>
      </c>
    </row>
    <row r="27">
      <c r="A27" s="1" t="s">
        <v>787</v>
      </c>
    </row>
    <row r="28">
      <c r="A28" s="1" t="s">
        <v>1163</v>
      </c>
    </row>
    <row r="29">
      <c r="A29" s="1">
        <v>158.0</v>
      </c>
    </row>
    <row r="30">
      <c r="A30" s="1" t="s">
        <v>1164</v>
      </c>
    </row>
    <row r="31">
      <c r="A31" s="1" t="s">
        <v>787</v>
      </c>
    </row>
    <row r="32">
      <c r="A32" s="1" t="s">
        <v>1165</v>
      </c>
    </row>
    <row r="33">
      <c r="A33" s="1">
        <v>126.0</v>
      </c>
    </row>
    <row r="34">
      <c r="A34" s="1" t="s">
        <v>1166</v>
      </c>
    </row>
    <row r="35">
      <c r="A35" s="1" t="s">
        <v>787</v>
      </c>
    </row>
    <row r="36">
      <c r="A36" s="1" t="s">
        <v>1167</v>
      </c>
    </row>
    <row r="37">
      <c r="A37" s="1">
        <v>159.0</v>
      </c>
    </row>
    <row r="38">
      <c r="A38" s="1" t="s">
        <v>1168</v>
      </c>
    </row>
    <row r="39">
      <c r="A39" s="1" t="s">
        <v>787</v>
      </c>
    </row>
    <row r="40">
      <c r="A40" s="1" t="s">
        <v>1169</v>
      </c>
    </row>
    <row r="41">
      <c r="A41" s="1">
        <v>127.0</v>
      </c>
    </row>
    <row r="42">
      <c r="A42" s="1" t="s">
        <v>1170</v>
      </c>
    </row>
    <row r="43">
      <c r="A43" s="1" t="s">
        <v>787</v>
      </c>
    </row>
    <row r="44">
      <c r="A44" s="1" t="s">
        <v>1171</v>
      </c>
    </row>
    <row r="45">
      <c r="A45" s="1">
        <v>160.0</v>
      </c>
    </row>
    <row r="46">
      <c r="A46" s="1" t="s">
        <v>1172</v>
      </c>
    </row>
    <row r="47">
      <c r="A47" s="1" t="s">
        <v>787</v>
      </c>
    </row>
    <row r="48">
      <c r="A48" s="1" t="s">
        <v>1173</v>
      </c>
    </row>
    <row r="49">
      <c r="A49" s="1">
        <v>128.0</v>
      </c>
    </row>
    <row r="50">
      <c r="A50" s="1" t="s">
        <v>1174</v>
      </c>
    </row>
    <row r="51">
      <c r="A51" s="1" t="s">
        <v>787</v>
      </c>
    </row>
    <row r="52">
      <c r="A52" s="1" t="s">
        <v>1175</v>
      </c>
    </row>
    <row r="53">
      <c r="A53" s="1">
        <v>161.0</v>
      </c>
    </row>
    <row r="54">
      <c r="A54" s="1" t="s">
        <v>1176</v>
      </c>
    </row>
    <row r="55">
      <c r="A55" s="1" t="s">
        <v>787</v>
      </c>
    </row>
    <row r="56">
      <c r="A56" s="1" t="s">
        <v>1177</v>
      </c>
    </row>
    <row r="57">
      <c r="A57" s="1">
        <v>129.0</v>
      </c>
    </row>
    <row r="58">
      <c r="A58" s="1" t="s">
        <v>1178</v>
      </c>
    </row>
    <row r="59">
      <c r="A59" s="1" t="s">
        <v>787</v>
      </c>
    </row>
    <row r="60">
      <c r="A60" s="1" t="s">
        <v>1179</v>
      </c>
    </row>
    <row r="61">
      <c r="A61" s="1">
        <v>162.0</v>
      </c>
    </row>
    <row r="62">
      <c r="A62" s="1" t="s">
        <v>1180</v>
      </c>
    </row>
    <row r="63">
      <c r="A63" s="1" t="s">
        <v>787</v>
      </c>
    </row>
    <row r="64">
      <c r="A64" s="1" t="s">
        <v>1181</v>
      </c>
    </row>
    <row r="65">
      <c r="A65" s="1">
        <v>130.0</v>
      </c>
    </row>
    <row r="66">
      <c r="A66" s="1" t="s">
        <v>1182</v>
      </c>
    </row>
    <row r="67">
      <c r="A67" s="1" t="s">
        <v>787</v>
      </c>
    </row>
    <row r="68">
      <c r="A68" s="1" t="s">
        <v>1183</v>
      </c>
    </row>
    <row r="69">
      <c r="A69" s="1">
        <v>163.0</v>
      </c>
    </row>
    <row r="70">
      <c r="A70" s="8" t="s">
        <v>1184</v>
      </c>
    </row>
    <row r="71">
      <c r="A71" s="1" t="s">
        <v>787</v>
      </c>
    </row>
    <row r="72">
      <c r="A72" s="1" t="s">
        <v>1185</v>
      </c>
    </row>
    <row r="73">
      <c r="A73" s="1">
        <v>131.0</v>
      </c>
    </row>
    <row r="74">
      <c r="A74" s="1" t="s">
        <v>1186</v>
      </c>
    </row>
    <row r="75">
      <c r="A75" s="1" t="s">
        <v>787</v>
      </c>
    </row>
    <row r="76">
      <c r="A76" s="1" t="s">
        <v>1187</v>
      </c>
    </row>
    <row r="77">
      <c r="A77" s="1">
        <v>164.0</v>
      </c>
    </row>
    <row r="78">
      <c r="A78" s="1" t="s">
        <v>1188</v>
      </c>
    </row>
    <row r="79">
      <c r="A79" s="1" t="s">
        <v>787</v>
      </c>
    </row>
    <row r="80">
      <c r="A80" s="1" t="s">
        <v>1189</v>
      </c>
    </row>
    <row r="81">
      <c r="A81" s="1">
        <v>132.0</v>
      </c>
    </row>
    <row r="82">
      <c r="A82" s="1" t="s">
        <v>1190</v>
      </c>
    </row>
    <row r="83">
      <c r="A83" s="1" t="s">
        <v>787</v>
      </c>
    </row>
    <row r="84">
      <c r="A84" s="1" t="s">
        <v>1191</v>
      </c>
    </row>
    <row r="85">
      <c r="A85" s="1">
        <v>165.0</v>
      </c>
    </row>
    <row r="86">
      <c r="A86" s="1" t="s">
        <v>1192</v>
      </c>
    </row>
    <row r="87">
      <c r="A87" s="1" t="s">
        <v>787</v>
      </c>
    </row>
    <row r="88">
      <c r="A88" s="1" t="s">
        <v>1193</v>
      </c>
    </row>
    <row r="89">
      <c r="A89" s="1">
        <v>133.0</v>
      </c>
    </row>
    <row r="90">
      <c r="A90" s="1" t="s">
        <v>1194</v>
      </c>
    </row>
    <row r="91">
      <c r="A91" s="1" t="s">
        <v>787</v>
      </c>
    </row>
    <row r="92">
      <c r="A92" s="1" t="s">
        <v>1195</v>
      </c>
    </row>
    <row r="93">
      <c r="A93" s="1">
        <v>166.0</v>
      </c>
    </row>
    <row r="94">
      <c r="A94" s="1" t="s">
        <v>1196</v>
      </c>
    </row>
    <row r="95">
      <c r="A95" s="1" t="s">
        <v>787</v>
      </c>
    </row>
    <row r="96">
      <c r="A96" s="1" t="s">
        <v>1197</v>
      </c>
    </row>
    <row r="97">
      <c r="A97" s="1">
        <v>134.0</v>
      </c>
    </row>
    <row r="98">
      <c r="A98" s="1" t="s">
        <v>1198</v>
      </c>
    </row>
    <row r="99">
      <c r="A99" s="1" t="s">
        <v>787</v>
      </c>
    </row>
    <row r="100">
      <c r="A100" s="1" t="s">
        <v>1199</v>
      </c>
    </row>
    <row r="101">
      <c r="A101" s="1">
        <v>167.0</v>
      </c>
    </row>
    <row r="102">
      <c r="A102" s="1" t="s">
        <v>1200</v>
      </c>
    </row>
    <row r="103">
      <c r="A103" s="1" t="s">
        <v>787</v>
      </c>
    </row>
    <row r="104">
      <c r="A104" s="1" t="s">
        <v>1201</v>
      </c>
    </row>
    <row r="105">
      <c r="A105" s="1">
        <v>135.0</v>
      </c>
    </row>
    <row r="106">
      <c r="A106" s="1" t="s">
        <v>1202</v>
      </c>
    </row>
    <row r="107">
      <c r="A107" s="1" t="s">
        <v>787</v>
      </c>
    </row>
    <row r="108">
      <c r="A108" s="1" t="s">
        <v>1203</v>
      </c>
    </row>
    <row r="109">
      <c r="A109" s="1">
        <v>168.0</v>
      </c>
    </row>
    <row r="110">
      <c r="A110" s="1" t="s">
        <v>1204</v>
      </c>
    </row>
    <row r="111">
      <c r="A111" s="1" t="s">
        <v>787</v>
      </c>
    </row>
    <row r="112">
      <c r="A112" s="1" t="s">
        <v>1205</v>
      </c>
    </row>
    <row r="113">
      <c r="A113" s="1">
        <v>136.0</v>
      </c>
    </row>
    <row r="114">
      <c r="A114" s="1" t="s">
        <v>1206</v>
      </c>
    </row>
    <row r="115">
      <c r="A115" s="1" t="s">
        <v>787</v>
      </c>
    </row>
    <row r="116">
      <c r="A116" s="1" t="s">
        <v>1207</v>
      </c>
    </row>
    <row r="117">
      <c r="A117" s="1">
        <v>169.0</v>
      </c>
    </row>
    <row r="118">
      <c r="A118" s="1" t="s">
        <v>1208</v>
      </c>
    </row>
    <row r="119">
      <c r="A119" s="1" t="s">
        <v>787</v>
      </c>
    </row>
    <row r="120">
      <c r="A120" s="1" t="s">
        <v>1209</v>
      </c>
    </row>
    <row r="121">
      <c r="A121" s="1">
        <v>137.0</v>
      </c>
    </row>
    <row r="122">
      <c r="A122" s="1" t="s">
        <v>1210</v>
      </c>
    </row>
    <row r="123">
      <c r="A123" s="1" t="s">
        <v>787</v>
      </c>
    </row>
    <row r="124">
      <c r="A124" s="1" t="s">
        <v>1211</v>
      </c>
    </row>
    <row r="125">
      <c r="A125" s="1">
        <v>170.0</v>
      </c>
    </row>
    <row r="126">
      <c r="A126" s="1" t="s">
        <v>1212</v>
      </c>
    </row>
    <row r="127">
      <c r="A127" s="1" t="s">
        <v>787</v>
      </c>
    </row>
    <row r="128">
      <c r="A128" s="1" t="s">
        <v>1213</v>
      </c>
    </row>
    <row r="129">
      <c r="A129" s="1">
        <v>138.0</v>
      </c>
    </row>
    <row r="130">
      <c r="A130" s="1" t="s">
        <v>1214</v>
      </c>
    </row>
    <row r="131">
      <c r="A131" s="1" t="s">
        <v>787</v>
      </c>
    </row>
    <row r="132">
      <c r="A132" s="1" t="s">
        <v>1215</v>
      </c>
    </row>
    <row r="133">
      <c r="A133" s="1">
        <v>171.0</v>
      </c>
    </row>
    <row r="134">
      <c r="A134" s="1" t="s">
        <v>1216</v>
      </c>
    </row>
    <row r="135">
      <c r="A135" s="1" t="s">
        <v>787</v>
      </c>
    </row>
    <row r="136">
      <c r="A136" s="1" t="s">
        <v>1217</v>
      </c>
    </row>
    <row r="137">
      <c r="A137" s="1">
        <v>139.0</v>
      </c>
    </row>
    <row r="138">
      <c r="A138" s="1" t="s">
        <v>1218</v>
      </c>
    </row>
    <row r="139">
      <c r="A139" s="1" t="s">
        <v>787</v>
      </c>
    </row>
    <row r="140">
      <c r="A140" s="1" t="s">
        <v>1219</v>
      </c>
    </row>
    <row r="141">
      <c r="A141" s="1">
        <v>172.0</v>
      </c>
    </row>
    <row r="142">
      <c r="A142" s="1" t="s">
        <v>1220</v>
      </c>
    </row>
    <row r="143">
      <c r="A143" s="1" t="s">
        <v>787</v>
      </c>
    </row>
    <row r="144">
      <c r="A144" s="1" t="s">
        <v>1221</v>
      </c>
    </row>
    <row r="145">
      <c r="A145" s="1">
        <v>140.0</v>
      </c>
    </row>
    <row r="146">
      <c r="A146" s="1" t="s">
        <v>1222</v>
      </c>
    </row>
    <row r="147">
      <c r="A147" s="1" t="s">
        <v>787</v>
      </c>
    </row>
    <row r="148">
      <c r="A148" s="1" t="s">
        <v>1223</v>
      </c>
    </row>
    <row r="149">
      <c r="A149" s="1">
        <v>173.0</v>
      </c>
    </row>
    <row r="150">
      <c r="A150" s="1" t="s">
        <v>1224</v>
      </c>
    </row>
    <row r="151">
      <c r="A151" s="1" t="s">
        <v>787</v>
      </c>
    </row>
    <row r="152">
      <c r="A152" s="1" t="s">
        <v>1225</v>
      </c>
    </row>
    <row r="153">
      <c r="A153" s="1">
        <v>141.0</v>
      </c>
    </row>
    <row r="154">
      <c r="A154" s="1" t="s">
        <v>1226</v>
      </c>
    </row>
    <row r="155">
      <c r="A155" s="1" t="s">
        <v>787</v>
      </c>
    </row>
    <row r="156">
      <c r="A156" s="1" t="s">
        <v>1227</v>
      </c>
    </row>
    <row r="157">
      <c r="A157" s="1">
        <v>174.0</v>
      </c>
    </row>
    <row r="158">
      <c r="A158" s="1" t="s">
        <v>1228</v>
      </c>
    </row>
    <row r="159">
      <c r="A159" s="1" t="s">
        <v>787</v>
      </c>
    </row>
    <row r="160">
      <c r="A160" s="1" t="s">
        <v>1229</v>
      </c>
    </row>
    <row r="161">
      <c r="A161" s="1">
        <v>142.0</v>
      </c>
    </row>
    <row r="162">
      <c r="A162" s="1" t="s">
        <v>1230</v>
      </c>
    </row>
    <row r="163">
      <c r="A163" s="1" t="s">
        <v>787</v>
      </c>
    </row>
    <row r="164">
      <c r="A164" s="1" t="s">
        <v>1231</v>
      </c>
    </row>
    <row r="165">
      <c r="A165" s="1">
        <v>175.0</v>
      </c>
    </row>
    <row r="166">
      <c r="A166" s="1" t="s">
        <v>1232</v>
      </c>
    </row>
    <row r="167">
      <c r="A167" s="1" t="s">
        <v>787</v>
      </c>
    </row>
    <row r="168">
      <c r="A168" s="1" t="s">
        <v>1233</v>
      </c>
    </row>
    <row r="169">
      <c r="A169" s="1">
        <v>143.0</v>
      </c>
    </row>
    <row r="170">
      <c r="A170" s="1" t="s">
        <v>1234</v>
      </c>
    </row>
    <row r="171">
      <c r="A171" s="1" t="s">
        <v>787</v>
      </c>
    </row>
    <row r="172">
      <c r="A172" s="1" t="s">
        <v>1235</v>
      </c>
    </row>
    <row r="173">
      <c r="A173" s="1">
        <v>176.0</v>
      </c>
    </row>
    <row r="174">
      <c r="A174" s="1" t="s">
        <v>1236</v>
      </c>
    </row>
    <row r="175">
      <c r="A175" s="1" t="s">
        <v>787</v>
      </c>
    </row>
    <row r="176">
      <c r="A176" s="1" t="s">
        <v>1237</v>
      </c>
    </row>
    <row r="177">
      <c r="A177" s="1">
        <v>144.0</v>
      </c>
    </row>
    <row r="178">
      <c r="A178" s="1" t="s">
        <v>1238</v>
      </c>
    </row>
    <row r="179">
      <c r="A179" s="1" t="s">
        <v>787</v>
      </c>
    </row>
    <row r="180">
      <c r="A180" s="1" t="s">
        <v>1239</v>
      </c>
    </row>
    <row r="181">
      <c r="A181" s="1">
        <v>177.0</v>
      </c>
    </row>
    <row r="182">
      <c r="A182" s="1" t="s">
        <v>1240</v>
      </c>
    </row>
    <row r="183">
      <c r="A183" s="1" t="s">
        <v>787</v>
      </c>
    </row>
    <row r="184">
      <c r="A184" s="1" t="s">
        <v>1241</v>
      </c>
    </row>
    <row r="185">
      <c r="A185" s="1">
        <v>145.0</v>
      </c>
    </row>
    <row r="186">
      <c r="A186" s="1" t="s">
        <v>1242</v>
      </c>
    </row>
    <row r="187">
      <c r="A187" s="1" t="s">
        <v>787</v>
      </c>
    </row>
    <row r="188">
      <c r="A188" s="1" t="s">
        <v>900</v>
      </c>
    </row>
    <row r="189">
      <c r="A189" s="1">
        <v>178.0</v>
      </c>
    </row>
    <row r="190">
      <c r="A190" s="1" t="s">
        <v>1243</v>
      </c>
    </row>
    <row r="191">
      <c r="A191" s="1" t="s">
        <v>787</v>
      </c>
    </row>
    <row r="192">
      <c r="A192" s="1" t="s">
        <v>1244</v>
      </c>
    </row>
    <row r="193">
      <c r="A193" s="1">
        <v>146.0</v>
      </c>
    </row>
    <row r="194">
      <c r="A194" s="1" t="s">
        <v>1245</v>
      </c>
    </row>
    <row r="195">
      <c r="A195" s="1" t="s">
        <v>787</v>
      </c>
    </row>
    <row r="196">
      <c r="A196" s="1" t="s">
        <v>1246</v>
      </c>
    </row>
    <row r="197">
      <c r="A197" s="1">
        <v>179.0</v>
      </c>
    </row>
    <row r="198">
      <c r="A198" s="1" t="s">
        <v>1247</v>
      </c>
    </row>
    <row r="199">
      <c r="A199" s="1" t="s">
        <v>787</v>
      </c>
    </row>
    <row r="200">
      <c r="A200" s="1" t="s">
        <v>1248</v>
      </c>
    </row>
    <row r="201">
      <c r="A201" s="1">
        <v>147.0</v>
      </c>
    </row>
    <row r="202">
      <c r="A202" s="1" t="s">
        <v>1249</v>
      </c>
    </row>
    <row r="203">
      <c r="A203" s="1" t="s">
        <v>787</v>
      </c>
    </row>
    <row r="204">
      <c r="A204" s="1" t="s">
        <v>1250</v>
      </c>
    </row>
    <row r="205">
      <c r="A205" s="1">
        <v>180.0</v>
      </c>
    </row>
    <row r="206">
      <c r="A206" s="1" t="s">
        <v>1251</v>
      </c>
    </row>
    <row r="207">
      <c r="A207" s="1" t="s">
        <v>787</v>
      </c>
    </row>
    <row r="208">
      <c r="A208" s="1" t="s">
        <v>1252</v>
      </c>
    </row>
    <row r="209">
      <c r="A209" s="1">
        <v>148.0</v>
      </c>
    </row>
    <row r="210">
      <c r="A210" s="1" t="s">
        <v>1253</v>
      </c>
    </row>
    <row r="211">
      <c r="A211" s="1" t="s">
        <v>787</v>
      </c>
    </row>
    <row r="212">
      <c r="A212" s="1" t="s">
        <v>1254</v>
      </c>
    </row>
    <row r="213">
      <c r="A213" s="1">
        <v>181.0</v>
      </c>
    </row>
    <row r="214">
      <c r="A214" s="1" t="s">
        <v>1255</v>
      </c>
    </row>
    <row r="215">
      <c r="A215" s="1" t="s">
        <v>891</v>
      </c>
    </row>
    <row r="216">
      <c r="A216" s="1" t="s">
        <v>1256</v>
      </c>
    </row>
    <row r="217">
      <c r="A217" s="1">
        <v>149.0</v>
      </c>
    </row>
    <row r="218">
      <c r="A218" s="1" t="s">
        <v>1257</v>
      </c>
    </row>
    <row r="219">
      <c r="A219" s="1" t="s">
        <v>787</v>
      </c>
    </row>
    <row r="220">
      <c r="A220" s="1" t="s">
        <v>1258</v>
      </c>
    </row>
    <row r="221">
      <c r="A221" s="1">
        <v>182.0</v>
      </c>
    </row>
    <row r="222">
      <c r="A222" s="1" t="s">
        <v>1259</v>
      </c>
    </row>
    <row r="223">
      <c r="A223" s="1" t="s">
        <v>891</v>
      </c>
    </row>
    <row r="224">
      <c r="A224" s="1" t="s">
        <v>1260</v>
      </c>
    </row>
    <row r="225">
      <c r="A225" s="1">
        <v>150.0</v>
      </c>
    </row>
    <row r="226">
      <c r="A226" s="1" t="s">
        <v>1261</v>
      </c>
    </row>
    <row r="227">
      <c r="A227" s="1" t="s">
        <v>787</v>
      </c>
    </row>
    <row r="228">
      <c r="A228" s="1" t="s">
        <v>1262</v>
      </c>
    </row>
    <row r="229">
      <c r="A229" s="1">
        <v>183.0</v>
      </c>
    </row>
    <row r="230">
      <c r="A230" s="1" t="s">
        <v>1263</v>
      </c>
    </row>
    <row r="231">
      <c r="A231" s="1" t="s">
        <v>891</v>
      </c>
    </row>
    <row r="232">
      <c r="A232" s="1" t="s">
        <v>1264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IFERROR(__xludf.DUMMYFUNCTION("FILTER(IESE2024rawb!A:A, MOD(ROW(IESE2024rawb!A:A)-1, 4) = 0)"),"Ranking")</f>
        <v>Ranking</v>
      </c>
      <c r="B1" s="6" t="str">
        <f>IFERROR(__xludf.DUMMYFUNCTION("FILTER(IESE2024rawb!A:A, MOD(ROW(IESE2024rawb!A:A)-2, 4) = 0)"),"City")</f>
        <v>City</v>
      </c>
      <c r="C1" s="6" t="str">
        <f>IFERROR(__xludf.DUMMYFUNCTION("FILTER(IESE2024rawb!A:A, MOD(ROW(IESE2024rawb!A:A)-3, 4) = 0)"),"Performance")</f>
        <v>Performance</v>
      </c>
      <c r="D1" s="6" t="str">
        <f>IFERROR(__xludf.DUMMYFUNCTION("FILTER(IESE2024rawb!A:A, MOD(ROW(IESE2024rawb!A:A), 4) = 0)"),"ICIM")</f>
        <v>ICIM</v>
      </c>
    </row>
    <row r="2">
      <c r="A2" s="2" t="str">
        <f>IFERROR(__xludf.DUMMYFUNCTION("""COMPUTED_VALUE"""),"Ranking")</f>
        <v>Ranking</v>
      </c>
      <c r="B2" s="2" t="str">
        <f>IFERROR(__xludf.DUMMYFUNCTION("""COMPUTED_VALUE"""),"City")</f>
        <v>City</v>
      </c>
      <c r="C2" s="2" t="str">
        <f>IFERROR(__xludf.DUMMYFUNCTION("""COMPUTED_VALUE"""),"Performance")</f>
        <v>Performance</v>
      </c>
      <c r="D2" s="2" t="str">
        <f>IFERROR(__xludf.DUMMYFUNCTION("""COMPUTED_VALUE"""),"ICIM")</f>
        <v>ICIM</v>
      </c>
    </row>
    <row r="3">
      <c r="A3" s="2">
        <f>IFERROR(__xludf.DUMMYFUNCTION("""COMPUTED_VALUE"""),123.0)</f>
        <v>123</v>
      </c>
      <c r="B3" s="2" t="str">
        <f>IFERROR(__xludf.DUMMYFUNCTION("""COMPUTED_VALUE"""),"Naples ‐ Italy")</f>
        <v>Naples ‐ Italy</v>
      </c>
      <c r="C3" s="2" t="str">
        <f>IFERROR(__xludf.DUMMYFUNCTION("""COMPUTED_VALUE"""),"B")</f>
        <v>B</v>
      </c>
      <c r="D3" s="2" t="str">
        <f>IFERROR(__xludf.DUMMYFUNCTION("""COMPUTED_VALUE"""),"40,00")</f>
        <v>40,00</v>
      </c>
    </row>
    <row r="4">
      <c r="A4" s="2">
        <f>IFERROR(__xludf.DUMMYFUNCTION("""COMPUTED_VALUE"""),156.0)</f>
        <v>156</v>
      </c>
      <c r="B4" s="2" t="str">
        <f>IFERROR(__xludf.DUMMYFUNCTION("""COMPUTED_VALUE"""),"Brasilia ‐ Brazil")</f>
        <v>Brasilia ‐ Brazil</v>
      </c>
      <c r="C4" s="2" t="str">
        <f>IFERROR(__xludf.DUMMYFUNCTION("""COMPUTED_VALUE"""),"B")</f>
        <v>B</v>
      </c>
      <c r="D4" s="2" t="str">
        <f>IFERROR(__xludf.DUMMYFUNCTION("""COMPUTED_VALUE"""),"27,47")</f>
        <v>27,47</v>
      </c>
    </row>
    <row r="5">
      <c r="A5" s="2">
        <f>IFERROR(__xludf.DUMMYFUNCTION("""COMPUTED_VALUE"""),124.0)</f>
        <v>124</v>
      </c>
      <c r="B5" s="2" t="str">
        <f>IFERROR(__xludf.DUMMYFUNCTION("""COMPUTED_VALUE"""),"Ankara ‐ Turkey")</f>
        <v>Ankara ‐ Turkey</v>
      </c>
      <c r="C5" s="2" t="str">
        <f>IFERROR(__xludf.DUMMYFUNCTION("""COMPUTED_VALUE"""),"B")</f>
        <v>B</v>
      </c>
      <c r="D5" s="2" t="str">
        <f>IFERROR(__xludf.DUMMYFUNCTION("""COMPUTED_VALUE"""),"39,16")</f>
        <v>39,16</v>
      </c>
    </row>
    <row r="6">
      <c r="A6" s="2">
        <f>IFERROR(__xludf.DUMMYFUNCTION("""COMPUTED_VALUE"""),157.0)</f>
        <v>157</v>
      </c>
      <c r="B6" s="2" t="str">
        <f>IFERROR(__xludf.DUMMYFUNCTION("""COMPUTED_VALUE"""),"Quito ‐ Ecuador")</f>
        <v>Quito ‐ Ecuador</v>
      </c>
      <c r="C6" s="2" t="str">
        <f>IFERROR(__xludf.DUMMYFUNCTION("""COMPUTED_VALUE"""),"B")</f>
        <v>B</v>
      </c>
      <c r="D6" s="2" t="str">
        <f>IFERROR(__xludf.DUMMYFUNCTION("""COMPUTED_VALUE"""),"27,02")</f>
        <v>27,02</v>
      </c>
    </row>
    <row r="7">
      <c r="A7" s="2">
        <f>IFERROR(__xludf.DUMMYFUNCTION("""COMPUTED_VALUE"""),125.0)</f>
        <v>125</v>
      </c>
      <c r="B7" s="2" t="str">
        <f>IFERROR(__xludf.DUMMYFUNCTION("""COMPUTED_VALUE"""),"Saint Petersburg ‐ Russia")</f>
        <v>Saint Petersburg ‐ Russia</v>
      </c>
      <c r="C7" s="2" t="str">
        <f>IFERROR(__xludf.DUMMYFUNCTION("""COMPUTED_VALUE"""),"B")</f>
        <v>B</v>
      </c>
      <c r="D7" s="2" t="str">
        <f>IFERROR(__xludf.DUMMYFUNCTION("""COMPUTED_VALUE"""),"39,11")</f>
        <v>39,11</v>
      </c>
    </row>
    <row r="8">
      <c r="A8" s="2">
        <f>IFERROR(__xludf.DUMMYFUNCTION("""COMPUTED_VALUE"""),158.0)</f>
        <v>158</v>
      </c>
      <c r="B8" s="2" t="str">
        <f>IFERROR(__xludf.DUMMYFUNCTION("""COMPUTED_VALUE"""),"Johannesburg ‐ South Africa")</f>
        <v>Johannesburg ‐ South Africa</v>
      </c>
      <c r="C8" s="2" t="str">
        <f>IFERROR(__xludf.DUMMYFUNCTION("""COMPUTED_VALUE"""),"B")</f>
        <v>B</v>
      </c>
      <c r="D8" s="2" t="str">
        <f>IFERROR(__xludf.DUMMYFUNCTION("""COMPUTED_VALUE"""),"26,67")</f>
        <v>26,67</v>
      </c>
    </row>
    <row r="9">
      <c r="A9" s="2">
        <f>IFERROR(__xludf.DUMMYFUNCTION("""COMPUTED_VALUE"""),126.0)</f>
        <v>126</v>
      </c>
      <c r="B9" s="2" t="str">
        <f>IFERROR(__xludf.DUMMYFUNCTION("""COMPUTED_VALUE"""),"Tbilisi ‐ Georgia")</f>
        <v>Tbilisi ‐ Georgia</v>
      </c>
      <c r="C9" s="2" t="str">
        <f>IFERROR(__xludf.DUMMYFUNCTION("""COMPUTED_VALUE"""),"B")</f>
        <v>B</v>
      </c>
      <c r="D9" s="2" t="str">
        <f>IFERROR(__xludf.DUMMYFUNCTION("""COMPUTED_VALUE"""),"39,01")</f>
        <v>39,01</v>
      </c>
    </row>
    <row r="10">
      <c r="A10" s="2">
        <f>IFERROR(__xludf.DUMMYFUNCTION("""COMPUTED_VALUE"""),159.0)</f>
        <v>159</v>
      </c>
      <c r="B10" s="2" t="str">
        <f>IFERROR(__xludf.DUMMYFUNCTION("""COMPUTED_VALUE"""),"Sarajevo ‐ Bosnia‐Herzegovina")</f>
        <v>Sarajevo ‐ Bosnia‐Herzegovina</v>
      </c>
      <c r="C10" s="2" t="str">
        <f>IFERROR(__xludf.DUMMYFUNCTION("""COMPUTED_VALUE"""),"B")</f>
        <v>B</v>
      </c>
      <c r="D10" s="2" t="str">
        <f>IFERROR(__xludf.DUMMYFUNCTION("""COMPUTED_VALUE"""),"25,73")</f>
        <v>25,73</v>
      </c>
    </row>
    <row r="11">
      <c r="A11" s="2">
        <f>IFERROR(__xludf.DUMMYFUNCTION("""COMPUTED_VALUE"""),127.0)</f>
        <v>127</v>
      </c>
      <c r="B11" s="2" t="str">
        <f>IFERROR(__xludf.DUMMYFUNCTION("""COMPUTED_VALUE"""),"Panama ‐ Panama")</f>
        <v>Panama ‐ Panama</v>
      </c>
      <c r="C11" s="2" t="str">
        <f>IFERROR(__xludf.DUMMYFUNCTION("""COMPUTED_VALUE"""),"B")</f>
        <v>B</v>
      </c>
      <c r="D11" s="2" t="str">
        <f>IFERROR(__xludf.DUMMYFUNCTION("""COMPUTED_VALUE"""),"38,31")</f>
        <v>38,31</v>
      </c>
    </row>
    <row r="12">
      <c r="A12" s="2">
        <f>IFERROR(__xludf.DUMMYFUNCTION("""COMPUTED_VALUE"""),160.0)</f>
        <v>160</v>
      </c>
      <c r="B12" s="2" t="str">
        <f>IFERROR(__xludf.DUMMYFUNCTION("""COMPUTED_VALUE"""),"San Jose ‐ Costa Rica")</f>
        <v>San Jose ‐ Costa Rica</v>
      </c>
      <c r="C12" s="2" t="str">
        <f>IFERROR(__xludf.DUMMYFUNCTION("""COMPUTED_VALUE"""),"B")</f>
        <v>B</v>
      </c>
      <c r="D12" s="2" t="str">
        <f>IFERROR(__xludf.DUMMYFUNCTION("""COMPUTED_VALUE"""),"25,47")</f>
        <v>25,47</v>
      </c>
    </row>
    <row r="13">
      <c r="A13" s="2">
        <f>IFERROR(__xludf.DUMMYFUNCTION("""COMPUTED_VALUE"""),128.0)</f>
        <v>128</v>
      </c>
      <c r="B13" s="2" t="str">
        <f>IFERROR(__xludf.DUMMYFUNCTION("""COMPUTED_VALUE"""),"São Paulo ‐ Brazil")</f>
        <v>São Paulo ‐ Brazil</v>
      </c>
      <c r="C13" s="2" t="str">
        <f>IFERROR(__xludf.DUMMYFUNCTION("""COMPUTED_VALUE"""),"B")</f>
        <v>B</v>
      </c>
      <c r="D13" s="2" t="str">
        <f>IFERROR(__xludf.DUMMYFUNCTION("""COMPUTED_VALUE"""),"37,81")</f>
        <v>37,81</v>
      </c>
    </row>
    <row r="14">
      <c r="A14" s="2">
        <f>IFERROR(__xludf.DUMMYFUNCTION("""COMPUTED_VALUE"""),161.0)</f>
        <v>161</v>
      </c>
      <c r="B14" s="2" t="str">
        <f>IFERROR(__xludf.DUMMYFUNCTION("""COMPUTED_VALUE"""),"Belo Horizonte ‐ Brazil")</f>
        <v>Belo Horizonte ‐ Brazil</v>
      </c>
      <c r="C14" s="2" t="str">
        <f>IFERROR(__xludf.DUMMYFUNCTION("""COMPUTED_VALUE"""),"B")</f>
        <v>B</v>
      </c>
      <c r="D14" s="2" t="str">
        <f>IFERROR(__xludf.DUMMYFUNCTION("""COMPUTED_VALUE"""),"25,16")</f>
        <v>25,16</v>
      </c>
    </row>
    <row r="15">
      <c r="A15" s="2">
        <f>IFERROR(__xludf.DUMMYFUNCTION("""COMPUTED_VALUE"""),129.0)</f>
        <v>129</v>
      </c>
      <c r="B15" s="2" t="str">
        <f>IFERROR(__xludf.DUMMYFUNCTION("""COMPUTED_VALUE"""),"Belgrade ‐ Serbia")</f>
        <v>Belgrade ‐ Serbia</v>
      </c>
      <c r="C15" s="2" t="str">
        <f>IFERROR(__xludf.DUMMYFUNCTION("""COMPUTED_VALUE"""),"B")</f>
        <v>B</v>
      </c>
      <c r="D15" s="2" t="str">
        <f>IFERROR(__xludf.DUMMYFUNCTION("""COMPUTED_VALUE"""),"37,66")</f>
        <v>37,66</v>
      </c>
    </row>
    <row r="16">
      <c r="A16" s="2">
        <f>IFERROR(__xludf.DUMMYFUNCTION("""COMPUTED_VALUE"""),162.0)</f>
        <v>162</v>
      </c>
      <c r="B16" s="2" t="str">
        <f>IFERROR(__xludf.DUMMYFUNCTION("""COMPUTED_VALUE"""),"Cairo ‐ Egypt")</f>
        <v>Cairo ‐ Egypt</v>
      </c>
      <c r="C16" s="2" t="str">
        <f>IFERROR(__xludf.DUMMYFUNCTION("""COMPUTED_VALUE"""),"B")</f>
        <v>B</v>
      </c>
      <c r="D16" s="2" t="str">
        <f>IFERROR(__xludf.DUMMYFUNCTION("""COMPUTED_VALUE"""),"24,19")</f>
        <v>24,19</v>
      </c>
    </row>
    <row r="17">
      <c r="A17" s="2">
        <f>IFERROR(__xludf.DUMMYFUNCTION("""COMPUTED_VALUE"""),130.0)</f>
        <v>130</v>
      </c>
      <c r="B17" s="2" t="str">
        <f>IFERROR(__xludf.DUMMYFUNCTION("""COMPUTED_VALUE"""),"Ho Chi Minh City ‐ Vietnam")</f>
        <v>Ho Chi Minh City ‐ Vietnam</v>
      </c>
      <c r="C17" s="2" t="str">
        <f>IFERROR(__xludf.DUMMYFUNCTION("""COMPUTED_VALUE"""),"B")</f>
        <v>B</v>
      </c>
      <c r="D17" s="2" t="str">
        <f>IFERROR(__xludf.DUMMYFUNCTION("""COMPUTED_VALUE"""),"36,58")</f>
        <v>36,58</v>
      </c>
    </row>
    <row r="18">
      <c r="A18" s="2">
        <f>IFERROR(__xludf.DUMMYFUNCTION("""COMPUTED_VALUE"""),163.0)</f>
        <v>163</v>
      </c>
      <c r="B18" s="2" t="str">
        <f>IFERROR(__xludf.DUMMYFUNCTION("""COMPUTED_VALUE"""),"Santo Domingo ‐ Dominican Republi")</f>
        <v>Santo Domingo ‐ Dominican Republi</v>
      </c>
      <c r="C18" s="2" t="str">
        <f>IFERROR(__xludf.DUMMYFUNCTION("""COMPUTED_VALUE"""),"B")</f>
        <v>B</v>
      </c>
      <c r="D18" s="2" t="str">
        <f>IFERROR(__xludf.DUMMYFUNCTION("""COMPUTED_VALUE"""),"23,90")</f>
        <v>23,90</v>
      </c>
    </row>
    <row r="19">
      <c r="A19" s="2">
        <f>IFERROR(__xludf.DUMMYFUNCTION("""COMPUTED_VALUE"""),131.0)</f>
        <v>131</v>
      </c>
      <c r="B19" s="2" t="str">
        <f>IFERROR(__xludf.DUMMYFUNCTION("""COMPUTED_VALUE"""),"Bogota ‐ Colombia")</f>
        <v>Bogota ‐ Colombia</v>
      </c>
      <c r="C19" s="2" t="str">
        <f>IFERROR(__xludf.DUMMYFUNCTION("""COMPUTED_VALUE"""),"B")</f>
        <v>B</v>
      </c>
      <c r="D19" s="2" t="str">
        <f>IFERROR(__xludf.DUMMYFUNCTION("""COMPUTED_VALUE"""),"35,62")</f>
        <v>35,62</v>
      </c>
    </row>
    <row r="20">
      <c r="A20" s="2">
        <f>IFERROR(__xludf.DUMMYFUNCTION("""COMPUTED_VALUE"""),164.0)</f>
        <v>164</v>
      </c>
      <c r="B20" s="2" t="str">
        <f>IFERROR(__xludf.DUMMYFUNCTION("""COMPUTED_VALUE"""),"Salvador ‐ Brazil")</f>
        <v>Salvador ‐ Brazil</v>
      </c>
      <c r="C20" s="2" t="str">
        <f>IFERROR(__xludf.DUMMYFUNCTION("""COMPUTED_VALUE"""),"B")</f>
        <v>B</v>
      </c>
      <c r="D20" s="2" t="str">
        <f>IFERROR(__xludf.DUMMYFUNCTION("""COMPUTED_VALUE"""),"23,89")</f>
        <v>23,89</v>
      </c>
    </row>
    <row r="21">
      <c r="A21" s="2">
        <f>IFERROR(__xludf.DUMMYFUNCTION("""COMPUTED_VALUE"""),132.0)</f>
        <v>132</v>
      </c>
      <c r="B21" s="2" t="str">
        <f>IFERROR(__xludf.DUMMYFUNCTION("""COMPUTED_VALUE"""),"Minsk ‐ Belarus")</f>
        <v>Minsk ‐ Belarus</v>
      </c>
      <c r="C21" s="2" t="str">
        <f>IFERROR(__xludf.DUMMYFUNCTION("""COMPUTED_VALUE"""),"B")</f>
        <v>B</v>
      </c>
      <c r="D21" s="2" t="str">
        <f>IFERROR(__xludf.DUMMYFUNCTION("""COMPUTED_VALUE"""),"35,19")</f>
        <v>35,19</v>
      </c>
    </row>
    <row r="22">
      <c r="A22" s="2">
        <f>IFERROR(__xludf.DUMMYFUNCTION("""COMPUTED_VALUE"""),165.0)</f>
        <v>165</v>
      </c>
      <c r="B22" s="2" t="str">
        <f>IFERROR(__xludf.DUMMYFUNCTION("""COMPUTED_VALUE"""),"San Salvador ‐ El Salvador")</f>
        <v>San Salvador ‐ El Salvador</v>
      </c>
      <c r="C22" s="2" t="str">
        <f>IFERROR(__xludf.DUMMYFUNCTION("""COMPUTED_VALUE"""),"B")</f>
        <v>B</v>
      </c>
      <c r="D22" s="2" t="str">
        <f>IFERROR(__xludf.DUMMYFUNCTION("""COMPUTED_VALUE"""),"23,52")</f>
        <v>23,52</v>
      </c>
    </row>
    <row r="23">
      <c r="A23" s="2">
        <f>IFERROR(__xludf.DUMMYFUNCTION("""COMPUTED_VALUE"""),133.0)</f>
        <v>133</v>
      </c>
      <c r="B23" s="2" t="str">
        <f>IFERROR(__xludf.DUMMYFUNCTION("""COMPUTED_VALUE"""),"Riyadh ‐ Saudi Arabia")</f>
        <v>Riyadh ‐ Saudi Arabia</v>
      </c>
      <c r="C23" s="2" t="str">
        <f>IFERROR(__xludf.DUMMYFUNCTION("""COMPUTED_VALUE"""),"B")</f>
        <v>B</v>
      </c>
      <c r="D23" s="2" t="str">
        <f>IFERROR(__xludf.DUMMYFUNCTION("""COMPUTED_VALUE"""),"34,74")</f>
        <v>34,74</v>
      </c>
    </row>
    <row r="24">
      <c r="A24" s="2">
        <f>IFERROR(__xludf.DUMMYFUNCTION("""COMPUTED_VALUE"""),166.0)</f>
        <v>166</v>
      </c>
      <c r="B24" s="2" t="str">
        <f>IFERROR(__xludf.DUMMYFUNCTION("""COMPUTED_VALUE"""),"Asuncion ‐ Paraguay")</f>
        <v>Asuncion ‐ Paraguay</v>
      </c>
      <c r="C24" s="2" t="str">
        <f>IFERROR(__xludf.DUMMYFUNCTION("""COMPUTED_VALUE"""),"B")</f>
        <v>B</v>
      </c>
      <c r="D24" s="2" t="str">
        <f>IFERROR(__xludf.DUMMYFUNCTION("""COMPUTED_VALUE"""),"23,26")</f>
        <v>23,26</v>
      </c>
    </row>
    <row r="25">
      <c r="A25" s="2">
        <f>IFERROR(__xludf.DUMMYFUNCTION("""COMPUTED_VALUE"""),134.0)</f>
        <v>134</v>
      </c>
      <c r="B25" s="2" t="str">
        <f>IFERROR(__xludf.DUMMYFUNCTION("""COMPUTED_VALUE"""),"Rio de Janeiro ‐ Brazil")</f>
        <v>Rio de Janeiro ‐ Brazil</v>
      </c>
      <c r="C25" s="2" t="str">
        <f>IFERROR(__xludf.DUMMYFUNCTION("""COMPUTED_VALUE"""),"B")</f>
        <v>B</v>
      </c>
      <c r="D25" s="2" t="str">
        <f>IFERROR(__xludf.DUMMYFUNCTION("""COMPUTED_VALUE"""),"33,82")</f>
        <v>33,82</v>
      </c>
    </row>
    <row r="26">
      <c r="A26" s="2">
        <f>IFERROR(__xludf.DUMMYFUNCTION("""COMPUTED_VALUE"""),167.0)</f>
        <v>167</v>
      </c>
      <c r="B26" s="2" t="str">
        <f>IFERROR(__xludf.DUMMYFUNCTION("""COMPUTED_VALUE"""),"Casablanca ‐ Morocco")</f>
        <v>Casablanca ‐ Morocco</v>
      </c>
      <c r="C26" s="2" t="str">
        <f>IFERROR(__xludf.DUMMYFUNCTION("""COMPUTED_VALUE"""),"B")</f>
        <v>B</v>
      </c>
      <c r="D26" s="2" t="str">
        <f>IFERROR(__xludf.DUMMYFUNCTION("""COMPUTED_VALUE"""),"23,05")</f>
        <v>23,05</v>
      </c>
    </row>
    <row r="27">
      <c r="A27" s="2">
        <f>IFERROR(__xludf.DUMMYFUNCTION("""COMPUTED_VALUE"""),135.0)</f>
        <v>135</v>
      </c>
      <c r="B27" s="2" t="str">
        <f>IFERROR(__xludf.DUMMYFUNCTION("""COMPUTED_VALUE"""),"Jakarta ‐ Indonesia")</f>
        <v>Jakarta ‐ Indonesia</v>
      </c>
      <c r="C27" s="2" t="str">
        <f>IFERROR(__xludf.DUMMYFUNCTION("""COMPUTED_VALUE"""),"B")</f>
        <v>B</v>
      </c>
      <c r="D27" s="2" t="str">
        <f>IFERROR(__xludf.DUMMYFUNCTION("""COMPUTED_VALUE"""),"33,37")</f>
        <v>33,37</v>
      </c>
    </row>
    <row r="28">
      <c r="A28" s="2">
        <f>IFERROR(__xludf.DUMMYFUNCTION("""COMPUTED_VALUE"""),168.0)</f>
        <v>168</v>
      </c>
      <c r="B28" s="2" t="str">
        <f>IFERROR(__xludf.DUMMYFUNCTION("""COMPUTED_VALUE"""),"Tehran ‐ Iran")</f>
        <v>Tehran ‐ Iran</v>
      </c>
      <c r="C28" s="2" t="str">
        <f>IFERROR(__xludf.DUMMYFUNCTION("""COMPUTED_VALUE"""),"B")</f>
        <v>B</v>
      </c>
      <c r="D28" s="2" t="str">
        <f>IFERROR(__xludf.DUMMYFUNCTION("""COMPUTED_VALUE"""),"23,02")</f>
        <v>23,02</v>
      </c>
    </row>
    <row r="29">
      <c r="A29" s="2">
        <f>IFERROR(__xludf.DUMMYFUNCTION("""COMPUTED_VALUE"""),136.0)</f>
        <v>136</v>
      </c>
      <c r="B29" s="2" t="str">
        <f>IFERROR(__xludf.DUMMYFUNCTION("""COMPUTED_VALUE"""),"Almaty ‐ Kazakhstan")</f>
        <v>Almaty ‐ Kazakhstan</v>
      </c>
      <c r="C29" s="2" t="str">
        <f>IFERROR(__xludf.DUMMYFUNCTION("""COMPUTED_VALUE"""),"B")</f>
        <v>B</v>
      </c>
      <c r="D29" s="2" t="str">
        <f>IFERROR(__xludf.DUMMYFUNCTION("""COMPUTED_VALUE"""),"33,31")</f>
        <v>33,31</v>
      </c>
    </row>
    <row r="30">
      <c r="A30" s="2">
        <f>IFERROR(__xludf.DUMMYFUNCTION("""COMPUTED_VALUE"""),169.0)</f>
        <v>169</v>
      </c>
      <c r="B30" s="2" t="str">
        <f>IFERROR(__xludf.DUMMYFUNCTION("""COMPUTED_VALUE"""),"Guayaquil ‐ Ecuador")</f>
        <v>Guayaquil ‐ Ecuador</v>
      </c>
      <c r="C30" s="2" t="str">
        <f>IFERROR(__xludf.DUMMYFUNCTION("""COMPUTED_VALUE"""),"B")</f>
        <v>B</v>
      </c>
      <c r="D30" s="2" t="str">
        <f>IFERROR(__xludf.DUMMYFUNCTION("""COMPUTED_VALUE"""),"22,61")</f>
        <v>22,61</v>
      </c>
    </row>
    <row r="31">
      <c r="A31" s="2">
        <f>IFERROR(__xludf.DUMMYFUNCTION("""COMPUTED_VALUE"""),137.0)</f>
        <v>137</v>
      </c>
      <c r="B31" s="2" t="str">
        <f>IFERROR(__xludf.DUMMYFUNCTION("""COMPUTED_VALUE"""),"Medellin ‐ Colombia")</f>
        <v>Medellin ‐ Colombia</v>
      </c>
      <c r="C31" s="2" t="str">
        <f>IFERROR(__xludf.DUMMYFUNCTION("""COMPUTED_VALUE"""),"B")</f>
        <v>B</v>
      </c>
      <c r="D31" s="2" t="str">
        <f>IFERROR(__xludf.DUMMYFUNCTION("""COMPUTED_VALUE"""),"33,21")</f>
        <v>33,21</v>
      </c>
    </row>
    <row r="32">
      <c r="A32" s="2">
        <f>IFERROR(__xludf.DUMMYFUNCTION("""COMPUTED_VALUE"""),170.0)</f>
        <v>170</v>
      </c>
      <c r="B32" s="2" t="str">
        <f>IFERROR(__xludf.DUMMYFUNCTION("""COMPUTED_VALUE"""),"La Paz ‐ Bolivia")</f>
        <v>La Paz ‐ Bolivia</v>
      </c>
      <c r="C32" s="2" t="str">
        <f>IFERROR(__xludf.DUMMYFUNCTION("""COMPUTED_VALUE"""),"B")</f>
        <v>B</v>
      </c>
      <c r="D32" s="2" t="str">
        <f>IFERROR(__xludf.DUMMYFUNCTION("""COMPUTED_VALUE"""),"22,12")</f>
        <v>22,12</v>
      </c>
    </row>
    <row r="33">
      <c r="A33" s="2">
        <f>IFERROR(__xludf.DUMMYFUNCTION("""COMPUTED_VALUE"""),138.0)</f>
        <v>138</v>
      </c>
      <c r="B33" s="2" t="str">
        <f>IFERROR(__xludf.DUMMYFUNCTION("""COMPUTED_VALUE"""),"Kuwait City ‐ Kuwait")</f>
        <v>Kuwait City ‐ Kuwait</v>
      </c>
      <c r="C33" s="2" t="str">
        <f>IFERROR(__xludf.DUMMYFUNCTION("""COMPUTED_VALUE"""),"B")</f>
        <v>B</v>
      </c>
      <c r="D33" s="2" t="str">
        <f>IFERROR(__xludf.DUMMYFUNCTION("""COMPUTED_VALUE"""),"32,93")</f>
        <v>32,93</v>
      </c>
    </row>
    <row r="34">
      <c r="A34" s="2">
        <f>IFERROR(__xludf.DUMMYFUNCTION("""COMPUTED_VALUE"""),171.0)</f>
        <v>171</v>
      </c>
      <c r="B34" s="2" t="str">
        <f>IFERROR(__xludf.DUMMYFUNCTION("""COMPUTED_VALUE"""),"Rabat ‐ Morocco")</f>
        <v>Rabat ‐ Morocco</v>
      </c>
      <c r="C34" s="2" t="str">
        <f>IFERROR(__xludf.DUMMYFUNCTION("""COMPUTED_VALUE"""),"B")</f>
        <v>B</v>
      </c>
      <c r="D34" s="2" t="str">
        <f>IFERROR(__xludf.DUMMYFUNCTION("""COMPUTED_VALUE"""),"22,09")</f>
        <v>22,09</v>
      </c>
    </row>
    <row r="35">
      <c r="A35" s="2">
        <f>IFERROR(__xludf.DUMMYFUNCTION("""COMPUTED_VALUE"""),139.0)</f>
        <v>139</v>
      </c>
      <c r="B35" s="2" t="str">
        <f>IFERROR(__xludf.DUMMYFUNCTION("""COMPUTED_VALUE"""),"Rosario ‐ Argentina")</f>
        <v>Rosario ‐ Argentina</v>
      </c>
      <c r="C35" s="2" t="str">
        <f>IFERROR(__xludf.DUMMYFUNCTION("""COMPUTED_VALUE"""),"B")</f>
        <v>B</v>
      </c>
      <c r="D35" s="2" t="str">
        <f>IFERROR(__xludf.DUMMYFUNCTION("""COMPUTED_VALUE"""),"32,47")</f>
        <v>32,47</v>
      </c>
    </row>
    <row r="36">
      <c r="A36" s="2">
        <f>IFERROR(__xludf.DUMMYFUNCTION("""COMPUTED_VALUE"""),172.0)</f>
        <v>172</v>
      </c>
      <c r="B36" s="2" t="str">
        <f>IFERROR(__xludf.DUMMYFUNCTION("""COMPUTED_VALUE"""),"Santa Cruz ‐ Bolivia")</f>
        <v>Santa Cruz ‐ Bolivia</v>
      </c>
      <c r="C36" s="2" t="str">
        <f>IFERROR(__xludf.DUMMYFUNCTION("""COMPUTED_VALUE"""),"B")</f>
        <v>B</v>
      </c>
      <c r="D36" s="2" t="str">
        <f>IFERROR(__xludf.DUMMYFUNCTION("""COMPUTED_VALUE"""),"22,04")</f>
        <v>22,04</v>
      </c>
    </row>
    <row r="37">
      <c r="A37" s="2">
        <f>IFERROR(__xludf.DUMMYFUNCTION("""COMPUTED_VALUE"""),140.0)</f>
        <v>140</v>
      </c>
      <c r="B37" s="2" t="str">
        <f>IFERROR(__xludf.DUMMYFUNCTION("""COMPUTED_VALUE"""),"Baku ‐ Azerbaijan")</f>
        <v>Baku ‐ Azerbaijan</v>
      </c>
      <c r="C37" s="2" t="str">
        <f>IFERROR(__xludf.DUMMYFUNCTION("""COMPUTED_VALUE"""),"B")</f>
        <v>B</v>
      </c>
      <c r="D37" s="2" t="str">
        <f>IFERROR(__xludf.DUMMYFUNCTION("""COMPUTED_VALUE"""),"31,92")</f>
        <v>31,92</v>
      </c>
    </row>
    <row r="38">
      <c r="A38" s="2">
        <f>IFERROR(__xludf.DUMMYFUNCTION("""COMPUTED_VALUE"""),173.0)</f>
        <v>173</v>
      </c>
      <c r="B38" s="2" t="str">
        <f>IFERROR(__xludf.DUMMYFUNCTION("""COMPUTED_VALUE"""),"Nairobi ‐ Kenya")</f>
        <v>Nairobi ‐ Kenya</v>
      </c>
      <c r="C38" s="2" t="str">
        <f>IFERROR(__xludf.DUMMYFUNCTION("""COMPUTED_VALUE"""),"B")</f>
        <v>B</v>
      </c>
      <c r="D38" s="2" t="str">
        <f>IFERROR(__xludf.DUMMYFUNCTION("""COMPUTED_VALUE"""),"22,01")</f>
        <v>22,01</v>
      </c>
    </row>
    <row r="39">
      <c r="A39" s="2">
        <f>IFERROR(__xludf.DUMMYFUNCTION("""COMPUTED_VALUE"""),141.0)</f>
        <v>141</v>
      </c>
      <c r="B39" s="2" t="str">
        <f>IFERROR(__xludf.DUMMYFUNCTION("""COMPUTED_VALUE"""),"Cape Town ‐ South Africa")</f>
        <v>Cape Town ‐ South Africa</v>
      </c>
      <c r="C39" s="2" t="str">
        <f>IFERROR(__xludf.DUMMYFUNCTION("""COMPUTED_VALUE"""),"B")</f>
        <v>B</v>
      </c>
      <c r="D39" s="2" t="str">
        <f>IFERROR(__xludf.DUMMYFUNCTION("""COMPUTED_VALUE"""),"31,12")</f>
        <v>31,12</v>
      </c>
    </row>
    <row r="40">
      <c r="A40" s="2">
        <f>IFERROR(__xludf.DUMMYFUNCTION("""COMPUTED_VALUE"""),174.0)</f>
        <v>174</v>
      </c>
      <c r="B40" s="2" t="str">
        <f>IFERROR(__xludf.DUMMYFUNCTION("""COMPUTED_VALUE"""),"Kolkata ‐ India")</f>
        <v>Kolkata ‐ India</v>
      </c>
      <c r="C40" s="2" t="str">
        <f>IFERROR(__xludf.DUMMYFUNCTION("""COMPUTED_VALUE"""),"B")</f>
        <v>B</v>
      </c>
      <c r="D40" s="2" t="str">
        <f>IFERROR(__xludf.DUMMYFUNCTION("""COMPUTED_VALUE"""),"21,13")</f>
        <v>21,13</v>
      </c>
    </row>
    <row r="41">
      <c r="A41" s="2">
        <f>IFERROR(__xludf.DUMMYFUNCTION("""COMPUTED_VALUE"""),142.0)</f>
        <v>142</v>
      </c>
      <c r="B41" s="2" t="str">
        <f>IFERROR(__xludf.DUMMYFUNCTION("""COMPUTED_VALUE"""),"Manama ‐ Bahrain")</f>
        <v>Manama ‐ Bahrain</v>
      </c>
      <c r="C41" s="2" t="str">
        <f>IFERROR(__xludf.DUMMYFUNCTION("""COMPUTED_VALUE"""),"B")</f>
        <v>B</v>
      </c>
      <c r="D41" s="2" t="str">
        <f>IFERROR(__xludf.DUMMYFUNCTION("""COMPUTED_VALUE"""),"31,00")</f>
        <v>31,00</v>
      </c>
    </row>
    <row r="42">
      <c r="A42" s="2">
        <f>IFERROR(__xludf.DUMMYFUNCTION("""COMPUTED_VALUE"""),175.0)</f>
        <v>175</v>
      </c>
      <c r="B42" s="2" t="str">
        <f>IFERROR(__xludf.DUMMYFUNCTION("""COMPUTED_VALUE"""),"Manila ‐ Philippines")</f>
        <v>Manila ‐ Philippines</v>
      </c>
      <c r="C42" s="2" t="str">
        <f>IFERROR(__xludf.DUMMYFUNCTION("""COMPUTED_VALUE"""),"B")</f>
        <v>B</v>
      </c>
      <c r="D42" s="2" t="str">
        <f>IFERROR(__xludf.DUMMYFUNCTION("""COMPUTED_VALUE"""),"20,36")</f>
        <v>20,36</v>
      </c>
    </row>
    <row r="43">
      <c r="A43" s="2">
        <f>IFERROR(__xludf.DUMMYFUNCTION("""COMPUTED_VALUE"""),143.0)</f>
        <v>143</v>
      </c>
      <c r="B43" s="2" t="str">
        <f>IFERROR(__xludf.DUMMYFUNCTION("""COMPUTED_VALUE"""),"Astana ‐ Kazakhstan")</f>
        <v>Astana ‐ Kazakhstan</v>
      </c>
      <c r="C43" s="2" t="str">
        <f>IFERROR(__xludf.DUMMYFUNCTION("""COMPUTED_VALUE"""),"B")</f>
        <v>B</v>
      </c>
      <c r="D43" s="2" t="str">
        <f>IFERROR(__xludf.DUMMYFUNCTION("""COMPUTED_VALUE"""),"30,86")</f>
        <v>30,86</v>
      </c>
    </row>
    <row r="44">
      <c r="A44" s="2">
        <f>IFERROR(__xludf.DUMMYFUNCTION("""COMPUTED_VALUE"""),176.0)</f>
        <v>176</v>
      </c>
      <c r="B44" s="2" t="str">
        <f>IFERROR(__xludf.DUMMYFUNCTION("""COMPUTED_VALUE"""),"Guatemala City ‐ Guatemala")</f>
        <v>Guatemala City ‐ Guatemala</v>
      </c>
      <c r="C44" s="2" t="str">
        <f>IFERROR(__xludf.DUMMYFUNCTION("""COMPUTED_VALUE"""),"B")</f>
        <v>B</v>
      </c>
      <c r="D44" s="2" t="str">
        <f>IFERROR(__xludf.DUMMYFUNCTION("""COMPUTED_VALUE"""),"18,12")</f>
        <v>18,12</v>
      </c>
    </row>
    <row r="45">
      <c r="A45" s="2">
        <f>IFERROR(__xludf.DUMMYFUNCTION("""COMPUTED_VALUE"""),144.0)</f>
        <v>144</v>
      </c>
      <c r="B45" s="2" t="str">
        <f>IFERROR(__xludf.DUMMYFUNCTION("""COMPUTED_VALUE"""),"Lima ‐ Peru")</f>
        <v>Lima ‐ Peru</v>
      </c>
      <c r="C45" s="2" t="str">
        <f>IFERROR(__xludf.DUMMYFUNCTION("""COMPUTED_VALUE"""),"B")</f>
        <v>B</v>
      </c>
      <c r="D45" s="2" t="str">
        <f>IFERROR(__xludf.DUMMYFUNCTION("""COMPUTED_VALUE"""),"30,33")</f>
        <v>30,33</v>
      </c>
    </row>
    <row r="46">
      <c r="A46" s="2">
        <f>IFERROR(__xludf.DUMMYFUNCTION("""COMPUTED_VALUE"""),177.0)</f>
        <v>177</v>
      </c>
      <c r="B46" s="2" t="str">
        <f>IFERROR(__xludf.DUMMYFUNCTION("""COMPUTED_VALUE"""),"Douala ‐ Cameroon")</f>
        <v>Douala ‐ Cameroon</v>
      </c>
      <c r="C46" s="2" t="str">
        <f>IFERROR(__xludf.DUMMYFUNCTION("""COMPUTED_VALUE"""),"B")</f>
        <v>B</v>
      </c>
      <c r="D46" s="2" t="str">
        <f>IFERROR(__xludf.DUMMYFUNCTION("""COMPUTED_VALUE"""),"17,02")</f>
        <v>17,02</v>
      </c>
    </row>
    <row r="47">
      <c r="A47" s="2">
        <f>IFERROR(__xludf.DUMMYFUNCTION("""COMPUTED_VALUE"""),145.0)</f>
        <v>145</v>
      </c>
      <c r="B47" s="2" t="str">
        <f>IFERROR(__xludf.DUMMYFUNCTION("""COMPUTED_VALUE"""),"Bangalore ‐ India")</f>
        <v>Bangalore ‐ India</v>
      </c>
      <c r="C47" s="2" t="str">
        <f>IFERROR(__xludf.DUMMYFUNCTION("""COMPUTED_VALUE"""),"B")</f>
        <v>B</v>
      </c>
      <c r="D47" s="2" t="str">
        <f>IFERROR(__xludf.DUMMYFUNCTION("""COMPUTED_VALUE"""),"29,86")</f>
        <v>29,86</v>
      </c>
    </row>
    <row r="48">
      <c r="A48" s="2">
        <f>IFERROR(__xludf.DUMMYFUNCTION("""COMPUTED_VALUE"""),178.0)</f>
        <v>178</v>
      </c>
      <c r="B48" s="2" t="str">
        <f>IFERROR(__xludf.DUMMYFUNCTION("""COMPUTED_VALUE"""),"Accra ‐ Ghana")</f>
        <v>Accra ‐ Ghana</v>
      </c>
      <c r="C48" s="2" t="str">
        <f>IFERROR(__xludf.DUMMYFUNCTION("""COMPUTED_VALUE"""),"B")</f>
        <v>B</v>
      </c>
      <c r="D48" s="2" t="str">
        <f>IFERROR(__xludf.DUMMYFUNCTION("""COMPUTED_VALUE"""),"14,75")</f>
        <v>14,75</v>
      </c>
    </row>
    <row r="49">
      <c r="A49" s="2">
        <f>IFERROR(__xludf.DUMMYFUNCTION("""COMPUTED_VALUE"""),146.0)</f>
        <v>146</v>
      </c>
      <c r="B49" s="2" t="str">
        <f>IFERROR(__xludf.DUMMYFUNCTION("""COMPUTED_VALUE"""),"Tianjin ‐ China")</f>
        <v>Tianjin ‐ China</v>
      </c>
      <c r="C49" s="2" t="str">
        <f>IFERROR(__xludf.DUMMYFUNCTION("""COMPUTED_VALUE"""),"B")</f>
        <v>B</v>
      </c>
      <c r="D49" s="2" t="str">
        <f>IFERROR(__xludf.DUMMYFUNCTION("""COMPUTED_VALUE"""),"29,83")</f>
        <v>29,83</v>
      </c>
    </row>
    <row r="50">
      <c r="A50" s="2">
        <f>IFERROR(__xludf.DUMMYFUNCTION("""COMPUTED_VALUE"""),179.0)</f>
        <v>179</v>
      </c>
      <c r="B50" s="2" t="str">
        <f>IFERROR(__xludf.DUMMYFUNCTION("""COMPUTED_VALUE"""),"Kampala ‐ Uganda")</f>
        <v>Kampala ‐ Uganda</v>
      </c>
      <c r="C50" s="2" t="str">
        <f>IFERROR(__xludf.DUMMYFUNCTION("""COMPUTED_VALUE"""),"B")</f>
        <v>B</v>
      </c>
      <c r="D50" s="2" t="str">
        <f>IFERROR(__xludf.DUMMYFUNCTION("""COMPUTED_VALUE"""),"13,65")</f>
        <v>13,65</v>
      </c>
    </row>
    <row r="51">
      <c r="A51" s="2">
        <f>IFERROR(__xludf.DUMMYFUNCTION("""COMPUTED_VALUE"""),147.0)</f>
        <v>147</v>
      </c>
      <c r="B51" s="2" t="str">
        <f>IFERROR(__xludf.DUMMYFUNCTION("""COMPUTED_VALUE"""),"Cordoba ‐ Argentina")</f>
        <v>Cordoba ‐ Argentina</v>
      </c>
      <c r="C51" s="2" t="str">
        <f>IFERROR(__xludf.DUMMYFUNCTION("""COMPUTED_VALUE"""),"B")</f>
        <v>B</v>
      </c>
      <c r="D51" s="2" t="str">
        <f>IFERROR(__xludf.DUMMYFUNCTION("""COMPUTED_VALUE"""),"29,78")</f>
        <v>29,78</v>
      </c>
    </row>
    <row r="52">
      <c r="A52" s="2">
        <f>IFERROR(__xludf.DUMMYFUNCTION("""COMPUTED_VALUE"""),180.0)</f>
        <v>180</v>
      </c>
      <c r="B52" s="2" t="str">
        <f>IFERROR(__xludf.DUMMYFUNCTION("""COMPUTED_VALUE"""),"Lahore ‐ Pakistan")</f>
        <v>Lahore ‐ Pakistan</v>
      </c>
      <c r="C52" s="2" t="str">
        <f>IFERROR(__xludf.DUMMYFUNCTION("""COMPUTED_VALUE"""),"B")</f>
        <v>B</v>
      </c>
      <c r="D52" s="2" t="str">
        <f>IFERROR(__xludf.DUMMYFUNCTION("""COMPUTED_VALUE"""),"13,18")</f>
        <v>13,18</v>
      </c>
    </row>
    <row r="53">
      <c r="A53" s="2">
        <f>IFERROR(__xludf.DUMMYFUNCTION("""COMPUTED_VALUE"""),148.0)</f>
        <v>148</v>
      </c>
      <c r="B53" s="2" t="str">
        <f>IFERROR(__xludf.DUMMYFUNCTION("""COMPUTED_VALUE"""),"Curitiba ‐ Brazil")</f>
        <v>Curitiba ‐ Brazil</v>
      </c>
      <c r="C53" s="2" t="str">
        <f>IFERROR(__xludf.DUMMYFUNCTION("""COMPUTED_VALUE"""),"B")</f>
        <v>B</v>
      </c>
      <c r="D53" s="2" t="str">
        <f>IFERROR(__xludf.DUMMYFUNCTION("""COMPUTED_VALUE"""),"29,52")</f>
        <v>29,52</v>
      </c>
    </row>
    <row r="54">
      <c r="A54" s="2">
        <f>IFERROR(__xludf.DUMMYFUNCTION("""COMPUTED_VALUE"""),181.0)</f>
        <v>181</v>
      </c>
      <c r="B54" s="2" t="str">
        <f>IFERROR(__xludf.DUMMYFUNCTION("""COMPUTED_VALUE"""),"Karachi ‐ Pakistan")</f>
        <v>Karachi ‐ Pakistan</v>
      </c>
      <c r="C54" s="2" t="str">
        <f>IFERROR(__xludf.DUMMYFUNCTION("""COMPUTED_VALUE"""),"MB")</f>
        <v>MB</v>
      </c>
      <c r="D54" s="2" t="str">
        <f>IFERROR(__xludf.DUMMYFUNCTION("""COMPUTED_VALUE"""),"10,90")</f>
        <v>10,90</v>
      </c>
    </row>
    <row r="55">
      <c r="A55" s="2">
        <f>IFERROR(__xludf.DUMMYFUNCTION("""COMPUTED_VALUE"""),149.0)</f>
        <v>149</v>
      </c>
      <c r="B55" s="2" t="str">
        <f>IFERROR(__xludf.DUMMYFUNCTION("""COMPUTED_VALUE"""),"Delhi ‐ India")</f>
        <v>Delhi ‐ India</v>
      </c>
      <c r="C55" s="2" t="str">
        <f>IFERROR(__xludf.DUMMYFUNCTION("""COMPUTED_VALUE"""),"B")</f>
        <v>B</v>
      </c>
      <c r="D55" s="2" t="str">
        <f>IFERROR(__xludf.DUMMYFUNCTION("""COMPUTED_VALUE"""),"29,12")</f>
        <v>29,12</v>
      </c>
    </row>
    <row r="56">
      <c r="A56" s="2">
        <f>IFERROR(__xludf.DUMMYFUNCTION("""COMPUTED_VALUE"""),182.0)</f>
        <v>182</v>
      </c>
      <c r="B56" s="2" t="str">
        <f>IFERROR(__xludf.DUMMYFUNCTION("""COMPUTED_VALUE"""),"Caracas ‐ Venezuela")</f>
        <v>Caracas ‐ Venezuela</v>
      </c>
      <c r="C56" s="2" t="str">
        <f>IFERROR(__xludf.DUMMYFUNCTION("""COMPUTED_VALUE"""),"MB")</f>
        <v>MB</v>
      </c>
      <c r="D56" s="2" t="str">
        <f>IFERROR(__xludf.DUMMYFUNCTION("""COMPUTED_VALUE"""),"10,61")</f>
        <v>10,61</v>
      </c>
    </row>
    <row r="57">
      <c r="A57" s="2">
        <f>IFERROR(__xludf.DUMMYFUNCTION("""COMPUTED_VALUE"""),150.0)</f>
        <v>150</v>
      </c>
      <c r="B57" s="2" t="str">
        <f>IFERROR(__xludf.DUMMYFUNCTION("""COMPUTED_VALUE"""),"Skopje ‐ Macedonia")</f>
        <v>Skopje ‐ Macedonia</v>
      </c>
      <c r="C57" s="2" t="str">
        <f>IFERROR(__xludf.DUMMYFUNCTION("""COMPUTED_VALUE"""),"B")</f>
        <v>B</v>
      </c>
      <c r="D57" s="2" t="str">
        <f>IFERROR(__xludf.DUMMYFUNCTION("""COMPUTED_VALUE"""),"29,02")</f>
        <v>29,02</v>
      </c>
    </row>
    <row r="58">
      <c r="A58" s="2">
        <f>IFERROR(__xludf.DUMMYFUNCTION("""COMPUTED_VALUE"""),183.0)</f>
        <v>183</v>
      </c>
      <c r="B58" s="2" t="str">
        <f>IFERROR(__xludf.DUMMYFUNCTION("""COMPUTED_VALUE"""),"Lagos ‐ Nigeria")</f>
        <v>Lagos ‐ Nigeria</v>
      </c>
      <c r="C58" s="2" t="str">
        <f>IFERROR(__xludf.DUMMYFUNCTION("""COMPUTED_VALUE"""),"MB")</f>
        <v>MB</v>
      </c>
      <c r="D58" s="2" t="str">
        <f>IFERROR(__xludf.DUMMYFUNCTION("""COMPUTED_VALUE"""),"4,77")</f>
        <v>4,77</v>
      </c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151.0</v>
      </c>
    </row>
    <row r="2">
      <c r="A2" s="1" t="s">
        <v>1265</v>
      </c>
    </row>
    <row r="3">
      <c r="A3" s="1" t="s">
        <v>787</v>
      </c>
    </row>
    <row r="4">
      <c r="A4" s="1" t="s">
        <v>1266</v>
      </c>
    </row>
    <row r="5">
      <c r="A5" s="1">
        <v>152.0</v>
      </c>
    </row>
    <row r="6">
      <c r="A6" s="1" t="s">
        <v>1267</v>
      </c>
    </row>
    <row r="7">
      <c r="A7" s="1" t="s">
        <v>787</v>
      </c>
    </row>
    <row r="8">
      <c r="A8" s="1" t="s">
        <v>1268</v>
      </c>
    </row>
    <row r="9">
      <c r="A9" s="1">
        <v>153.0</v>
      </c>
    </row>
    <row r="10">
      <c r="A10" s="1" t="s">
        <v>1269</v>
      </c>
    </row>
    <row r="11">
      <c r="A11" s="1" t="s">
        <v>787</v>
      </c>
    </row>
    <row r="12">
      <c r="A12" s="1" t="s">
        <v>1270</v>
      </c>
    </row>
    <row r="13">
      <c r="A13" s="1">
        <v>154.0</v>
      </c>
    </row>
    <row r="14">
      <c r="A14" s="1" t="s">
        <v>1271</v>
      </c>
    </row>
    <row r="15">
      <c r="A15" s="1" t="s">
        <v>787</v>
      </c>
    </row>
    <row r="16">
      <c r="A16" s="1" t="s">
        <v>1272</v>
      </c>
    </row>
    <row r="17">
      <c r="A17" s="1">
        <v>155.0</v>
      </c>
    </row>
    <row r="18">
      <c r="A18" s="1" t="s">
        <v>1273</v>
      </c>
    </row>
    <row r="19">
      <c r="A19" s="1" t="s">
        <v>787</v>
      </c>
    </row>
    <row r="20">
      <c r="A20" s="1" t="s">
        <v>1157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f>IFERROR(__xludf.DUMMYFUNCTION("FILTER(IESE2024rawc!A:A, MOD(ROW(IESE2024rawc!A:A)-1, 4) = 0)"),151.0)</f>
        <v>151</v>
      </c>
      <c r="B1" s="6" t="str">
        <f>IFERROR(__xludf.DUMMYFUNCTION("FILTER(IESE2024rawc!A:A, MOD(ROW(IESE2024rawc!A:A)-2, 4) = 0)"),"Cali ‐ Colombia")</f>
        <v>Cali ‐ Colombia</v>
      </c>
      <c r="C1" s="6" t="str">
        <f>IFERROR(__xludf.DUMMYFUNCTION("FILTER(IESE2024rawc!A:A, MOD(ROW(IESE2024rawc!A:A)-3, 4) = 0)"),"B")</f>
        <v>B</v>
      </c>
      <c r="D1" s="6" t="str">
        <f>IFERROR(__xludf.DUMMYFUNCTION("FILTER(IESE2024rawc!A:A, MOD(ROW(IESE2024rawc!A:A), 4) = 0)"),"28,99")</f>
        <v>28,99</v>
      </c>
    </row>
    <row r="2">
      <c r="A2" s="2">
        <f>IFERROR(__xludf.DUMMYFUNCTION("""COMPUTED_VALUE"""),152.0)</f>
        <v>152</v>
      </c>
      <c r="B2" s="2" t="str">
        <f>IFERROR(__xludf.DUMMYFUNCTION("""COMPUTED_VALUE"""),"Mumbai ‐ India")</f>
        <v>Mumbai ‐ India</v>
      </c>
      <c r="C2" s="2" t="str">
        <f>IFERROR(__xludf.DUMMYFUNCTION("""COMPUTED_VALUE"""),"B")</f>
        <v>B</v>
      </c>
      <c r="D2" s="2" t="str">
        <f>IFERROR(__xludf.DUMMYFUNCTION("""COMPUTED_VALUE"""),"28,90")</f>
        <v>28,90</v>
      </c>
    </row>
    <row r="3">
      <c r="A3" s="2">
        <f>IFERROR(__xludf.DUMMYFUNCTION("""COMPUTED_VALUE"""),153.0)</f>
        <v>153</v>
      </c>
      <c r="B3" s="2" t="str">
        <f>IFERROR(__xludf.DUMMYFUNCTION("""COMPUTED_VALUE"""),"Novosibirsk ‐ Russia")</f>
        <v>Novosibirsk ‐ Russia</v>
      </c>
      <c r="C3" s="2" t="str">
        <f>IFERROR(__xludf.DUMMYFUNCTION("""COMPUTED_VALUE"""),"B")</f>
        <v>B</v>
      </c>
      <c r="D3" s="2" t="str">
        <f>IFERROR(__xludf.DUMMYFUNCTION("""COMPUTED_VALUE"""),"28,55")</f>
        <v>28,55</v>
      </c>
    </row>
    <row r="4">
      <c r="A4" s="2">
        <f>IFERROR(__xludf.DUMMYFUNCTION("""COMPUTED_VALUE"""),154.0)</f>
        <v>154</v>
      </c>
      <c r="B4" s="2" t="str">
        <f>IFERROR(__xludf.DUMMYFUNCTION("""COMPUTED_VALUE"""),"Tunis ‐ Tunisia")</f>
        <v>Tunis ‐ Tunisia</v>
      </c>
      <c r="C4" s="2" t="str">
        <f>IFERROR(__xludf.DUMMYFUNCTION("""COMPUTED_VALUE"""),"B")</f>
        <v>B</v>
      </c>
      <c r="D4" s="2" t="str">
        <f>IFERROR(__xludf.DUMMYFUNCTION("""COMPUTED_VALUE"""),"27,76")</f>
        <v>27,76</v>
      </c>
    </row>
    <row r="5">
      <c r="A5" s="2">
        <f>IFERROR(__xludf.DUMMYFUNCTION("""COMPUTED_VALUE"""),155.0)</f>
        <v>155</v>
      </c>
      <c r="B5" s="2" t="str">
        <f>IFERROR(__xludf.DUMMYFUNCTION("""COMPUTED_VALUE"""),"Amman ‐ Jordan")</f>
        <v>Amman ‐ Jordan</v>
      </c>
      <c r="C5" s="2" t="str">
        <f>IFERROR(__xludf.DUMMYFUNCTION("""COMPUTED_VALUE"""),"B")</f>
        <v>B</v>
      </c>
      <c r="D5" s="2" t="str">
        <f>IFERROR(__xludf.DUMMYFUNCTION("""COMPUTED_VALUE"""),"27,47")</f>
        <v>27,47</v>
      </c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2" t="str">
        <f>IFERROR(__xludf.DUMMYFUNCTION("QUERY({IESE2024a!A:C, ARRAYFORMULA(value(REGEXREPLACE(IESE2024a!D:D, "","", "".""))); IESE2024b!A:C, ARRAYFORMULA(value(REGEXREPLACE(IESE2024b!D:D, "","", "".""))); IESE2024c!A:C, ARRAYFORMULA(value(REGEXREPLACE(IESE2024c!D:D, "","", ""."")))}, ""select C"&amp;"ol1, Col2, Col4 where Col1 is not null order by Col1"", 1)"),"Ranking")</f>
        <v>Ranking</v>
      </c>
      <c r="B1" s="2" t="str">
        <f>IFERROR(__xludf.DUMMYFUNCTION("""COMPUTED_VALUE"""),"City")</f>
        <v>City</v>
      </c>
      <c r="C1" s="2" t="str">
        <f>IFERROR(__xludf.DUMMYFUNCTION("""COMPUTED_VALUE"""),"#VALUE!")</f>
        <v>#VALUE!</v>
      </c>
    </row>
    <row r="2">
      <c r="A2" s="2">
        <f>IFERROR(__xludf.DUMMYFUNCTION("""COMPUTED_VALUE"""),1.0)</f>
        <v>1</v>
      </c>
      <c r="B2" s="2" t="str">
        <f>IFERROR(__xludf.DUMMYFUNCTION("""COMPUTED_VALUE"""),"London ‐ United Kingdom")</f>
        <v>London ‐ United Kingdom</v>
      </c>
      <c r="C2" s="2">
        <f>IFERROR(__xludf.DUMMYFUNCTION("""COMPUTED_VALUE"""),100.0)</f>
        <v>100</v>
      </c>
    </row>
    <row r="3">
      <c r="A3" s="2">
        <f>IFERROR(__xludf.DUMMYFUNCTION("""COMPUTED_VALUE"""),2.0)</f>
        <v>2</v>
      </c>
      <c r="B3" s="2" t="str">
        <f>IFERROR(__xludf.DUMMYFUNCTION("""COMPUTED_VALUE"""),"New York ‐ USA")</f>
        <v>New York ‐ USA</v>
      </c>
      <c r="C3" s="2">
        <f>IFERROR(__xludf.DUMMYFUNCTION("""COMPUTED_VALUE"""),97.11)</f>
        <v>97.11</v>
      </c>
    </row>
    <row r="4">
      <c r="A4" s="2">
        <f>IFERROR(__xludf.DUMMYFUNCTION("""COMPUTED_VALUE"""),3.0)</f>
        <v>3</v>
      </c>
      <c r="B4" s="2" t="str">
        <f>IFERROR(__xludf.DUMMYFUNCTION("""COMPUTED_VALUE"""),"Paris ‐ France")</f>
        <v>Paris ‐ France</v>
      </c>
      <c r="C4" s="2">
        <f>IFERROR(__xludf.DUMMYFUNCTION("""COMPUTED_VALUE"""),84.29)</f>
        <v>84.29</v>
      </c>
    </row>
    <row r="5">
      <c r="A5" s="2">
        <f>IFERROR(__xludf.DUMMYFUNCTION("""COMPUTED_VALUE"""),4.0)</f>
        <v>4</v>
      </c>
      <c r="B5" s="2" t="str">
        <f>IFERROR(__xludf.DUMMYFUNCTION("""COMPUTED_VALUE"""),"Tokyo ‐ Japan")</f>
        <v>Tokyo ‐ Japan</v>
      </c>
      <c r="C5" s="2">
        <f>IFERROR(__xludf.DUMMYFUNCTION("""COMPUTED_VALUE"""),77.74)</f>
        <v>77.74</v>
      </c>
    </row>
    <row r="6">
      <c r="A6" s="2">
        <f>IFERROR(__xludf.DUMMYFUNCTION("""COMPUTED_VALUE"""),5.0)</f>
        <v>5</v>
      </c>
      <c r="B6" s="2" t="str">
        <f>IFERROR(__xludf.DUMMYFUNCTION("""COMPUTED_VALUE"""),"Berlin ‐ Germany")</f>
        <v>Berlin ‐ Germany</v>
      </c>
      <c r="C6" s="2">
        <f>IFERROR(__xludf.DUMMYFUNCTION("""COMPUTED_VALUE"""),75.66)</f>
        <v>75.66</v>
      </c>
    </row>
    <row r="7">
      <c r="A7" s="2">
        <f>IFERROR(__xludf.DUMMYFUNCTION("""COMPUTED_VALUE"""),6.0)</f>
        <v>6</v>
      </c>
      <c r="B7" s="2" t="str">
        <f>IFERROR(__xludf.DUMMYFUNCTION("""COMPUTED_VALUE"""),"Singapore ‐ Singapore")</f>
        <v>Singapore ‐ Singapore</v>
      </c>
      <c r="C7" s="2">
        <f>IFERROR(__xludf.DUMMYFUNCTION("""COMPUTED_VALUE"""),72.65)</f>
        <v>72.65</v>
      </c>
    </row>
    <row r="8">
      <c r="A8" s="2">
        <f>IFERROR(__xludf.DUMMYFUNCTION("""COMPUTED_VALUE"""),7.0)</f>
        <v>7</v>
      </c>
      <c r="B8" s="2" t="str">
        <f>IFERROR(__xludf.DUMMYFUNCTION("""COMPUTED_VALUE"""),"Oslo ‐ Norway")</f>
        <v>Oslo ‐ Norway</v>
      </c>
      <c r="C8" s="2">
        <f>IFERROR(__xludf.DUMMYFUNCTION("""COMPUTED_VALUE"""),72.55)</f>
        <v>72.55</v>
      </c>
    </row>
    <row r="9">
      <c r="A9" s="2">
        <f>IFERROR(__xludf.DUMMYFUNCTION("""COMPUTED_VALUE"""),8.0)</f>
        <v>8</v>
      </c>
      <c r="B9" s="2" t="str">
        <f>IFERROR(__xludf.DUMMYFUNCTION("""COMPUTED_VALUE"""),"Amsterdam ‐ Netherlands")</f>
        <v>Amsterdam ‐ Netherlands</v>
      </c>
      <c r="C9" s="2">
        <f>IFERROR(__xludf.DUMMYFUNCTION("""COMPUTED_VALUE"""),72.21)</f>
        <v>72.21</v>
      </c>
    </row>
    <row r="10">
      <c r="A10" s="2">
        <f>IFERROR(__xludf.DUMMYFUNCTION("""COMPUTED_VALUE"""),9.0)</f>
        <v>9</v>
      </c>
      <c r="B10" s="2" t="str">
        <f>IFERROR(__xludf.DUMMYFUNCTION("""COMPUTED_VALUE"""),"San Francisco ‐ USA")</f>
        <v>San Francisco ‐ USA</v>
      </c>
      <c r="C10" s="2">
        <f>IFERROR(__xludf.DUMMYFUNCTION("""COMPUTED_VALUE"""),70.77)</f>
        <v>70.77</v>
      </c>
    </row>
    <row r="11">
      <c r="A11" s="2">
        <f>IFERROR(__xludf.DUMMYFUNCTION("""COMPUTED_VALUE"""),10.0)</f>
        <v>10</v>
      </c>
      <c r="B11" s="2" t="str">
        <f>IFERROR(__xludf.DUMMYFUNCTION("""COMPUTED_VALUE"""),"Chicago ‐ USA")</f>
        <v>Chicago ‐ USA</v>
      </c>
      <c r="C11" s="2">
        <f>IFERROR(__xludf.DUMMYFUNCTION("""COMPUTED_VALUE"""),70.76)</f>
        <v>70.76</v>
      </c>
    </row>
    <row r="12">
      <c r="A12" s="2">
        <f>IFERROR(__xludf.DUMMYFUNCTION("""COMPUTED_VALUE"""),11.0)</f>
        <v>11</v>
      </c>
      <c r="B12" s="2" t="str">
        <f>IFERROR(__xludf.DUMMYFUNCTION("""COMPUTED_VALUE"""),"Copenhagen ‐ Denmark")</f>
        <v>Copenhagen ‐ Denmark</v>
      </c>
      <c r="C12" s="2">
        <f>IFERROR(__xludf.DUMMYFUNCTION("""COMPUTED_VALUE"""),70.68)</f>
        <v>70.68</v>
      </c>
    </row>
    <row r="13">
      <c r="A13" s="2">
        <f>IFERROR(__xludf.DUMMYFUNCTION("""COMPUTED_VALUE"""),12.0)</f>
        <v>12</v>
      </c>
      <c r="B13" s="2" t="str">
        <f>IFERROR(__xludf.DUMMYFUNCTION("""COMPUTED_VALUE"""),"Zurich ‐ Switzerland")</f>
        <v>Zurich ‐ Switzerland</v>
      </c>
      <c r="C13" s="2">
        <f>IFERROR(__xludf.DUMMYFUNCTION("""COMPUTED_VALUE"""),69.45)</f>
        <v>69.45</v>
      </c>
    </row>
    <row r="14">
      <c r="A14" s="2">
        <f>IFERROR(__xludf.DUMMYFUNCTION("""COMPUTED_VALUE"""),13.0)</f>
        <v>13</v>
      </c>
      <c r="B14" s="2" t="str">
        <f>IFERROR(__xludf.DUMMYFUNCTION("""COMPUTED_VALUE"""),"Seoul ‐ South Korea")</f>
        <v>Seoul ‐ South Korea</v>
      </c>
      <c r="C14" s="2">
        <f>IFERROR(__xludf.DUMMYFUNCTION("""COMPUTED_VALUE"""),69.21)</f>
        <v>69.21</v>
      </c>
    </row>
    <row r="15">
      <c r="A15" s="2">
        <f>IFERROR(__xludf.DUMMYFUNCTION("""COMPUTED_VALUE"""),14.0)</f>
        <v>14</v>
      </c>
      <c r="B15" s="2" t="str">
        <f>IFERROR(__xludf.DUMMYFUNCTION("""COMPUTED_VALUE"""),"Munich ‐ Germany")</f>
        <v>Munich ‐ Germany</v>
      </c>
      <c r="C15" s="2">
        <f>IFERROR(__xludf.DUMMYFUNCTION("""COMPUTED_VALUE"""),68.91)</f>
        <v>68.91</v>
      </c>
    </row>
    <row r="16">
      <c r="A16" s="2">
        <f>IFERROR(__xludf.DUMMYFUNCTION("""COMPUTED_VALUE"""),15.0)</f>
        <v>15</v>
      </c>
      <c r="B16" s="2" t="str">
        <f>IFERROR(__xludf.DUMMYFUNCTION("""COMPUTED_VALUE"""),"Boston ‐ USA")</f>
        <v>Boston ‐ USA</v>
      </c>
      <c r="C16" s="2">
        <f>IFERROR(__xludf.DUMMYFUNCTION("""COMPUTED_VALUE"""),68.28)</f>
        <v>68.28</v>
      </c>
    </row>
    <row r="17">
      <c r="A17" s="2">
        <f>IFERROR(__xludf.DUMMYFUNCTION("""COMPUTED_VALUE"""),16.0)</f>
        <v>16</v>
      </c>
      <c r="B17" s="2" t="str">
        <f>IFERROR(__xludf.DUMMYFUNCTION("""COMPUTED_VALUE"""),"Hamburg ‐ Germany")</f>
        <v>Hamburg ‐ Germany</v>
      </c>
      <c r="C17" s="2">
        <f>IFERROR(__xludf.DUMMYFUNCTION("""COMPUTED_VALUE"""),67.92)</f>
        <v>67.92</v>
      </c>
    </row>
    <row r="18">
      <c r="A18" s="2">
        <f>IFERROR(__xludf.DUMMYFUNCTION("""COMPUTED_VALUE"""),17.0)</f>
        <v>17</v>
      </c>
      <c r="B18" s="2" t="str">
        <f>IFERROR(__xludf.DUMMYFUNCTION("""COMPUTED_VALUE"""),"Washington ‐ USA")</f>
        <v>Washington ‐ USA</v>
      </c>
      <c r="C18" s="2">
        <f>IFERROR(__xludf.DUMMYFUNCTION("""COMPUTED_VALUE"""),67.3)</f>
        <v>67.3</v>
      </c>
    </row>
    <row r="19">
      <c r="A19" s="2">
        <f>IFERROR(__xludf.DUMMYFUNCTION("""COMPUTED_VALUE"""),18.0)</f>
        <v>18</v>
      </c>
      <c r="B19" s="2" t="str">
        <f>IFERROR(__xludf.DUMMYFUNCTION("""COMPUTED_VALUE"""),"Stockholm ‐ Sweden")</f>
        <v>Stockholm ‐ Sweden</v>
      </c>
      <c r="C19" s="2">
        <f>IFERROR(__xludf.DUMMYFUNCTION("""COMPUTED_VALUE"""),66.64)</f>
        <v>66.64</v>
      </c>
    </row>
    <row r="20">
      <c r="A20" s="2">
        <f>IFERROR(__xludf.DUMMYFUNCTION("""COMPUTED_VALUE"""),19.0)</f>
        <v>19</v>
      </c>
      <c r="B20" s="2" t="str">
        <f>IFERROR(__xludf.DUMMYFUNCTION("""COMPUTED_VALUE"""),"Melbourne ‐ Australia")</f>
        <v>Melbourne ‐ Australia</v>
      </c>
      <c r="C20" s="2">
        <f>IFERROR(__xludf.DUMMYFUNCTION("""COMPUTED_VALUE"""),66.31)</f>
        <v>66.31</v>
      </c>
    </row>
    <row r="21">
      <c r="A21" s="2">
        <f>IFERROR(__xludf.DUMMYFUNCTION("""COMPUTED_VALUE"""),20.0)</f>
        <v>20</v>
      </c>
      <c r="B21" s="2" t="str">
        <f>IFERROR(__xludf.DUMMYFUNCTION("""COMPUTED_VALUE"""),"Madrid ‐ Spain")</f>
        <v>Madrid ‐ Spain</v>
      </c>
      <c r="C21" s="2">
        <f>IFERROR(__xludf.DUMMYFUNCTION("""COMPUTED_VALUE"""),66.06)</f>
        <v>66.06</v>
      </c>
    </row>
    <row r="22">
      <c r="A22" s="2">
        <f>IFERROR(__xludf.DUMMYFUNCTION("""COMPUTED_VALUE"""),21.0)</f>
        <v>21</v>
      </c>
      <c r="B22" s="2" t="str">
        <f>IFERROR(__xludf.DUMMYFUNCTION("""COMPUTED_VALUE"""),"Beijing ‐ China")</f>
        <v>Beijing ‐ China</v>
      </c>
      <c r="C22" s="2">
        <f>IFERROR(__xludf.DUMMYFUNCTION("""COMPUTED_VALUE"""),65.88)</f>
        <v>65.88</v>
      </c>
    </row>
    <row r="23">
      <c r="A23" s="2">
        <f>IFERROR(__xludf.DUMMYFUNCTION("""COMPUTED_VALUE"""),22.0)</f>
        <v>22</v>
      </c>
      <c r="B23" s="2" t="str">
        <f>IFERROR(__xludf.DUMMYFUNCTION("""COMPUTED_VALUE"""),"Vienna ‐ Austria")</f>
        <v>Vienna ‐ Austria</v>
      </c>
      <c r="C23" s="2">
        <f>IFERROR(__xludf.DUMMYFUNCTION("""COMPUTED_VALUE"""),65.86)</f>
        <v>65.86</v>
      </c>
    </row>
    <row r="24">
      <c r="A24" s="2">
        <f>IFERROR(__xludf.DUMMYFUNCTION("""COMPUTED_VALUE"""),23.0)</f>
        <v>23</v>
      </c>
      <c r="B24" s="2" t="str">
        <f>IFERROR(__xludf.DUMMYFUNCTION("""COMPUTED_VALUE"""),"Reykjavik ‐ Iceland")</f>
        <v>Reykjavik ‐ Iceland</v>
      </c>
      <c r="C24" s="2">
        <f>IFERROR(__xludf.DUMMYFUNCTION("""COMPUTED_VALUE"""),65.43)</f>
        <v>65.43</v>
      </c>
    </row>
    <row r="25">
      <c r="A25" s="2">
        <f>IFERROR(__xludf.DUMMYFUNCTION("""COMPUTED_VALUE"""),24.0)</f>
        <v>24</v>
      </c>
      <c r="B25" s="2" t="str">
        <f>IFERROR(__xludf.DUMMYFUNCTION("""COMPUTED_VALUE"""),"Basel ‐ Switzerland")</f>
        <v>Basel ‐ Switzerland</v>
      </c>
      <c r="C25" s="2">
        <f>IFERROR(__xludf.DUMMYFUNCTION("""COMPUTED_VALUE"""),65.14)</f>
        <v>65.14</v>
      </c>
    </row>
    <row r="26">
      <c r="A26" s="2">
        <f>IFERROR(__xludf.DUMMYFUNCTION("""COMPUTED_VALUE"""),25.0)</f>
        <v>25</v>
      </c>
      <c r="B26" s="2" t="str">
        <f>IFERROR(__xludf.DUMMYFUNCTION("""COMPUTED_VALUE"""),"Rotterdam ‐ Netherlands")</f>
        <v>Rotterdam ‐ Netherlands</v>
      </c>
      <c r="C26" s="2">
        <f>IFERROR(__xludf.DUMMYFUNCTION("""COMPUTED_VALUE"""),65.09)</f>
        <v>65.09</v>
      </c>
    </row>
    <row r="27">
      <c r="A27" s="2">
        <f>IFERROR(__xludf.DUMMYFUNCTION("""COMPUTED_VALUE"""),26.0)</f>
        <v>26</v>
      </c>
      <c r="B27" s="2" t="str">
        <f>IFERROR(__xludf.DUMMYFUNCTION("""COMPUTED_VALUE"""),"Helsinki ‐ Finland")</f>
        <v>Helsinki ‐ Finland</v>
      </c>
      <c r="C27" s="2">
        <f>IFERROR(__xludf.DUMMYFUNCTION("""COMPUTED_VALUE"""),64.68)</f>
        <v>64.68</v>
      </c>
    </row>
    <row r="28">
      <c r="A28" s="2">
        <f>IFERROR(__xludf.DUMMYFUNCTION("""COMPUTED_VALUE"""),27.0)</f>
        <v>27</v>
      </c>
      <c r="B28" s="2" t="str">
        <f>IFERROR(__xludf.DUMMYFUNCTION("""COMPUTED_VALUE"""),"Taipei ‐ Taiwan")</f>
        <v>Taipei ‐ Taiwan</v>
      </c>
      <c r="C28" s="2">
        <f>IFERROR(__xludf.DUMMYFUNCTION("""COMPUTED_VALUE"""),64.6)</f>
        <v>64.6</v>
      </c>
    </row>
    <row r="29">
      <c r="A29" s="2">
        <f>IFERROR(__xludf.DUMMYFUNCTION("""COMPUTED_VALUE"""),28.0)</f>
        <v>28</v>
      </c>
      <c r="B29" s="2" t="str">
        <f>IFERROR(__xludf.DUMMYFUNCTION("""COMPUTED_VALUE"""),"Sydney ‐ Australia")</f>
        <v>Sydney ‐ Australia</v>
      </c>
      <c r="C29" s="2">
        <f>IFERROR(__xludf.DUMMYFUNCTION("""COMPUTED_VALUE"""),64.32)</f>
        <v>64.32</v>
      </c>
    </row>
    <row r="30">
      <c r="A30" s="2">
        <f>IFERROR(__xludf.DUMMYFUNCTION("""COMPUTED_VALUE"""),29.0)</f>
        <v>29</v>
      </c>
      <c r="B30" s="2" t="str">
        <f>IFERROR(__xludf.DUMMYFUNCTION("""COMPUTED_VALUE"""),"Barcelona ‐ Spain")</f>
        <v>Barcelona ‐ Spain</v>
      </c>
      <c r="C30" s="2">
        <f>IFERROR(__xludf.DUMMYFUNCTION("""COMPUTED_VALUE"""),64.17)</f>
        <v>64.17</v>
      </c>
    </row>
    <row r="31">
      <c r="A31" s="2">
        <f>IFERROR(__xludf.DUMMYFUNCTION("""COMPUTED_VALUE"""),30.0)</f>
        <v>30</v>
      </c>
      <c r="B31" s="2" t="str">
        <f>IFERROR(__xludf.DUMMYFUNCTION("""COMPUTED_VALUE"""),"Bern ‐ Switzerland")</f>
        <v>Bern ‐ Switzerland</v>
      </c>
      <c r="C31" s="2">
        <f>IFERROR(__xludf.DUMMYFUNCTION("""COMPUTED_VALUE"""),64.01)</f>
        <v>64.01</v>
      </c>
    </row>
    <row r="32">
      <c r="A32" s="2">
        <f>IFERROR(__xludf.DUMMYFUNCTION("""COMPUTED_VALUE"""),31.0)</f>
        <v>31</v>
      </c>
      <c r="B32" s="2" t="str">
        <f>IFERROR(__xludf.DUMMYFUNCTION("""COMPUTED_VALUE"""),"Seattle ‐ USA")</f>
        <v>Seattle ‐ USA</v>
      </c>
      <c r="C32" s="2">
        <f>IFERROR(__xludf.DUMMYFUNCTION("""COMPUTED_VALUE"""),63.28)</f>
        <v>63.28</v>
      </c>
    </row>
    <row r="33">
      <c r="A33" s="2">
        <f>IFERROR(__xludf.DUMMYFUNCTION("""COMPUTED_VALUE"""),32.0)</f>
        <v>32</v>
      </c>
      <c r="B33" s="2" t="str">
        <f>IFERROR(__xludf.DUMMYFUNCTION("""COMPUTED_VALUE"""),"Edinburgh ‐ United Kingdom")</f>
        <v>Edinburgh ‐ United Kingdom</v>
      </c>
      <c r="C33" s="2">
        <f>IFERROR(__xludf.DUMMYFUNCTION("""COMPUTED_VALUE"""),63.17)</f>
        <v>63.17</v>
      </c>
    </row>
    <row r="34">
      <c r="A34" s="2">
        <f>IFERROR(__xludf.DUMMYFUNCTION("""COMPUTED_VALUE"""),33.0)</f>
        <v>33</v>
      </c>
      <c r="B34" s="2" t="str">
        <f>IFERROR(__xludf.DUMMYFUNCTION("""COMPUTED_VALUE"""),"Toronto ‐ Canada")</f>
        <v>Toronto ‐ Canada</v>
      </c>
      <c r="C34" s="2">
        <f>IFERROR(__xludf.DUMMYFUNCTION("""COMPUTED_VALUE"""),62.9)</f>
        <v>62.9</v>
      </c>
    </row>
    <row r="35">
      <c r="A35" s="2">
        <f>IFERROR(__xludf.DUMMYFUNCTION("""COMPUTED_VALUE"""),34.0)</f>
        <v>34</v>
      </c>
      <c r="B35" s="2" t="str">
        <f>IFERROR(__xludf.DUMMYFUNCTION("""COMPUTED_VALUE"""),"Dublin ‐ Ireland")</f>
        <v>Dublin ‐ Ireland</v>
      </c>
      <c r="C35" s="2">
        <f>IFERROR(__xludf.DUMMYFUNCTION("""COMPUTED_VALUE"""),62.49)</f>
        <v>62.49</v>
      </c>
    </row>
    <row r="36">
      <c r="A36" s="2">
        <f>IFERROR(__xludf.DUMMYFUNCTION("""COMPUTED_VALUE"""),35.0)</f>
        <v>35</v>
      </c>
      <c r="B36" s="2" t="str">
        <f>IFERROR(__xludf.DUMMYFUNCTION("""COMPUTED_VALUE"""),"Frankfurt ‐ Germany")</f>
        <v>Frankfurt ‐ Germany</v>
      </c>
      <c r="C36" s="2">
        <f>IFERROR(__xludf.DUMMYFUNCTION("""COMPUTED_VALUE"""),62.43)</f>
        <v>62.43</v>
      </c>
    </row>
    <row r="37">
      <c r="A37" s="2">
        <f>IFERROR(__xludf.DUMMYFUNCTION("""COMPUTED_VALUE"""),36.0)</f>
        <v>36</v>
      </c>
      <c r="B37" s="2" t="str">
        <f>IFERROR(__xludf.DUMMYFUNCTION("""COMPUTED_VALUE"""),"Manchester ‐ United Kingdom")</f>
        <v>Manchester ‐ United Kingdom</v>
      </c>
      <c r="C37" s="2">
        <f>IFERROR(__xludf.DUMMYFUNCTION("""COMPUTED_VALUE"""),61.35)</f>
        <v>61.35</v>
      </c>
    </row>
    <row r="38">
      <c r="A38" s="2">
        <f>IFERROR(__xludf.DUMMYFUNCTION("""COMPUTED_VALUE"""),37.0)</f>
        <v>37</v>
      </c>
      <c r="B38" s="2" t="str">
        <f>IFERROR(__xludf.DUMMYFUNCTION("""COMPUTED_VALUE"""),"Hong Kong ‐ China")</f>
        <v>Hong Kong ‐ China</v>
      </c>
      <c r="C38" s="2">
        <f>IFERROR(__xludf.DUMMYFUNCTION("""COMPUTED_VALUE"""),61.3)</f>
        <v>61.3</v>
      </c>
    </row>
    <row r="39">
      <c r="A39" s="2">
        <f>IFERROR(__xludf.DUMMYFUNCTION("""COMPUTED_VALUE"""),38.0)</f>
        <v>38</v>
      </c>
      <c r="B39" s="2" t="str">
        <f>IFERROR(__xludf.DUMMYFUNCTION("""COMPUTED_VALUE"""),"Canberra ‐ Australia")</f>
        <v>Canberra ‐ Australia</v>
      </c>
      <c r="C39" s="2">
        <f>IFERROR(__xludf.DUMMYFUNCTION("""COMPUTED_VALUE"""),61.12)</f>
        <v>61.12</v>
      </c>
    </row>
    <row r="40">
      <c r="A40" s="2">
        <f>IFERROR(__xludf.DUMMYFUNCTION("""COMPUTED_VALUE"""),39.0)</f>
        <v>39</v>
      </c>
      <c r="B40" s="2" t="str">
        <f>IFERROR(__xludf.DUMMYFUNCTION("""COMPUTED_VALUE"""),"Los Angeles ‐ USA")</f>
        <v>Los Angeles ‐ USA</v>
      </c>
      <c r="C40" s="2">
        <f>IFERROR(__xludf.DUMMYFUNCTION("""COMPUTED_VALUE"""),61.08)</f>
        <v>61.08</v>
      </c>
    </row>
    <row r="41">
      <c r="A41" s="2">
        <f>IFERROR(__xludf.DUMMYFUNCTION("""COMPUTED_VALUE"""),40.0)</f>
        <v>40</v>
      </c>
      <c r="B41" s="2" t="str">
        <f>IFERROR(__xludf.DUMMYFUNCTION("""COMPUTED_VALUE"""),"Geneva ‐ Switzerland")</f>
        <v>Geneva ‐ Switzerland</v>
      </c>
      <c r="C41" s="2">
        <f>IFERROR(__xludf.DUMMYFUNCTION("""COMPUTED_VALUE"""),61.03)</f>
        <v>61.03</v>
      </c>
    </row>
    <row r="42">
      <c r="A42" s="2">
        <f>IFERROR(__xludf.DUMMYFUNCTION("""COMPUTED_VALUE"""),41.0)</f>
        <v>41</v>
      </c>
      <c r="B42" s="2" t="str">
        <f>IFERROR(__xludf.DUMMYFUNCTION("""COMPUTED_VALUE"""),"Eindhoven ‐ Netherlands")</f>
        <v>Eindhoven ‐ Netherlands</v>
      </c>
      <c r="C42" s="2">
        <f>IFERROR(__xludf.DUMMYFUNCTION("""COMPUTED_VALUE"""),60.72)</f>
        <v>60.72</v>
      </c>
    </row>
    <row r="43">
      <c r="A43" s="2">
        <f>IFERROR(__xludf.DUMMYFUNCTION("""COMPUTED_VALUE"""),42.0)</f>
        <v>42</v>
      </c>
      <c r="B43" s="2" t="str">
        <f>IFERROR(__xludf.DUMMYFUNCTION("""COMPUTED_VALUE"""),"Ottawa ‐ Canada")</f>
        <v>Ottawa ‐ Canada</v>
      </c>
      <c r="C43" s="2">
        <f>IFERROR(__xludf.DUMMYFUNCTION("""COMPUTED_VALUE"""),60.37)</f>
        <v>60.37</v>
      </c>
    </row>
    <row r="44">
      <c r="A44" s="2">
        <f>IFERROR(__xludf.DUMMYFUNCTION("""COMPUTED_VALUE"""),43.0)</f>
        <v>43</v>
      </c>
      <c r="B44" s="2" t="str">
        <f>IFERROR(__xludf.DUMMYFUNCTION("""COMPUTED_VALUE"""),"Dallas ‐ USA")</f>
        <v>Dallas ‐ USA</v>
      </c>
      <c r="C44" s="2">
        <f>IFERROR(__xludf.DUMMYFUNCTION("""COMPUTED_VALUE"""),60.36)</f>
        <v>60.36</v>
      </c>
    </row>
    <row r="45">
      <c r="A45" s="2">
        <f>IFERROR(__xludf.DUMMYFUNCTION("""COMPUTED_VALUE"""),44.0)</f>
        <v>44</v>
      </c>
      <c r="B45" s="2" t="str">
        <f>IFERROR(__xludf.DUMMYFUNCTION("""COMPUTED_VALUE"""),"Shanghai ‐ China")</f>
        <v>Shanghai ‐ China</v>
      </c>
      <c r="C45" s="2">
        <f>IFERROR(__xludf.DUMMYFUNCTION("""COMPUTED_VALUE"""),60.18)</f>
        <v>60.18</v>
      </c>
    </row>
    <row r="46">
      <c r="A46" s="2">
        <f>IFERROR(__xludf.DUMMYFUNCTION("""COMPUTED_VALUE"""),45.0)</f>
        <v>45</v>
      </c>
      <c r="B46" s="2" t="str">
        <f>IFERROR(__xludf.DUMMYFUNCTION("""COMPUTED_VALUE"""),"Austin ‐ USA")</f>
        <v>Austin ‐ USA</v>
      </c>
      <c r="C46" s="2">
        <f>IFERROR(__xludf.DUMMYFUNCTION("""COMPUTED_VALUE"""),59.99)</f>
        <v>59.99</v>
      </c>
    </row>
    <row r="47">
      <c r="A47" s="2">
        <f>IFERROR(__xludf.DUMMYFUNCTION("""COMPUTED_VALUE"""),46.0)</f>
        <v>46</v>
      </c>
      <c r="B47" s="2" t="str">
        <f>IFERROR(__xludf.DUMMYFUNCTION("""COMPUTED_VALUE"""),"Gothenburg ‐ Sweden")</f>
        <v>Gothenburg ‐ Sweden</v>
      </c>
      <c r="C47" s="2">
        <f>IFERROR(__xludf.DUMMYFUNCTION("""COMPUTED_VALUE"""),59.95)</f>
        <v>59.95</v>
      </c>
    </row>
    <row r="48">
      <c r="A48" s="2">
        <f>IFERROR(__xludf.DUMMYFUNCTION("""COMPUTED_VALUE"""),47.0)</f>
        <v>47</v>
      </c>
      <c r="B48" s="2" t="str">
        <f>IFERROR(__xludf.DUMMYFUNCTION("""COMPUTED_VALUE"""),"San Diego ‐ USA")</f>
        <v>San Diego ‐ USA</v>
      </c>
      <c r="C48" s="2">
        <f>IFERROR(__xludf.DUMMYFUNCTION("""COMPUTED_VALUE"""),59.83)</f>
        <v>59.83</v>
      </c>
    </row>
    <row r="49">
      <c r="A49" s="2">
        <f>IFERROR(__xludf.DUMMYFUNCTION("""COMPUTED_VALUE"""),48.0)</f>
        <v>48</v>
      </c>
      <c r="B49" s="2" t="str">
        <f>IFERROR(__xludf.DUMMYFUNCTION("""COMPUTED_VALUE"""),"Houston ‐ USA")</f>
        <v>Houston ‐ USA</v>
      </c>
      <c r="C49" s="2">
        <f>IFERROR(__xludf.DUMMYFUNCTION("""COMPUTED_VALUE"""),59.73)</f>
        <v>59.73</v>
      </c>
    </row>
    <row r="50">
      <c r="A50" s="2">
        <f>IFERROR(__xludf.DUMMYFUNCTION("""COMPUTED_VALUE"""),49.0)</f>
        <v>49</v>
      </c>
      <c r="B50" s="2" t="str">
        <f>IFERROR(__xludf.DUMMYFUNCTION("""COMPUTED_VALUE"""),"Miami ‐ USA")</f>
        <v>Miami ‐ USA</v>
      </c>
      <c r="C50" s="2">
        <f>IFERROR(__xludf.DUMMYFUNCTION("""COMPUTED_VALUE"""),59.46)</f>
        <v>59.46</v>
      </c>
    </row>
    <row r="51">
      <c r="A51" s="2">
        <f>IFERROR(__xludf.DUMMYFUNCTION("""COMPUTED_VALUE"""),50.0)</f>
        <v>50</v>
      </c>
      <c r="B51" s="2" t="str">
        <f>IFERROR(__xludf.DUMMYFUNCTION("""COMPUTED_VALUE"""),"Prague ‐ Czech Republic")</f>
        <v>Prague ‐ Czech Republic</v>
      </c>
      <c r="C51" s="2">
        <f>IFERROR(__xludf.DUMMYFUNCTION("""COMPUTED_VALUE"""),59.23)</f>
        <v>59.23</v>
      </c>
    </row>
    <row r="52">
      <c r="A52" s="2">
        <f>IFERROR(__xludf.DUMMYFUNCTION("""COMPUTED_VALUE"""),51.0)</f>
        <v>51</v>
      </c>
      <c r="B52" s="2" t="str">
        <f>IFERROR(__xludf.DUMMYFUNCTION("""COMPUTED_VALUE"""),"Denver ‐ USA")</f>
        <v>Denver ‐ USA</v>
      </c>
      <c r="C52" s="2">
        <f>IFERROR(__xludf.DUMMYFUNCTION("""COMPUTED_VALUE"""),59.16)</f>
        <v>59.16</v>
      </c>
    </row>
    <row r="53">
      <c r="A53" s="2">
        <f>IFERROR(__xludf.DUMMYFUNCTION("""COMPUTED_VALUE"""),52.0)</f>
        <v>52</v>
      </c>
      <c r="B53" s="2" t="str">
        <f>IFERROR(__xludf.DUMMYFUNCTION("""COMPUTED_VALUE"""),"Cologne ‐ Germany")</f>
        <v>Cologne ‐ Germany</v>
      </c>
      <c r="C53" s="2">
        <f>IFERROR(__xludf.DUMMYFUNCTION("""COMPUTED_VALUE"""),59.15)</f>
        <v>59.15</v>
      </c>
    </row>
    <row r="54">
      <c r="A54" s="2">
        <f>IFERROR(__xludf.DUMMYFUNCTION("""COMPUTED_VALUE"""),53.0)</f>
        <v>53</v>
      </c>
      <c r="B54" s="2" t="str">
        <f>IFERROR(__xludf.DUMMYFUNCTION("""COMPUTED_VALUE"""),"Montreal ‐ Canada")</f>
        <v>Montreal ‐ Canada</v>
      </c>
      <c r="C54" s="2">
        <f>IFERROR(__xludf.DUMMYFUNCTION("""COMPUTED_VALUE"""),59.1)</f>
        <v>59.1</v>
      </c>
    </row>
    <row r="55">
      <c r="A55" s="2">
        <f>IFERROR(__xludf.DUMMYFUNCTION("""COMPUTED_VALUE"""),54.0)</f>
        <v>54</v>
      </c>
      <c r="B55" s="2" t="str">
        <f>IFERROR(__xludf.DUMMYFUNCTION("""COMPUTED_VALUE"""),"Wellington ‐ New Zealand")</f>
        <v>Wellington ‐ New Zealand</v>
      </c>
      <c r="C55" s="2">
        <f>IFERROR(__xludf.DUMMYFUNCTION("""COMPUTED_VALUE"""),59.06)</f>
        <v>59.06</v>
      </c>
    </row>
    <row r="56">
      <c r="A56" s="2">
        <f>IFERROR(__xludf.DUMMYFUNCTION("""COMPUTED_VALUE"""),55.0)</f>
        <v>55</v>
      </c>
      <c r="B56" s="2" t="str">
        <f>IFERROR(__xludf.DUMMYFUNCTION("""COMPUTED_VALUE"""),"Lyon ‐ France")</f>
        <v>Lyon ‐ France</v>
      </c>
      <c r="C56" s="2">
        <f>IFERROR(__xludf.DUMMYFUNCTION("""COMPUTED_VALUE"""),59.0)</f>
        <v>59</v>
      </c>
    </row>
    <row r="57">
      <c r="A57" s="2">
        <f>IFERROR(__xludf.DUMMYFUNCTION("""COMPUTED_VALUE"""),56.0)</f>
        <v>56</v>
      </c>
      <c r="B57" s="2" t="str">
        <f>IFERROR(__xludf.DUMMYFUNCTION("""COMPUTED_VALUE"""),"Vancouver ‐ Canada")</f>
        <v>Vancouver ‐ Canada</v>
      </c>
      <c r="C57" s="2">
        <f>IFERROR(__xludf.DUMMYFUNCTION("""COMPUTED_VALUE"""),58.8)</f>
        <v>58.8</v>
      </c>
    </row>
    <row r="58">
      <c r="A58" s="2">
        <f>IFERROR(__xludf.DUMMYFUNCTION("""COMPUTED_VALUE"""),57.0)</f>
        <v>57</v>
      </c>
      <c r="B58" s="2" t="str">
        <f>IFERROR(__xludf.DUMMYFUNCTION("""COMPUTED_VALUE"""),"Düsseldorf ‐ Germany")</f>
        <v>Düsseldorf ‐ Germany</v>
      </c>
      <c r="C58" s="2">
        <f>IFERROR(__xludf.DUMMYFUNCTION("""COMPUTED_VALUE"""),58.74)</f>
        <v>58.74</v>
      </c>
    </row>
    <row r="59">
      <c r="A59" s="2">
        <f>IFERROR(__xludf.DUMMYFUNCTION("""COMPUTED_VALUE"""),58.0)</f>
        <v>58</v>
      </c>
      <c r="B59" s="2" t="str">
        <f>IFERROR(__xludf.DUMMYFUNCTION("""COMPUTED_VALUE"""),"Stuttgart ‐ Germany")</f>
        <v>Stuttgart ‐ Germany</v>
      </c>
      <c r="C59" s="2">
        <f>IFERROR(__xludf.DUMMYFUNCTION("""COMPUTED_VALUE"""),58.7)</f>
        <v>58.7</v>
      </c>
    </row>
    <row r="60">
      <c r="A60" s="2">
        <f>IFERROR(__xludf.DUMMYFUNCTION("""COMPUTED_VALUE"""),59.0)</f>
        <v>59</v>
      </c>
      <c r="B60" s="2" t="str">
        <f>IFERROR(__xludf.DUMMYFUNCTION("""COMPUTED_VALUE"""),"Birmingham ‐ United Kingdom")</f>
        <v>Birmingham ‐ United Kingdom</v>
      </c>
      <c r="C60" s="2">
        <f>IFERROR(__xludf.DUMMYFUNCTION("""COMPUTED_VALUE"""),58.13)</f>
        <v>58.13</v>
      </c>
    </row>
    <row r="61">
      <c r="A61" s="2">
        <f>IFERROR(__xludf.DUMMYFUNCTION("""COMPUTED_VALUE"""),60.0)</f>
        <v>60</v>
      </c>
      <c r="B61" s="2" t="str">
        <f>IFERROR(__xludf.DUMMYFUNCTION("""COMPUTED_VALUE"""),"Auckland ‐ New Zealand")</f>
        <v>Auckland ‐ New Zealand</v>
      </c>
      <c r="C61" s="2">
        <f>IFERROR(__xludf.DUMMYFUNCTION("""COMPUTED_VALUE"""),57.93)</f>
        <v>57.93</v>
      </c>
    </row>
    <row r="62">
      <c r="A62" s="2">
        <f>IFERROR(__xludf.DUMMYFUNCTION("""COMPUTED_VALUE"""),61.0)</f>
        <v>61</v>
      </c>
      <c r="B62" s="2" t="str">
        <f>IFERROR(__xludf.DUMMYFUNCTION("""COMPUTED_VALUE"""),"Philadelphia ‐ USA")</f>
        <v>Philadelphia ‐ USA</v>
      </c>
      <c r="C62" s="2">
        <f>IFERROR(__xludf.DUMMYFUNCTION("""COMPUTED_VALUE"""),57.81)</f>
        <v>57.81</v>
      </c>
    </row>
    <row r="63">
      <c r="A63" s="2">
        <f>IFERROR(__xludf.DUMMYFUNCTION("""COMPUTED_VALUE"""),62.0)</f>
        <v>62</v>
      </c>
      <c r="B63" s="2" t="str">
        <f>IFERROR(__xludf.DUMMYFUNCTION("""COMPUTED_VALUE"""),"Liverpool ‐ United Kingdom")</f>
        <v>Liverpool ‐ United Kingdom</v>
      </c>
      <c r="C63" s="2">
        <f>IFERROR(__xludf.DUMMYFUNCTION("""COMPUTED_VALUE"""),57.49)</f>
        <v>57.49</v>
      </c>
    </row>
    <row r="64">
      <c r="A64" s="2">
        <f>IFERROR(__xludf.DUMMYFUNCTION("""COMPUTED_VALUE"""),63.0)</f>
        <v>63</v>
      </c>
      <c r="B64" s="2" t="str">
        <f>IFERROR(__xludf.DUMMYFUNCTION("""COMPUTED_VALUE"""),"Warsaw ‐ Poland")</f>
        <v>Warsaw ‐ Poland</v>
      </c>
      <c r="C64" s="2">
        <f>IFERROR(__xludf.DUMMYFUNCTION("""COMPUTED_VALUE"""),57.44)</f>
        <v>57.44</v>
      </c>
    </row>
    <row r="65">
      <c r="A65" s="2">
        <f>IFERROR(__xludf.DUMMYFUNCTION("""COMPUTED_VALUE"""),64.0)</f>
        <v>64</v>
      </c>
      <c r="B65" s="2" t="str">
        <f>IFERROR(__xludf.DUMMYFUNCTION("""COMPUTED_VALUE"""),"Milan ‐ Italy")</f>
        <v>Milan ‐ Italy</v>
      </c>
      <c r="C65" s="2">
        <f>IFERROR(__xludf.DUMMYFUNCTION("""COMPUTED_VALUE"""),57.42)</f>
        <v>57.42</v>
      </c>
    </row>
    <row r="66">
      <c r="A66" s="2">
        <f>IFERROR(__xludf.DUMMYFUNCTION("""COMPUTED_VALUE"""),65.0)</f>
        <v>65</v>
      </c>
      <c r="B66" s="2" t="str">
        <f>IFERROR(__xludf.DUMMYFUNCTION("""COMPUTED_VALUE"""),"Nottingham ‐ United Kingdom")</f>
        <v>Nottingham ‐ United Kingdom</v>
      </c>
      <c r="C66" s="2">
        <f>IFERROR(__xludf.DUMMYFUNCTION("""COMPUTED_VALUE"""),56.93)</f>
        <v>56.93</v>
      </c>
    </row>
    <row r="67">
      <c r="A67" s="2">
        <f>IFERROR(__xludf.DUMMYFUNCTION("""COMPUTED_VALUE"""),66.0)</f>
        <v>66</v>
      </c>
      <c r="B67" s="2" t="str">
        <f>IFERROR(__xludf.DUMMYFUNCTION("""COMPUTED_VALUE"""),"Glasgow ‐ United Kingdom")</f>
        <v>Glasgow ‐ United Kingdom</v>
      </c>
      <c r="C67" s="2">
        <f>IFERROR(__xludf.DUMMYFUNCTION("""COMPUTED_VALUE"""),56.62)</f>
        <v>56.62</v>
      </c>
    </row>
    <row r="68">
      <c r="A68" s="2">
        <f>IFERROR(__xludf.DUMMYFUNCTION("""COMPUTED_VALUE"""),67.0)</f>
        <v>67</v>
      </c>
      <c r="B68" s="2" t="str">
        <f>IFERROR(__xludf.DUMMYFUNCTION("""COMPUTED_VALUE"""),"Quebec City ‐ Canada")</f>
        <v>Quebec City ‐ Canada</v>
      </c>
      <c r="C68" s="2">
        <f>IFERROR(__xludf.DUMMYFUNCTION("""COMPUTED_VALUE"""),56.22)</f>
        <v>56.22</v>
      </c>
    </row>
    <row r="69">
      <c r="A69" s="2">
        <f>IFERROR(__xludf.DUMMYFUNCTION("""COMPUTED_VALUE"""),68.0)</f>
        <v>68</v>
      </c>
      <c r="B69" s="2" t="str">
        <f>IFERROR(__xludf.DUMMYFUNCTION("""COMPUTED_VALUE"""),"Brussels ‐ Belgium")</f>
        <v>Brussels ‐ Belgium</v>
      </c>
      <c r="C69" s="2">
        <f>IFERROR(__xludf.DUMMYFUNCTION("""COMPUTED_VALUE"""),56.04)</f>
        <v>56.04</v>
      </c>
    </row>
    <row r="70">
      <c r="A70" s="2">
        <f>IFERROR(__xludf.DUMMYFUNCTION("""COMPUTED_VALUE"""),69.0)</f>
        <v>69</v>
      </c>
      <c r="B70" s="2" t="str">
        <f>IFERROR(__xludf.DUMMYFUNCTION("""COMPUTED_VALUE"""),"Rome ‐ Italy")</f>
        <v>Rome ‐ Italy</v>
      </c>
      <c r="C70" s="2">
        <f>IFERROR(__xludf.DUMMYFUNCTION("""COMPUTED_VALUE"""),55.81)</f>
        <v>55.81</v>
      </c>
    </row>
    <row r="71">
      <c r="A71" s="2">
        <f>IFERROR(__xludf.DUMMYFUNCTION("""COMPUTED_VALUE"""),70.0)</f>
        <v>70</v>
      </c>
      <c r="B71" s="2" t="str">
        <f>IFERROR(__xludf.DUMMYFUNCTION("""COMPUTED_VALUE"""),"Phoenix ‐ USA")</f>
        <v>Phoenix ‐ USA</v>
      </c>
      <c r="C71" s="2">
        <f>IFERROR(__xludf.DUMMYFUNCTION("""COMPUTED_VALUE"""),55.75)</f>
        <v>55.75</v>
      </c>
    </row>
    <row r="72">
      <c r="A72" s="2">
        <f>IFERROR(__xludf.DUMMYFUNCTION("""COMPUTED_VALUE"""),71.0)</f>
        <v>71</v>
      </c>
      <c r="B72" s="2" t="str">
        <f>IFERROR(__xludf.DUMMYFUNCTION("""COMPUTED_VALUE"""),"Leeds ‐ United Kingdom")</f>
        <v>Leeds ‐ United Kingdom</v>
      </c>
      <c r="C72" s="2">
        <f>IFERROR(__xludf.DUMMYFUNCTION("""COMPUTED_VALUE"""),55.72)</f>
        <v>55.72</v>
      </c>
    </row>
    <row r="73">
      <c r="A73" s="2">
        <f>IFERROR(__xludf.DUMMYFUNCTION("""COMPUTED_VALUE"""),72.0)</f>
        <v>72</v>
      </c>
      <c r="B73" s="2" t="str">
        <f>IFERROR(__xludf.DUMMYFUNCTION("""COMPUTED_VALUE"""),"Tallinn ‐ Estonia")</f>
        <v>Tallinn ‐ Estonia</v>
      </c>
      <c r="C73" s="2">
        <f>IFERROR(__xludf.DUMMYFUNCTION("""COMPUTED_VALUE"""),55.04)</f>
        <v>55.04</v>
      </c>
    </row>
    <row r="74">
      <c r="A74" s="2">
        <f>IFERROR(__xludf.DUMMYFUNCTION("""COMPUTED_VALUE"""),73.0)</f>
        <v>73</v>
      </c>
      <c r="B74" s="2" t="str">
        <f>IFERROR(__xludf.DUMMYFUNCTION("""COMPUTED_VALUE"""),"Baltimore ‐ USA")</f>
        <v>Baltimore ‐ USA</v>
      </c>
      <c r="C74" s="2">
        <f>IFERROR(__xludf.DUMMYFUNCTION("""COMPUTED_VALUE"""),54.73)</f>
        <v>54.73</v>
      </c>
    </row>
    <row r="75">
      <c r="A75" s="2">
        <f>IFERROR(__xludf.DUMMYFUNCTION("""COMPUTED_VALUE"""),74.0)</f>
        <v>74</v>
      </c>
      <c r="B75" s="2" t="str">
        <f>IFERROR(__xludf.DUMMYFUNCTION("""COMPUTED_VALUE"""),"San Antonio ‐ USA")</f>
        <v>San Antonio ‐ USA</v>
      </c>
      <c r="C75" s="2">
        <f>IFERROR(__xludf.DUMMYFUNCTION("""COMPUTED_VALUE"""),54.61)</f>
        <v>54.61</v>
      </c>
    </row>
    <row r="76">
      <c r="A76" s="2">
        <f>IFERROR(__xludf.DUMMYFUNCTION("""COMPUTED_VALUE"""),75.0)</f>
        <v>75</v>
      </c>
      <c r="B76" s="2" t="str">
        <f>IFERROR(__xludf.DUMMYFUNCTION("""COMPUTED_VALUE"""),"Detroit ‐ USA")</f>
        <v>Detroit ‐ USA</v>
      </c>
      <c r="C76" s="2">
        <f>IFERROR(__xludf.DUMMYFUNCTION("""COMPUTED_VALUE"""),54.53)</f>
        <v>54.53</v>
      </c>
    </row>
    <row r="77">
      <c r="A77" s="2">
        <f>IFERROR(__xludf.DUMMYFUNCTION("""COMPUTED_VALUE"""),76.0)</f>
        <v>76</v>
      </c>
      <c r="B77" s="2" t="str">
        <f>IFERROR(__xludf.DUMMYFUNCTION("""COMPUTED_VALUE"""),"Lisbon ‐ Portugal")</f>
        <v>Lisbon ‐ Portugal</v>
      </c>
      <c r="C77" s="2">
        <f>IFERROR(__xludf.DUMMYFUNCTION("""COMPUTED_VALUE"""),54.44)</f>
        <v>54.44</v>
      </c>
    </row>
    <row r="78">
      <c r="A78" s="2">
        <f>IFERROR(__xludf.DUMMYFUNCTION("""COMPUTED_VALUE"""),77.0)</f>
        <v>77</v>
      </c>
      <c r="B78" s="2" t="str">
        <f>IFERROR(__xludf.DUMMYFUNCTION("""COMPUTED_VALUE"""),"Valencia ‐ Spain")</f>
        <v>Valencia ‐ Spain</v>
      </c>
      <c r="C78" s="2">
        <f>IFERROR(__xludf.DUMMYFUNCTION("""COMPUTED_VALUE"""),54.37)</f>
        <v>54.37</v>
      </c>
    </row>
    <row r="79">
      <c r="A79" s="2">
        <f>IFERROR(__xludf.DUMMYFUNCTION("""COMPUTED_VALUE"""),78.0)</f>
        <v>78</v>
      </c>
      <c r="B79" s="2" t="str">
        <f>IFERROR(__xludf.DUMMYFUNCTION("""COMPUTED_VALUE"""),"Las Vegas ‐ USA")</f>
        <v>Las Vegas ‐ USA</v>
      </c>
      <c r="C79" s="2">
        <f>IFERROR(__xludf.DUMMYFUNCTION("""COMPUTED_VALUE"""),53.91)</f>
        <v>53.91</v>
      </c>
    </row>
    <row r="80">
      <c r="A80" s="2">
        <f>IFERROR(__xludf.DUMMYFUNCTION("""COMPUTED_VALUE"""),79.0)</f>
        <v>79</v>
      </c>
      <c r="B80" s="2" t="str">
        <f>IFERROR(__xludf.DUMMYFUNCTION("""COMPUTED_VALUE"""),"Marseille ‐ France")</f>
        <v>Marseille ‐ France</v>
      </c>
      <c r="C80" s="2">
        <f>IFERROR(__xludf.DUMMYFUNCTION("""COMPUTED_VALUE"""),53.79)</f>
        <v>53.79</v>
      </c>
    </row>
    <row r="81">
      <c r="A81" s="2">
        <f>IFERROR(__xludf.DUMMYFUNCTION("""COMPUTED_VALUE"""),80.0)</f>
        <v>80</v>
      </c>
      <c r="B81" s="2" t="str">
        <f>IFERROR(__xludf.DUMMYFUNCTION("""COMPUTED_VALUE"""),"Tel Aviv ‐ Israel")</f>
        <v>Tel Aviv ‐ Israel</v>
      </c>
      <c r="C81" s="2">
        <f>IFERROR(__xludf.DUMMYFUNCTION("""COMPUTED_VALUE"""),53.29)</f>
        <v>53.29</v>
      </c>
    </row>
    <row r="82">
      <c r="A82" s="2">
        <f>IFERROR(__xludf.DUMMYFUNCTION("""COMPUTED_VALUE"""),81.0)</f>
        <v>81</v>
      </c>
      <c r="B82" s="2" t="str">
        <f>IFERROR(__xludf.DUMMYFUNCTION("""COMPUTED_VALUE"""),"Dubai ‐ United Arab Emirates")</f>
        <v>Dubai ‐ United Arab Emirates</v>
      </c>
      <c r="C82" s="2">
        <f>IFERROR(__xludf.DUMMYFUNCTION("""COMPUTED_VALUE"""),53.28)</f>
        <v>53.28</v>
      </c>
    </row>
    <row r="83">
      <c r="A83" s="2">
        <f>IFERROR(__xludf.DUMMYFUNCTION("""COMPUTED_VALUE"""),82.0)</f>
        <v>82</v>
      </c>
      <c r="B83" s="2" t="str">
        <f>IFERROR(__xludf.DUMMYFUNCTION("""COMPUTED_VALUE"""),"Antwerp ‐ Belgium")</f>
        <v>Antwerp ‐ Belgium</v>
      </c>
      <c r="C83" s="2">
        <f>IFERROR(__xludf.DUMMYFUNCTION("""COMPUTED_VALUE"""),53.03)</f>
        <v>53.03</v>
      </c>
    </row>
    <row r="84">
      <c r="A84" s="2">
        <f>IFERROR(__xludf.DUMMYFUNCTION("""COMPUTED_VALUE"""),83.0)</f>
        <v>83</v>
      </c>
      <c r="B84" s="2" t="str">
        <f>IFERROR(__xludf.DUMMYFUNCTION("""COMPUTED_VALUE"""),"Nice ‐ France")</f>
        <v>Nice ‐ France</v>
      </c>
      <c r="C84" s="2">
        <f>IFERROR(__xludf.DUMMYFUNCTION("""COMPUTED_VALUE"""),52.69)</f>
        <v>52.69</v>
      </c>
    </row>
    <row r="85">
      <c r="A85" s="2">
        <f>IFERROR(__xludf.DUMMYFUNCTION("""COMPUTED_VALUE"""),84.0)</f>
        <v>84</v>
      </c>
      <c r="B85" s="2" t="str">
        <f>IFERROR(__xludf.DUMMYFUNCTION("""COMPUTED_VALUE"""),"Osaka ‐ Japan")</f>
        <v>Osaka ‐ Japan</v>
      </c>
      <c r="C85" s="2">
        <f>IFERROR(__xludf.DUMMYFUNCTION("""COMPUTED_VALUE"""),52.39)</f>
        <v>52.39</v>
      </c>
    </row>
    <row r="86">
      <c r="A86" s="2">
        <f>IFERROR(__xludf.DUMMYFUNCTION("""COMPUTED_VALUE"""),85.0)</f>
        <v>85</v>
      </c>
      <c r="B86" s="2" t="str">
        <f>IFERROR(__xludf.DUMMYFUNCTION("""COMPUTED_VALUE"""),"Linz ‐ Austria")</f>
        <v>Linz ‐ Austria</v>
      </c>
      <c r="C86" s="2">
        <f>IFERROR(__xludf.DUMMYFUNCTION("""COMPUTED_VALUE"""),51.81)</f>
        <v>51.81</v>
      </c>
    </row>
    <row r="87">
      <c r="A87" s="2">
        <f>IFERROR(__xludf.DUMMYFUNCTION("""COMPUTED_VALUE"""),86.0)</f>
        <v>86</v>
      </c>
      <c r="B87" s="2" t="str">
        <f>IFERROR(__xludf.DUMMYFUNCTION("""COMPUTED_VALUE"""),"Nagoya ‐ Japan")</f>
        <v>Nagoya ‐ Japan</v>
      </c>
      <c r="C87" s="2">
        <f>IFERROR(__xludf.DUMMYFUNCTION("""COMPUTED_VALUE"""),51.8)</f>
        <v>51.8</v>
      </c>
    </row>
    <row r="88">
      <c r="A88" s="2">
        <f>IFERROR(__xludf.DUMMYFUNCTION("""COMPUTED_VALUE"""),87.0)</f>
        <v>87</v>
      </c>
      <c r="B88" s="2" t="str">
        <f>IFERROR(__xludf.DUMMYFUNCTION("""COMPUTED_VALUE"""),"Budapest ‐ Hungary")</f>
        <v>Budapest ‐ Hungary</v>
      </c>
      <c r="C88" s="2">
        <f>IFERROR(__xludf.DUMMYFUNCTION("""COMPUTED_VALUE"""),51.22)</f>
        <v>51.22</v>
      </c>
    </row>
    <row r="89">
      <c r="A89" s="2">
        <f>IFERROR(__xludf.DUMMYFUNCTION("""COMPUTED_VALUE"""),88.0)</f>
        <v>88</v>
      </c>
      <c r="B89" s="2" t="str">
        <f>IFERROR(__xludf.DUMMYFUNCTION("""COMPUTED_VALUE"""),"Lille ‐ France")</f>
        <v>Lille ‐ France</v>
      </c>
      <c r="C89" s="2">
        <f>IFERROR(__xludf.DUMMYFUNCTION("""COMPUTED_VALUE"""),50.96)</f>
        <v>50.96</v>
      </c>
    </row>
    <row r="90">
      <c r="A90" s="2">
        <f>IFERROR(__xludf.DUMMYFUNCTION("""COMPUTED_VALUE"""),89.0)</f>
        <v>89</v>
      </c>
      <c r="B90" s="2" t="str">
        <f>IFERROR(__xludf.DUMMYFUNCTION("""COMPUTED_VALUE"""),"Duisburg ‐ Germany")</f>
        <v>Duisburg ‐ Germany</v>
      </c>
      <c r="C90" s="2">
        <f>IFERROR(__xludf.DUMMYFUNCTION("""COMPUTED_VALUE"""),50.85)</f>
        <v>50.85</v>
      </c>
    </row>
    <row r="91">
      <c r="A91" s="2">
        <f>IFERROR(__xludf.DUMMYFUNCTION("""COMPUTED_VALUE"""),90.0)</f>
        <v>90</v>
      </c>
      <c r="B91" s="2" t="str">
        <f>IFERROR(__xludf.DUMMYFUNCTION("""COMPUTED_VALUE"""),"Málaga ‐ Spain")</f>
        <v>Málaga ‐ Spain</v>
      </c>
      <c r="C91" s="2">
        <f>IFERROR(__xludf.DUMMYFUNCTION("""COMPUTED_VALUE"""),50.27)</f>
        <v>50.27</v>
      </c>
    </row>
    <row r="92">
      <c r="A92" s="2">
        <f>IFERROR(__xludf.DUMMYFUNCTION("""COMPUTED_VALUE"""),91.0)</f>
        <v>91</v>
      </c>
      <c r="B92" s="2" t="str">
        <f>IFERROR(__xludf.DUMMYFUNCTION("""COMPUTED_VALUE"""),"Santiago ‐ Chile")</f>
        <v>Santiago ‐ Chile</v>
      </c>
      <c r="C92" s="2">
        <f>IFERROR(__xludf.DUMMYFUNCTION("""COMPUTED_VALUE"""),49.96)</f>
        <v>49.96</v>
      </c>
    </row>
    <row r="93">
      <c r="A93" s="2">
        <f>IFERROR(__xludf.DUMMYFUNCTION("""COMPUTED_VALUE"""),92.0)</f>
        <v>92</v>
      </c>
      <c r="B93" s="2" t="str">
        <f>IFERROR(__xludf.DUMMYFUNCTION("""COMPUTED_VALUE"""),"Riga ‐ Latvia")</f>
        <v>Riga ‐ Latvia</v>
      </c>
      <c r="C93" s="2">
        <f>IFERROR(__xludf.DUMMYFUNCTION("""COMPUTED_VALUE"""),49.73)</f>
        <v>49.73</v>
      </c>
    </row>
    <row r="94">
      <c r="A94" s="2">
        <f>IFERROR(__xludf.DUMMYFUNCTION("""COMPUTED_VALUE"""),93.0)</f>
        <v>93</v>
      </c>
      <c r="B94" s="2" t="str">
        <f>IFERROR(__xludf.DUMMYFUNCTION("""COMPUTED_VALUE"""),"Istanbul ‐ Turkey")</f>
        <v>Istanbul ‐ Turkey</v>
      </c>
      <c r="C94" s="2">
        <f>IFERROR(__xludf.DUMMYFUNCTION("""COMPUTED_VALUE"""),49.71)</f>
        <v>49.71</v>
      </c>
    </row>
    <row r="95">
      <c r="A95" s="2">
        <f>IFERROR(__xludf.DUMMYFUNCTION("""COMPUTED_VALUE"""),94.0)</f>
        <v>94</v>
      </c>
      <c r="B95" s="2" t="str">
        <f>IFERROR(__xludf.DUMMYFUNCTION("""COMPUTED_VALUE"""),"Seville ‐ Spain")</f>
        <v>Seville ‐ Spain</v>
      </c>
      <c r="C95" s="2">
        <f>IFERROR(__xludf.DUMMYFUNCTION("""COMPUTED_VALUE"""),49.62)</f>
        <v>49.62</v>
      </c>
    </row>
    <row r="96">
      <c r="A96" s="2">
        <f>IFERROR(__xludf.DUMMYFUNCTION("""COMPUTED_VALUE"""),95.0)</f>
        <v>95</v>
      </c>
      <c r="B96" s="2" t="str">
        <f>IFERROR(__xludf.DUMMYFUNCTION("""COMPUTED_VALUE"""),"Vilnius ‐ Lithuania")</f>
        <v>Vilnius ‐ Lithuania</v>
      </c>
      <c r="C96" s="2">
        <f>IFERROR(__xludf.DUMMYFUNCTION("""COMPUTED_VALUE"""),49.43)</f>
        <v>49.43</v>
      </c>
    </row>
    <row r="97">
      <c r="A97" s="2">
        <f>IFERROR(__xludf.DUMMYFUNCTION("""COMPUTED_VALUE"""),96.0)</f>
        <v>96</v>
      </c>
      <c r="B97" s="2" t="str">
        <f>IFERROR(__xludf.DUMMYFUNCTION("""COMPUTED_VALUE"""),"Zaragoza ‐ Spain")</f>
        <v>Zaragoza ‐ Spain</v>
      </c>
      <c r="C97" s="2">
        <f>IFERROR(__xludf.DUMMYFUNCTION("""COMPUTED_VALUE"""),49.42)</f>
        <v>49.42</v>
      </c>
    </row>
    <row r="98">
      <c r="A98" s="2">
        <f>IFERROR(__xludf.DUMMYFUNCTION("""COMPUTED_VALUE"""),97.0)</f>
        <v>97</v>
      </c>
      <c r="B98" s="2" t="str">
        <f>IFERROR(__xludf.DUMMYFUNCTION("""COMPUTED_VALUE"""),"Moscow ‐ Russia")</f>
        <v>Moscow ‐ Russia</v>
      </c>
      <c r="C98" s="2">
        <f>IFERROR(__xludf.DUMMYFUNCTION("""COMPUTED_VALUE"""),49.14)</f>
        <v>49.14</v>
      </c>
    </row>
    <row r="99">
      <c r="A99" s="2">
        <f>IFERROR(__xludf.DUMMYFUNCTION("""COMPUTED_VALUE"""),98.0)</f>
        <v>98</v>
      </c>
      <c r="B99" s="2" t="str">
        <f>IFERROR(__xludf.DUMMYFUNCTION("""COMPUTED_VALUE"""),"Palma de Mallorca ‐ Spain")</f>
        <v>Palma de Mallorca ‐ Spain</v>
      </c>
      <c r="C99" s="2">
        <f>IFERROR(__xludf.DUMMYFUNCTION("""COMPUTED_VALUE"""),48.59)</f>
        <v>48.59</v>
      </c>
    </row>
    <row r="100">
      <c r="A100" s="2">
        <f>IFERROR(__xludf.DUMMYFUNCTION("""COMPUTED_VALUE"""),99.0)</f>
        <v>99</v>
      </c>
      <c r="B100" s="2" t="str">
        <f>IFERROR(__xludf.DUMMYFUNCTION("""COMPUTED_VALUE"""),"Wroclaw ‐ Poland")</f>
        <v>Wroclaw ‐ Poland</v>
      </c>
      <c r="C100" s="2">
        <f>IFERROR(__xludf.DUMMYFUNCTION("""COMPUTED_VALUE"""),48.57)</f>
        <v>48.57</v>
      </c>
    </row>
    <row r="101">
      <c r="A101" s="2">
        <f>IFERROR(__xludf.DUMMYFUNCTION("""COMPUTED_VALUE"""),100.0)</f>
        <v>100</v>
      </c>
      <c r="B101" s="2" t="str">
        <f>IFERROR(__xludf.DUMMYFUNCTION("""COMPUTED_VALUE"""),"Turin ‐ Italy")</f>
        <v>Turin ‐ Italy</v>
      </c>
      <c r="C101" s="2">
        <f>IFERROR(__xludf.DUMMYFUNCTION("""COMPUTED_VALUE"""),48.49)</f>
        <v>48.49</v>
      </c>
    </row>
    <row r="102">
      <c r="A102" s="2">
        <f>IFERROR(__xludf.DUMMYFUNCTION("""COMPUTED_VALUE"""),101.0)</f>
        <v>101</v>
      </c>
      <c r="B102" s="2" t="str">
        <f>IFERROR(__xludf.DUMMYFUNCTION("""COMPUTED_VALUE"""),"Bratislava ‐ Slovakia")</f>
        <v>Bratislava ‐ Slovakia</v>
      </c>
      <c r="C102" s="2">
        <f>IFERROR(__xludf.DUMMYFUNCTION("""COMPUTED_VALUE"""),48.01)</f>
        <v>48.01</v>
      </c>
    </row>
    <row r="103">
      <c r="A103" s="2">
        <f>IFERROR(__xludf.DUMMYFUNCTION("""COMPUTED_VALUE"""),102.0)</f>
        <v>102</v>
      </c>
      <c r="B103" s="2" t="str">
        <f>IFERROR(__xludf.DUMMYFUNCTION("""COMPUTED_VALUE"""),"Ljubljana ‐ Slovenia")</f>
        <v>Ljubljana ‐ Slovenia</v>
      </c>
      <c r="C103" s="2">
        <f>IFERROR(__xludf.DUMMYFUNCTION("""COMPUTED_VALUE"""),47.91)</f>
        <v>47.91</v>
      </c>
    </row>
    <row r="104">
      <c r="A104" s="2">
        <f>IFERROR(__xludf.DUMMYFUNCTION("""COMPUTED_VALUE"""),103.0)</f>
        <v>103</v>
      </c>
      <c r="B104" s="2" t="str">
        <f>IFERROR(__xludf.DUMMYFUNCTION("""COMPUTED_VALUE"""),"Bilbao ‐ Spain")</f>
        <v>Bilbao ‐ Spain</v>
      </c>
      <c r="C104" s="2">
        <f>IFERROR(__xludf.DUMMYFUNCTION("""COMPUTED_VALUE"""),47.66)</f>
        <v>47.66</v>
      </c>
    </row>
    <row r="105">
      <c r="A105" s="2">
        <f>IFERROR(__xludf.DUMMYFUNCTION("""COMPUTED_VALUE"""),104.0)</f>
        <v>104</v>
      </c>
      <c r="B105" s="2" t="str">
        <f>IFERROR(__xludf.DUMMYFUNCTION("""COMPUTED_VALUE"""),"A Coruña ‐ Spain")</f>
        <v>A Coruña ‐ Spain</v>
      </c>
      <c r="C105" s="2">
        <f>IFERROR(__xludf.DUMMYFUNCTION("""COMPUTED_VALUE"""),47.41)</f>
        <v>47.41</v>
      </c>
    </row>
    <row r="106">
      <c r="A106" s="2">
        <f>IFERROR(__xludf.DUMMYFUNCTION("""COMPUTED_VALUE"""),105.0)</f>
        <v>105</v>
      </c>
      <c r="B106" s="2" t="str">
        <f>IFERROR(__xludf.DUMMYFUNCTION("""COMPUTED_VALUE"""),"Porto ‐ Portugal")</f>
        <v>Porto ‐ Portugal</v>
      </c>
      <c r="C106" s="2">
        <f>IFERROR(__xludf.DUMMYFUNCTION("""COMPUTED_VALUE"""),46.85)</f>
        <v>46.85</v>
      </c>
    </row>
    <row r="107">
      <c r="A107" s="2">
        <f>IFERROR(__xludf.DUMMYFUNCTION("""COMPUTED_VALUE"""),106.0)</f>
        <v>106</v>
      </c>
      <c r="B107" s="2" t="str">
        <f>IFERROR(__xludf.DUMMYFUNCTION("""COMPUTED_VALUE"""),"Zagreb ‐ Croatia")</f>
        <v>Zagreb ‐ Croatia</v>
      </c>
      <c r="C107" s="2">
        <f>IFERROR(__xludf.DUMMYFUNCTION("""COMPUTED_VALUE"""),46.82)</f>
        <v>46.82</v>
      </c>
    </row>
    <row r="108">
      <c r="A108" s="2">
        <f>IFERROR(__xludf.DUMMYFUNCTION("""COMPUTED_VALUE"""),107.0)</f>
        <v>107</v>
      </c>
      <c r="B108" s="2" t="str">
        <f>IFERROR(__xludf.DUMMYFUNCTION("""COMPUTED_VALUE"""),"Kuala Lumpur ‐ Malaysia")</f>
        <v>Kuala Lumpur ‐ Malaysia</v>
      </c>
      <c r="C108" s="2">
        <f>IFERROR(__xludf.DUMMYFUNCTION("""COMPUTED_VALUE"""),46.81)</f>
        <v>46.81</v>
      </c>
    </row>
    <row r="109">
      <c r="A109" s="2">
        <f>IFERROR(__xludf.DUMMYFUNCTION("""COMPUTED_VALUE"""),108.0)</f>
        <v>108</v>
      </c>
      <c r="B109" s="2" t="str">
        <f>IFERROR(__xludf.DUMMYFUNCTION("""COMPUTED_VALUE"""),"Shenzhen ‐ China")</f>
        <v>Shenzhen ‐ China</v>
      </c>
      <c r="C109" s="2">
        <f>IFERROR(__xludf.DUMMYFUNCTION("""COMPUTED_VALUE"""),45.92)</f>
        <v>45.92</v>
      </c>
    </row>
    <row r="110">
      <c r="A110" s="2">
        <f>IFERROR(__xludf.DUMMYFUNCTION("""COMPUTED_VALUE"""),109.0)</f>
        <v>109</v>
      </c>
      <c r="B110" s="2" t="str">
        <f>IFERROR(__xludf.DUMMYFUNCTION("""COMPUTED_VALUE"""),"Florence ‐ Italy")</f>
        <v>Florence ‐ Italy</v>
      </c>
      <c r="C110" s="2">
        <f>IFERROR(__xludf.DUMMYFUNCTION("""COMPUTED_VALUE"""),45.72)</f>
        <v>45.72</v>
      </c>
    </row>
    <row r="111">
      <c r="A111" s="2">
        <f>IFERROR(__xludf.DUMMYFUNCTION("""COMPUTED_VALUE"""),110.0)</f>
        <v>110</v>
      </c>
      <c r="B111" s="2" t="str">
        <f>IFERROR(__xludf.DUMMYFUNCTION("""COMPUTED_VALUE"""),"Murcia ‐ Spain")</f>
        <v>Murcia ‐ Spain</v>
      </c>
      <c r="C111" s="2">
        <f>IFERROR(__xludf.DUMMYFUNCTION("""COMPUTED_VALUE"""),45.27)</f>
        <v>45.27</v>
      </c>
    </row>
    <row r="112">
      <c r="A112" s="2">
        <f>IFERROR(__xludf.DUMMYFUNCTION("""COMPUTED_VALUE"""),111.0)</f>
        <v>111</v>
      </c>
      <c r="B112" s="2" t="str">
        <f>IFERROR(__xludf.DUMMYFUNCTION("""COMPUTED_VALUE"""),"Athens ‐ Greece")</f>
        <v>Athens ‐ Greece</v>
      </c>
      <c r="C112" s="2">
        <f>IFERROR(__xludf.DUMMYFUNCTION("""COMPUTED_VALUE"""),45.06)</f>
        <v>45.06</v>
      </c>
    </row>
    <row r="113">
      <c r="A113" s="2">
        <f>IFERROR(__xludf.DUMMYFUNCTION("""COMPUTED_VALUE"""),112.0)</f>
        <v>112</v>
      </c>
      <c r="B113" s="2" t="str">
        <f>IFERROR(__xludf.DUMMYFUNCTION("""COMPUTED_VALUE"""),"Jerusalem ‐ Israel")</f>
        <v>Jerusalem ‐ Israel</v>
      </c>
      <c r="C113" s="2">
        <f>IFERROR(__xludf.DUMMYFUNCTION("""COMPUTED_VALUE"""),44.9)</f>
        <v>44.9</v>
      </c>
    </row>
    <row r="114">
      <c r="A114" s="2">
        <f>IFERROR(__xludf.DUMMYFUNCTION("""COMPUTED_VALUE"""),113.0)</f>
        <v>113</v>
      </c>
      <c r="B114" s="2" t="str">
        <f>IFERROR(__xludf.DUMMYFUNCTION("""COMPUTED_VALUE"""),"Sofia ‐ Bulgaria")</f>
        <v>Sofia ‐ Bulgaria</v>
      </c>
      <c r="C114" s="2">
        <f>IFERROR(__xludf.DUMMYFUNCTION("""COMPUTED_VALUE"""),44.7)</f>
        <v>44.7</v>
      </c>
    </row>
    <row r="115">
      <c r="A115" s="2">
        <f>IFERROR(__xludf.DUMMYFUNCTION("""COMPUTED_VALUE"""),114.0)</f>
        <v>114</v>
      </c>
      <c r="B115" s="2" t="str">
        <f>IFERROR(__xludf.DUMMYFUNCTION("""COMPUTED_VALUE"""),"Bucharest ‐ Romania")</f>
        <v>Bucharest ‐ Romania</v>
      </c>
      <c r="C115" s="2">
        <f>IFERROR(__xludf.DUMMYFUNCTION("""COMPUTED_VALUE"""),44.38)</f>
        <v>44.38</v>
      </c>
    </row>
    <row r="116">
      <c r="A116" s="2">
        <f>IFERROR(__xludf.DUMMYFUNCTION("""COMPUTED_VALUE"""),115.0)</f>
        <v>115</v>
      </c>
      <c r="B116" s="2" t="str">
        <f>IFERROR(__xludf.DUMMYFUNCTION("""COMPUTED_VALUE"""),"Buenos Aires ‐ Argentina")</f>
        <v>Buenos Aires ‐ Argentina</v>
      </c>
      <c r="C116" s="2">
        <f>IFERROR(__xludf.DUMMYFUNCTION("""COMPUTED_VALUE"""),43.67)</f>
        <v>43.67</v>
      </c>
    </row>
    <row r="117">
      <c r="A117" s="2">
        <f>IFERROR(__xludf.DUMMYFUNCTION("""COMPUTED_VALUE"""),116.0)</f>
        <v>116</v>
      </c>
      <c r="B117" s="2" t="str">
        <f>IFERROR(__xludf.DUMMYFUNCTION("""COMPUTED_VALUE"""),"Abu Dhabi ‐ United Arab Emirates")</f>
        <v>Abu Dhabi ‐ United Arab Emirates</v>
      </c>
      <c r="C117" s="2">
        <f>IFERROR(__xludf.DUMMYFUNCTION("""COMPUTED_VALUE"""),43.64)</f>
        <v>43.64</v>
      </c>
    </row>
    <row r="118">
      <c r="A118" s="2">
        <f>IFERROR(__xludf.DUMMYFUNCTION("""COMPUTED_VALUE"""),117.0)</f>
        <v>117</v>
      </c>
      <c r="B118" s="2" t="str">
        <f>IFERROR(__xludf.DUMMYFUNCTION("""COMPUTED_VALUE"""),"Guangzhou ‐ China")</f>
        <v>Guangzhou ‐ China</v>
      </c>
      <c r="C118" s="2">
        <f>IFERROR(__xludf.DUMMYFUNCTION("""COMPUTED_VALUE"""),43.5)</f>
        <v>43.5</v>
      </c>
    </row>
    <row r="119">
      <c r="A119" s="2">
        <f>IFERROR(__xludf.DUMMYFUNCTION("""COMPUTED_VALUE"""),118.0)</f>
        <v>118</v>
      </c>
      <c r="B119" s="2" t="str">
        <f>IFERROR(__xludf.DUMMYFUNCTION("""COMPUTED_VALUE"""),"Kyiv ‐ Ukraine")</f>
        <v>Kyiv ‐ Ukraine</v>
      </c>
      <c r="C119" s="2">
        <f>IFERROR(__xludf.DUMMYFUNCTION("""COMPUTED_VALUE"""),42.09)</f>
        <v>42.09</v>
      </c>
    </row>
    <row r="120">
      <c r="A120" s="2">
        <f>IFERROR(__xludf.DUMMYFUNCTION("""COMPUTED_VALUE"""),119.0)</f>
        <v>119</v>
      </c>
      <c r="B120" s="2" t="str">
        <f>IFERROR(__xludf.DUMMYFUNCTION("""COMPUTED_VALUE"""),"Montevideo ‐ Uruguay")</f>
        <v>Montevideo ‐ Uruguay</v>
      </c>
      <c r="C120" s="2">
        <f>IFERROR(__xludf.DUMMYFUNCTION("""COMPUTED_VALUE"""),40.78)</f>
        <v>40.78</v>
      </c>
    </row>
    <row r="121">
      <c r="A121" s="2">
        <f>IFERROR(__xludf.DUMMYFUNCTION("""COMPUTED_VALUE"""),120.0)</f>
        <v>120</v>
      </c>
      <c r="B121" s="2" t="str">
        <f>IFERROR(__xludf.DUMMYFUNCTION("""COMPUTED_VALUE"""),"Mexico City ‐ Mexico")</f>
        <v>Mexico City ‐ Mexico</v>
      </c>
      <c r="C121" s="2">
        <f>IFERROR(__xludf.DUMMYFUNCTION("""COMPUTED_VALUE"""),40.72)</f>
        <v>40.72</v>
      </c>
    </row>
    <row r="122">
      <c r="A122" s="2">
        <f>IFERROR(__xludf.DUMMYFUNCTION("""COMPUTED_VALUE"""),121.0)</f>
        <v>121</v>
      </c>
      <c r="B122" s="2" t="str">
        <f>IFERROR(__xludf.DUMMYFUNCTION("""COMPUTED_VALUE"""),"Doha ‐ Qatar")</f>
        <v>Doha ‐ Qatar</v>
      </c>
      <c r="C122" s="2">
        <f>IFERROR(__xludf.DUMMYFUNCTION("""COMPUTED_VALUE"""),40.2)</f>
        <v>40.2</v>
      </c>
    </row>
    <row r="123">
      <c r="A123" s="2">
        <f>IFERROR(__xludf.DUMMYFUNCTION("""COMPUTED_VALUE"""),122.0)</f>
        <v>122</v>
      </c>
      <c r="B123" s="2" t="str">
        <f>IFERROR(__xludf.DUMMYFUNCTION("""COMPUTED_VALUE"""),"Bangkok ‐ Thailand")</f>
        <v>Bangkok ‐ Thailand</v>
      </c>
      <c r="C123" s="2">
        <f>IFERROR(__xludf.DUMMYFUNCTION("""COMPUTED_VALUE"""),40.02)</f>
        <v>40.02</v>
      </c>
    </row>
    <row r="124">
      <c r="A124" s="2">
        <f>IFERROR(__xludf.DUMMYFUNCTION("""COMPUTED_VALUE"""),123.0)</f>
        <v>123</v>
      </c>
      <c r="B124" s="2" t="str">
        <f>IFERROR(__xludf.DUMMYFUNCTION("""COMPUTED_VALUE"""),"Naples ‐ Italy")</f>
        <v>Naples ‐ Italy</v>
      </c>
      <c r="C124" s="2">
        <f>IFERROR(__xludf.DUMMYFUNCTION("""COMPUTED_VALUE"""),40.0)</f>
        <v>40</v>
      </c>
    </row>
    <row r="125">
      <c r="A125" s="2">
        <f>IFERROR(__xludf.DUMMYFUNCTION("""COMPUTED_VALUE"""),124.0)</f>
        <v>124</v>
      </c>
      <c r="B125" s="2" t="str">
        <f>IFERROR(__xludf.DUMMYFUNCTION("""COMPUTED_VALUE"""),"Ankara ‐ Turkey")</f>
        <v>Ankara ‐ Turkey</v>
      </c>
      <c r="C125" s="2">
        <f>IFERROR(__xludf.DUMMYFUNCTION("""COMPUTED_VALUE"""),39.16)</f>
        <v>39.16</v>
      </c>
    </row>
    <row r="126">
      <c r="A126" s="2">
        <f>IFERROR(__xludf.DUMMYFUNCTION("""COMPUTED_VALUE"""),125.0)</f>
        <v>125</v>
      </c>
      <c r="B126" s="2" t="str">
        <f>IFERROR(__xludf.DUMMYFUNCTION("""COMPUTED_VALUE"""),"Saint Petersburg ‐ Russia")</f>
        <v>Saint Petersburg ‐ Russia</v>
      </c>
      <c r="C126" s="2">
        <f>IFERROR(__xludf.DUMMYFUNCTION("""COMPUTED_VALUE"""),39.11)</f>
        <v>39.11</v>
      </c>
    </row>
    <row r="127">
      <c r="A127" s="2">
        <f>IFERROR(__xludf.DUMMYFUNCTION("""COMPUTED_VALUE"""),126.0)</f>
        <v>126</v>
      </c>
      <c r="B127" s="2" t="str">
        <f>IFERROR(__xludf.DUMMYFUNCTION("""COMPUTED_VALUE"""),"Tbilisi ‐ Georgia")</f>
        <v>Tbilisi ‐ Georgia</v>
      </c>
      <c r="C127" s="2">
        <f>IFERROR(__xludf.DUMMYFUNCTION("""COMPUTED_VALUE"""),39.01)</f>
        <v>39.01</v>
      </c>
    </row>
    <row r="128">
      <c r="A128" s="2">
        <f>IFERROR(__xludf.DUMMYFUNCTION("""COMPUTED_VALUE"""),127.0)</f>
        <v>127</v>
      </c>
      <c r="B128" s="2" t="str">
        <f>IFERROR(__xludf.DUMMYFUNCTION("""COMPUTED_VALUE"""),"Panama ‐ Panama")</f>
        <v>Panama ‐ Panama</v>
      </c>
      <c r="C128" s="2">
        <f>IFERROR(__xludf.DUMMYFUNCTION("""COMPUTED_VALUE"""),38.31)</f>
        <v>38.31</v>
      </c>
    </row>
    <row r="129">
      <c r="A129" s="2">
        <f>IFERROR(__xludf.DUMMYFUNCTION("""COMPUTED_VALUE"""),128.0)</f>
        <v>128</v>
      </c>
      <c r="B129" s="2" t="str">
        <f>IFERROR(__xludf.DUMMYFUNCTION("""COMPUTED_VALUE"""),"São Paulo ‐ Brazil")</f>
        <v>São Paulo ‐ Brazil</v>
      </c>
      <c r="C129" s="2">
        <f>IFERROR(__xludf.DUMMYFUNCTION("""COMPUTED_VALUE"""),37.81)</f>
        <v>37.81</v>
      </c>
    </row>
    <row r="130">
      <c r="A130" s="2">
        <f>IFERROR(__xludf.DUMMYFUNCTION("""COMPUTED_VALUE"""),129.0)</f>
        <v>129</v>
      </c>
      <c r="B130" s="2" t="str">
        <f>IFERROR(__xludf.DUMMYFUNCTION("""COMPUTED_VALUE"""),"Belgrade ‐ Serbia")</f>
        <v>Belgrade ‐ Serbia</v>
      </c>
      <c r="C130" s="2">
        <f>IFERROR(__xludf.DUMMYFUNCTION("""COMPUTED_VALUE"""),37.66)</f>
        <v>37.66</v>
      </c>
    </row>
    <row r="131">
      <c r="A131" s="2">
        <f>IFERROR(__xludf.DUMMYFUNCTION("""COMPUTED_VALUE"""),130.0)</f>
        <v>130</v>
      </c>
      <c r="B131" s="2" t="str">
        <f>IFERROR(__xludf.DUMMYFUNCTION("""COMPUTED_VALUE"""),"Ho Chi Minh City ‐ Vietnam")</f>
        <v>Ho Chi Minh City ‐ Vietnam</v>
      </c>
      <c r="C131" s="2">
        <f>IFERROR(__xludf.DUMMYFUNCTION("""COMPUTED_VALUE"""),36.58)</f>
        <v>36.58</v>
      </c>
    </row>
    <row r="132">
      <c r="A132" s="2">
        <f>IFERROR(__xludf.DUMMYFUNCTION("""COMPUTED_VALUE"""),131.0)</f>
        <v>131</v>
      </c>
      <c r="B132" s="2" t="str">
        <f>IFERROR(__xludf.DUMMYFUNCTION("""COMPUTED_VALUE"""),"Bogota ‐ Colombia")</f>
        <v>Bogota ‐ Colombia</v>
      </c>
      <c r="C132" s="2">
        <f>IFERROR(__xludf.DUMMYFUNCTION("""COMPUTED_VALUE"""),35.62)</f>
        <v>35.62</v>
      </c>
    </row>
    <row r="133">
      <c r="A133" s="2">
        <f>IFERROR(__xludf.DUMMYFUNCTION("""COMPUTED_VALUE"""),132.0)</f>
        <v>132</v>
      </c>
      <c r="B133" s="2" t="str">
        <f>IFERROR(__xludf.DUMMYFUNCTION("""COMPUTED_VALUE"""),"Minsk ‐ Belarus")</f>
        <v>Minsk ‐ Belarus</v>
      </c>
      <c r="C133" s="2">
        <f>IFERROR(__xludf.DUMMYFUNCTION("""COMPUTED_VALUE"""),35.19)</f>
        <v>35.19</v>
      </c>
    </row>
    <row r="134">
      <c r="A134" s="2">
        <f>IFERROR(__xludf.DUMMYFUNCTION("""COMPUTED_VALUE"""),133.0)</f>
        <v>133</v>
      </c>
      <c r="B134" s="2" t="str">
        <f>IFERROR(__xludf.DUMMYFUNCTION("""COMPUTED_VALUE"""),"Riyadh ‐ Saudi Arabia")</f>
        <v>Riyadh ‐ Saudi Arabia</v>
      </c>
      <c r="C134" s="2">
        <f>IFERROR(__xludf.DUMMYFUNCTION("""COMPUTED_VALUE"""),34.74)</f>
        <v>34.74</v>
      </c>
    </row>
    <row r="135">
      <c r="A135" s="2">
        <f>IFERROR(__xludf.DUMMYFUNCTION("""COMPUTED_VALUE"""),134.0)</f>
        <v>134</v>
      </c>
      <c r="B135" s="2" t="str">
        <f>IFERROR(__xludf.DUMMYFUNCTION("""COMPUTED_VALUE"""),"Rio de Janeiro ‐ Brazil")</f>
        <v>Rio de Janeiro ‐ Brazil</v>
      </c>
      <c r="C135" s="2">
        <f>IFERROR(__xludf.DUMMYFUNCTION("""COMPUTED_VALUE"""),33.82)</f>
        <v>33.82</v>
      </c>
    </row>
    <row r="136">
      <c r="A136" s="2">
        <f>IFERROR(__xludf.DUMMYFUNCTION("""COMPUTED_VALUE"""),135.0)</f>
        <v>135</v>
      </c>
      <c r="B136" s="2" t="str">
        <f>IFERROR(__xludf.DUMMYFUNCTION("""COMPUTED_VALUE"""),"Jakarta ‐ Indonesia")</f>
        <v>Jakarta ‐ Indonesia</v>
      </c>
      <c r="C136" s="2">
        <f>IFERROR(__xludf.DUMMYFUNCTION("""COMPUTED_VALUE"""),33.37)</f>
        <v>33.37</v>
      </c>
    </row>
    <row r="137">
      <c r="A137" s="2">
        <f>IFERROR(__xludf.DUMMYFUNCTION("""COMPUTED_VALUE"""),136.0)</f>
        <v>136</v>
      </c>
      <c r="B137" s="2" t="str">
        <f>IFERROR(__xludf.DUMMYFUNCTION("""COMPUTED_VALUE"""),"Almaty ‐ Kazakhstan")</f>
        <v>Almaty ‐ Kazakhstan</v>
      </c>
      <c r="C137" s="2">
        <f>IFERROR(__xludf.DUMMYFUNCTION("""COMPUTED_VALUE"""),33.31)</f>
        <v>33.31</v>
      </c>
    </row>
    <row r="138">
      <c r="A138" s="2">
        <f>IFERROR(__xludf.DUMMYFUNCTION("""COMPUTED_VALUE"""),137.0)</f>
        <v>137</v>
      </c>
      <c r="B138" s="2" t="str">
        <f>IFERROR(__xludf.DUMMYFUNCTION("""COMPUTED_VALUE"""),"Medellin ‐ Colombia")</f>
        <v>Medellin ‐ Colombia</v>
      </c>
      <c r="C138" s="2">
        <f>IFERROR(__xludf.DUMMYFUNCTION("""COMPUTED_VALUE"""),33.21)</f>
        <v>33.21</v>
      </c>
    </row>
    <row r="139">
      <c r="A139" s="2">
        <f>IFERROR(__xludf.DUMMYFUNCTION("""COMPUTED_VALUE"""),138.0)</f>
        <v>138</v>
      </c>
      <c r="B139" s="2" t="str">
        <f>IFERROR(__xludf.DUMMYFUNCTION("""COMPUTED_VALUE"""),"Kuwait City ‐ Kuwait")</f>
        <v>Kuwait City ‐ Kuwait</v>
      </c>
      <c r="C139" s="2">
        <f>IFERROR(__xludf.DUMMYFUNCTION("""COMPUTED_VALUE"""),32.93)</f>
        <v>32.93</v>
      </c>
    </row>
    <row r="140">
      <c r="A140" s="2">
        <f>IFERROR(__xludf.DUMMYFUNCTION("""COMPUTED_VALUE"""),139.0)</f>
        <v>139</v>
      </c>
      <c r="B140" s="2" t="str">
        <f>IFERROR(__xludf.DUMMYFUNCTION("""COMPUTED_VALUE"""),"Rosario ‐ Argentina")</f>
        <v>Rosario ‐ Argentina</v>
      </c>
      <c r="C140" s="2">
        <f>IFERROR(__xludf.DUMMYFUNCTION("""COMPUTED_VALUE"""),32.47)</f>
        <v>32.47</v>
      </c>
    </row>
    <row r="141">
      <c r="A141" s="2">
        <f>IFERROR(__xludf.DUMMYFUNCTION("""COMPUTED_VALUE"""),140.0)</f>
        <v>140</v>
      </c>
      <c r="B141" s="2" t="str">
        <f>IFERROR(__xludf.DUMMYFUNCTION("""COMPUTED_VALUE"""),"Baku ‐ Azerbaijan")</f>
        <v>Baku ‐ Azerbaijan</v>
      </c>
      <c r="C141" s="2">
        <f>IFERROR(__xludf.DUMMYFUNCTION("""COMPUTED_VALUE"""),31.92)</f>
        <v>31.92</v>
      </c>
    </row>
    <row r="142">
      <c r="A142" s="2">
        <f>IFERROR(__xludf.DUMMYFUNCTION("""COMPUTED_VALUE"""),141.0)</f>
        <v>141</v>
      </c>
      <c r="B142" s="2" t="str">
        <f>IFERROR(__xludf.DUMMYFUNCTION("""COMPUTED_VALUE"""),"Cape Town ‐ South Africa")</f>
        <v>Cape Town ‐ South Africa</v>
      </c>
      <c r="C142" s="2">
        <f>IFERROR(__xludf.DUMMYFUNCTION("""COMPUTED_VALUE"""),31.12)</f>
        <v>31.12</v>
      </c>
    </row>
    <row r="143">
      <c r="A143" s="2">
        <f>IFERROR(__xludf.DUMMYFUNCTION("""COMPUTED_VALUE"""),142.0)</f>
        <v>142</v>
      </c>
      <c r="B143" s="2" t="str">
        <f>IFERROR(__xludf.DUMMYFUNCTION("""COMPUTED_VALUE"""),"Manama ‐ Bahrain")</f>
        <v>Manama ‐ Bahrain</v>
      </c>
      <c r="C143" s="2">
        <f>IFERROR(__xludf.DUMMYFUNCTION("""COMPUTED_VALUE"""),31.0)</f>
        <v>31</v>
      </c>
    </row>
    <row r="144">
      <c r="A144" s="2">
        <f>IFERROR(__xludf.DUMMYFUNCTION("""COMPUTED_VALUE"""),143.0)</f>
        <v>143</v>
      </c>
      <c r="B144" s="2" t="str">
        <f>IFERROR(__xludf.DUMMYFUNCTION("""COMPUTED_VALUE"""),"Astana ‐ Kazakhstan")</f>
        <v>Astana ‐ Kazakhstan</v>
      </c>
      <c r="C144" s="2">
        <f>IFERROR(__xludf.DUMMYFUNCTION("""COMPUTED_VALUE"""),30.86)</f>
        <v>30.86</v>
      </c>
    </row>
    <row r="145">
      <c r="A145" s="2">
        <f>IFERROR(__xludf.DUMMYFUNCTION("""COMPUTED_VALUE"""),144.0)</f>
        <v>144</v>
      </c>
      <c r="B145" s="2" t="str">
        <f>IFERROR(__xludf.DUMMYFUNCTION("""COMPUTED_VALUE"""),"Lima ‐ Peru")</f>
        <v>Lima ‐ Peru</v>
      </c>
      <c r="C145" s="2">
        <f>IFERROR(__xludf.DUMMYFUNCTION("""COMPUTED_VALUE"""),30.33)</f>
        <v>30.33</v>
      </c>
    </row>
    <row r="146">
      <c r="A146" s="2">
        <f>IFERROR(__xludf.DUMMYFUNCTION("""COMPUTED_VALUE"""),145.0)</f>
        <v>145</v>
      </c>
      <c r="B146" s="2" t="str">
        <f>IFERROR(__xludf.DUMMYFUNCTION("""COMPUTED_VALUE"""),"Bangalore ‐ India")</f>
        <v>Bangalore ‐ India</v>
      </c>
      <c r="C146" s="2">
        <f>IFERROR(__xludf.DUMMYFUNCTION("""COMPUTED_VALUE"""),29.86)</f>
        <v>29.86</v>
      </c>
    </row>
    <row r="147">
      <c r="A147" s="2">
        <f>IFERROR(__xludf.DUMMYFUNCTION("""COMPUTED_VALUE"""),146.0)</f>
        <v>146</v>
      </c>
      <c r="B147" s="2" t="str">
        <f>IFERROR(__xludf.DUMMYFUNCTION("""COMPUTED_VALUE"""),"Tianjin ‐ China")</f>
        <v>Tianjin ‐ China</v>
      </c>
      <c r="C147" s="2">
        <f>IFERROR(__xludf.DUMMYFUNCTION("""COMPUTED_VALUE"""),29.83)</f>
        <v>29.83</v>
      </c>
    </row>
    <row r="148">
      <c r="A148" s="2">
        <f>IFERROR(__xludf.DUMMYFUNCTION("""COMPUTED_VALUE"""),147.0)</f>
        <v>147</v>
      </c>
      <c r="B148" s="2" t="str">
        <f>IFERROR(__xludf.DUMMYFUNCTION("""COMPUTED_VALUE"""),"Cordoba ‐ Argentina")</f>
        <v>Cordoba ‐ Argentina</v>
      </c>
      <c r="C148" s="2">
        <f>IFERROR(__xludf.DUMMYFUNCTION("""COMPUTED_VALUE"""),29.78)</f>
        <v>29.78</v>
      </c>
    </row>
    <row r="149">
      <c r="A149" s="2">
        <f>IFERROR(__xludf.DUMMYFUNCTION("""COMPUTED_VALUE"""),148.0)</f>
        <v>148</v>
      </c>
      <c r="B149" s="2" t="str">
        <f>IFERROR(__xludf.DUMMYFUNCTION("""COMPUTED_VALUE"""),"Curitiba ‐ Brazil")</f>
        <v>Curitiba ‐ Brazil</v>
      </c>
      <c r="C149" s="2">
        <f>IFERROR(__xludf.DUMMYFUNCTION("""COMPUTED_VALUE"""),29.52)</f>
        <v>29.52</v>
      </c>
    </row>
    <row r="150">
      <c r="A150" s="2">
        <f>IFERROR(__xludf.DUMMYFUNCTION("""COMPUTED_VALUE"""),149.0)</f>
        <v>149</v>
      </c>
      <c r="B150" s="2" t="str">
        <f>IFERROR(__xludf.DUMMYFUNCTION("""COMPUTED_VALUE"""),"Delhi ‐ India")</f>
        <v>Delhi ‐ India</v>
      </c>
      <c r="C150" s="2">
        <f>IFERROR(__xludf.DUMMYFUNCTION("""COMPUTED_VALUE"""),29.12)</f>
        <v>29.12</v>
      </c>
    </row>
    <row r="151">
      <c r="A151" s="2">
        <f>IFERROR(__xludf.DUMMYFUNCTION("""COMPUTED_VALUE"""),150.0)</f>
        <v>150</v>
      </c>
      <c r="B151" s="2" t="str">
        <f>IFERROR(__xludf.DUMMYFUNCTION("""COMPUTED_VALUE"""),"Skopje ‐ Macedonia")</f>
        <v>Skopje ‐ Macedonia</v>
      </c>
      <c r="C151" s="2">
        <f>IFERROR(__xludf.DUMMYFUNCTION("""COMPUTED_VALUE"""),29.02)</f>
        <v>29.02</v>
      </c>
    </row>
    <row r="152">
      <c r="A152" s="2">
        <f>IFERROR(__xludf.DUMMYFUNCTION("""COMPUTED_VALUE"""),151.0)</f>
        <v>151</v>
      </c>
      <c r="B152" s="2" t="str">
        <f>IFERROR(__xludf.DUMMYFUNCTION("""COMPUTED_VALUE"""),"Cali ‐ Colombia")</f>
        <v>Cali ‐ Colombia</v>
      </c>
      <c r="C152" s="2">
        <f>IFERROR(__xludf.DUMMYFUNCTION("""COMPUTED_VALUE"""),28.99)</f>
        <v>28.99</v>
      </c>
    </row>
    <row r="153">
      <c r="A153" s="2">
        <f>IFERROR(__xludf.DUMMYFUNCTION("""COMPUTED_VALUE"""),152.0)</f>
        <v>152</v>
      </c>
      <c r="B153" s="2" t="str">
        <f>IFERROR(__xludf.DUMMYFUNCTION("""COMPUTED_VALUE"""),"Mumbai ‐ India")</f>
        <v>Mumbai ‐ India</v>
      </c>
      <c r="C153" s="2">
        <f>IFERROR(__xludf.DUMMYFUNCTION("""COMPUTED_VALUE"""),28.9)</f>
        <v>28.9</v>
      </c>
    </row>
    <row r="154">
      <c r="A154" s="2">
        <f>IFERROR(__xludf.DUMMYFUNCTION("""COMPUTED_VALUE"""),153.0)</f>
        <v>153</v>
      </c>
      <c r="B154" s="2" t="str">
        <f>IFERROR(__xludf.DUMMYFUNCTION("""COMPUTED_VALUE"""),"Novosibirsk ‐ Russia")</f>
        <v>Novosibirsk ‐ Russia</v>
      </c>
      <c r="C154" s="2">
        <f>IFERROR(__xludf.DUMMYFUNCTION("""COMPUTED_VALUE"""),28.55)</f>
        <v>28.55</v>
      </c>
    </row>
    <row r="155">
      <c r="A155" s="2">
        <f>IFERROR(__xludf.DUMMYFUNCTION("""COMPUTED_VALUE"""),154.0)</f>
        <v>154</v>
      </c>
      <c r="B155" s="2" t="str">
        <f>IFERROR(__xludf.DUMMYFUNCTION("""COMPUTED_VALUE"""),"Tunis ‐ Tunisia")</f>
        <v>Tunis ‐ Tunisia</v>
      </c>
      <c r="C155" s="2">
        <f>IFERROR(__xludf.DUMMYFUNCTION("""COMPUTED_VALUE"""),27.76)</f>
        <v>27.76</v>
      </c>
    </row>
    <row r="156">
      <c r="A156" s="2">
        <f>IFERROR(__xludf.DUMMYFUNCTION("""COMPUTED_VALUE"""),155.0)</f>
        <v>155</v>
      </c>
      <c r="B156" s="2" t="str">
        <f>IFERROR(__xludf.DUMMYFUNCTION("""COMPUTED_VALUE"""),"Amman ‐ Jordan")</f>
        <v>Amman ‐ Jordan</v>
      </c>
      <c r="C156" s="2">
        <f>IFERROR(__xludf.DUMMYFUNCTION("""COMPUTED_VALUE"""),27.47)</f>
        <v>27.47</v>
      </c>
    </row>
    <row r="157">
      <c r="A157" s="2">
        <f>IFERROR(__xludf.DUMMYFUNCTION("""COMPUTED_VALUE"""),156.0)</f>
        <v>156</v>
      </c>
      <c r="B157" s="2" t="str">
        <f>IFERROR(__xludf.DUMMYFUNCTION("""COMPUTED_VALUE"""),"Brasilia ‐ Brazil")</f>
        <v>Brasilia ‐ Brazil</v>
      </c>
      <c r="C157" s="2">
        <f>IFERROR(__xludf.DUMMYFUNCTION("""COMPUTED_VALUE"""),27.47)</f>
        <v>27.47</v>
      </c>
    </row>
    <row r="158">
      <c r="A158" s="2">
        <f>IFERROR(__xludf.DUMMYFUNCTION("""COMPUTED_VALUE"""),157.0)</f>
        <v>157</v>
      </c>
      <c r="B158" s="2" t="str">
        <f>IFERROR(__xludf.DUMMYFUNCTION("""COMPUTED_VALUE"""),"Quito ‐ Ecuador")</f>
        <v>Quito ‐ Ecuador</v>
      </c>
      <c r="C158" s="2">
        <f>IFERROR(__xludf.DUMMYFUNCTION("""COMPUTED_VALUE"""),27.02)</f>
        <v>27.02</v>
      </c>
    </row>
    <row r="159">
      <c r="A159" s="2">
        <f>IFERROR(__xludf.DUMMYFUNCTION("""COMPUTED_VALUE"""),158.0)</f>
        <v>158</v>
      </c>
      <c r="B159" s="2" t="str">
        <f>IFERROR(__xludf.DUMMYFUNCTION("""COMPUTED_VALUE"""),"Johannesburg ‐ South Africa")</f>
        <v>Johannesburg ‐ South Africa</v>
      </c>
      <c r="C159" s="2">
        <f>IFERROR(__xludf.DUMMYFUNCTION("""COMPUTED_VALUE"""),26.67)</f>
        <v>26.67</v>
      </c>
    </row>
    <row r="160">
      <c r="A160" s="2">
        <f>IFERROR(__xludf.DUMMYFUNCTION("""COMPUTED_VALUE"""),159.0)</f>
        <v>159</v>
      </c>
      <c r="B160" s="2" t="str">
        <f>IFERROR(__xludf.DUMMYFUNCTION("""COMPUTED_VALUE"""),"Sarajevo ‐ Bosnia‐Herzegovina")</f>
        <v>Sarajevo ‐ Bosnia‐Herzegovina</v>
      </c>
      <c r="C160" s="2">
        <f>IFERROR(__xludf.DUMMYFUNCTION("""COMPUTED_VALUE"""),25.73)</f>
        <v>25.73</v>
      </c>
    </row>
    <row r="161">
      <c r="A161" s="2">
        <f>IFERROR(__xludf.DUMMYFUNCTION("""COMPUTED_VALUE"""),160.0)</f>
        <v>160</v>
      </c>
      <c r="B161" s="2" t="str">
        <f>IFERROR(__xludf.DUMMYFUNCTION("""COMPUTED_VALUE"""),"San Jose ‐ Costa Rica")</f>
        <v>San Jose ‐ Costa Rica</v>
      </c>
      <c r="C161" s="2">
        <f>IFERROR(__xludf.DUMMYFUNCTION("""COMPUTED_VALUE"""),25.47)</f>
        <v>25.47</v>
      </c>
    </row>
    <row r="162">
      <c r="A162" s="2">
        <f>IFERROR(__xludf.DUMMYFUNCTION("""COMPUTED_VALUE"""),161.0)</f>
        <v>161</v>
      </c>
      <c r="B162" s="2" t="str">
        <f>IFERROR(__xludf.DUMMYFUNCTION("""COMPUTED_VALUE"""),"Belo Horizonte ‐ Brazil")</f>
        <v>Belo Horizonte ‐ Brazil</v>
      </c>
      <c r="C162" s="2">
        <f>IFERROR(__xludf.DUMMYFUNCTION("""COMPUTED_VALUE"""),25.16)</f>
        <v>25.16</v>
      </c>
    </row>
    <row r="163">
      <c r="A163" s="2">
        <f>IFERROR(__xludf.DUMMYFUNCTION("""COMPUTED_VALUE"""),162.0)</f>
        <v>162</v>
      </c>
      <c r="B163" s="2" t="str">
        <f>IFERROR(__xludf.DUMMYFUNCTION("""COMPUTED_VALUE"""),"Cairo ‐ Egypt")</f>
        <v>Cairo ‐ Egypt</v>
      </c>
      <c r="C163" s="2">
        <f>IFERROR(__xludf.DUMMYFUNCTION("""COMPUTED_VALUE"""),24.19)</f>
        <v>24.19</v>
      </c>
    </row>
    <row r="164">
      <c r="A164" s="2">
        <f>IFERROR(__xludf.DUMMYFUNCTION("""COMPUTED_VALUE"""),163.0)</f>
        <v>163</v>
      </c>
      <c r="B164" s="2" t="str">
        <f>IFERROR(__xludf.DUMMYFUNCTION("""COMPUTED_VALUE"""),"Santo Domingo ‐ Dominican Republi")</f>
        <v>Santo Domingo ‐ Dominican Republi</v>
      </c>
      <c r="C164" s="2">
        <f>IFERROR(__xludf.DUMMYFUNCTION("""COMPUTED_VALUE"""),23.9)</f>
        <v>23.9</v>
      </c>
    </row>
    <row r="165">
      <c r="A165" s="2">
        <f>IFERROR(__xludf.DUMMYFUNCTION("""COMPUTED_VALUE"""),164.0)</f>
        <v>164</v>
      </c>
      <c r="B165" s="2" t="str">
        <f>IFERROR(__xludf.DUMMYFUNCTION("""COMPUTED_VALUE"""),"Salvador ‐ Brazil")</f>
        <v>Salvador ‐ Brazil</v>
      </c>
      <c r="C165" s="2">
        <f>IFERROR(__xludf.DUMMYFUNCTION("""COMPUTED_VALUE"""),23.89)</f>
        <v>23.89</v>
      </c>
    </row>
    <row r="166">
      <c r="A166" s="2">
        <f>IFERROR(__xludf.DUMMYFUNCTION("""COMPUTED_VALUE"""),165.0)</f>
        <v>165</v>
      </c>
      <c r="B166" s="2" t="str">
        <f>IFERROR(__xludf.DUMMYFUNCTION("""COMPUTED_VALUE"""),"San Salvador ‐ El Salvador")</f>
        <v>San Salvador ‐ El Salvador</v>
      </c>
      <c r="C166" s="2">
        <f>IFERROR(__xludf.DUMMYFUNCTION("""COMPUTED_VALUE"""),23.52)</f>
        <v>23.52</v>
      </c>
    </row>
    <row r="167">
      <c r="A167" s="2">
        <f>IFERROR(__xludf.DUMMYFUNCTION("""COMPUTED_VALUE"""),166.0)</f>
        <v>166</v>
      </c>
      <c r="B167" s="2" t="str">
        <f>IFERROR(__xludf.DUMMYFUNCTION("""COMPUTED_VALUE"""),"Asuncion ‐ Paraguay")</f>
        <v>Asuncion ‐ Paraguay</v>
      </c>
      <c r="C167" s="2">
        <f>IFERROR(__xludf.DUMMYFUNCTION("""COMPUTED_VALUE"""),23.26)</f>
        <v>23.26</v>
      </c>
    </row>
    <row r="168">
      <c r="A168" s="2">
        <f>IFERROR(__xludf.DUMMYFUNCTION("""COMPUTED_VALUE"""),167.0)</f>
        <v>167</v>
      </c>
      <c r="B168" s="2" t="str">
        <f>IFERROR(__xludf.DUMMYFUNCTION("""COMPUTED_VALUE"""),"Casablanca ‐ Morocco")</f>
        <v>Casablanca ‐ Morocco</v>
      </c>
      <c r="C168" s="2">
        <f>IFERROR(__xludf.DUMMYFUNCTION("""COMPUTED_VALUE"""),23.05)</f>
        <v>23.05</v>
      </c>
    </row>
    <row r="169">
      <c r="A169" s="2">
        <f>IFERROR(__xludf.DUMMYFUNCTION("""COMPUTED_VALUE"""),168.0)</f>
        <v>168</v>
      </c>
      <c r="B169" s="2" t="str">
        <f>IFERROR(__xludf.DUMMYFUNCTION("""COMPUTED_VALUE"""),"Tehran ‐ Iran")</f>
        <v>Tehran ‐ Iran</v>
      </c>
      <c r="C169" s="2">
        <f>IFERROR(__xludf.DUMMYFUNCTION("""COMPUTED_VALUE"""),23.02)</f>
        <v>23.02</v>
      </c>
    </row>
    <row r="170">
      <c r="A170" s="2">
        <f>IFERROR(__xludf.DUMMYFUNCTION("""COMPUTED_VALUE"""),169.0)</f>
        <v>169</v>
      </c>
      <c r="B170" s="2" t="str">
        <f>IFERROR(__xludf.DUMMYFUNCTION("""COMPUTED_VALUE"""),"Guayaquil ‐ Ecuador")</f>
        <v>Guayaquil ‐ Ecuador</v>
      </c>
      <c r="C170" s="2">
        <f>IFERROR(__xludf.DUMMYFUNCTION("""COMPUTED_VALUE"""),22.61)</f>
        <v>22.61</v>
      </c>
    </row>
    <row r="171">
      <c r="A171" s="2">
        <f>IFERROR(__xludf.DUMMYFUNCTION("""COMPUTED_VALUE"""),170.0)</f>
        <v>170</v>
      </c>
      <c r="B171" s="2" t="str">
        <f>IFERROR(__xludf.DUMMYFUNCTION("""COMPUTED_VALUE"""),"La Paz ‐ Bolivia")</f>
        <v>La Paz ‐ Bolivia</v>
      </c>
      <c r="C171" s="2">
        <f>IFERROR(__xludf.DUMMYFUNCTION("""COMPUTED_VALUE"""),22.12)</f>
        <v>22.12</v>
      </c>
    </row>
    <row r="172">
      <c r="A172" s="2">
        <f>IFERROR(__xludf.DUMMYFUNCTION("""COMPUTED_VALUE"""),171.0)</f>
        <v>171</v>
      </c>
      <c r="B172" s="2" t="str">
        <f>IFERROR(__xludf.DUMMYFUNCTION("""COMPUTED_VALUE"""),"Rabat ‐ Morocco")</f>
        <v>Rabat ‐ Morocco</v>
      </c>
      <c r="C172" s="2">
        <f>IFERROR(__xludf.DUMMYFUNCTION("""COMPUTED_VALUE"""),22.09)</f>
        <v>22.09</v>
      </c>
    </row>
    <row r="173">
      <c r="A173" s="2">
        <f>IFERROR(__xludf.DUMMYFUNCTION("""COMPUTED_VALUE"""),172.0)</f>
        <v>172</v>
      </c>
      <c r="B173" s="2" t="str">
        <f>IFERROR(__xludf.DUMMYFUNCTION("""COMPUTED_VALUE"""),"Santa Cruz ‐ Bolivia")</f>
        <v>Santa Cruz ‐ Bolivia</v>
      </c>
      <c r="C173" s="2">
        <f>IFERROR(__xludf.DUMMYFUNCTION("""COMPUTED_VALUE"""),22.04)</f>
        <v>22.04</v>
      </c>
    </row>
    <row r="174">
      <c r="A174" s="2">
        <f>IFERROR(__xludf.DUMMYFUNCTION("""COMPUTED_VALUE"""),173.0)</f>
        <v>173</v>
      </c>
      <c r="B174" s="2" t="str">
        <f>IFERROR(__xludf.DUMMYFUNCTION("""COMPUTED_VALUE"""),"Nairobi ‐ Kenya")</f>
        <v>Nairobi ‐ Kenya</v>
      </c>
      <c r="C174" s="2">
        <f>IFERROR(__xludf.DUMMYFUNCTION("""COMPUTED_VALUE"""),22.01)</f>
        <v>22.01</v>
      </c>
    </row>
    <row r="175">
      <c r="A175" s="2">
        <f>IFERROR(__xludf.DUMMYFUNCTION("""COMPUTED_VALUE"""),174.0)</f>
        <v>174</v>
      </c>
      <c r="B175" s="2" t="str">
        <f>IFERROR(__xludf.DUMMYFUNCTION("""COMPUTED_VALUE"""),"Kolkata ‐ India")</f>
        <v>Kolkata ‐ India</v>
      </c>
      <c r="C175" s="2">
        <f>IFERROR(__xludf.DUMMYFUNCTION("""COMPUTED_VALUE"""),21.13)</f>
        <v>21.13</v>
      </c>
    </row>
    <row r="176">
      <c r="A176" s="2">
        <f>IFERROR(__xludf.DUMMYFUNCTION("""COMPUTED_VALUE"""),175.0)</f>
        <v>175</v>
      </c>
      <c r="B176" s="2" t="str">
        <f>IFERROR(__xludf.DUMMYFUNCTION("""COMPUTED_VALUE"""),"Manila ‐ Philippines")</f>
        <v>Manila ‐ Philippines</v>
      </c>
      <c r="C176" s="2">
        <f>IFERROR(__xludf.DUMMYFUNCTION("""COMPUTED_VALUE"""),20.36)</f>
        <v>20.36</v>
      </c>
    </row>
    <row r="177">
      <c r="A177" s="2">
        <f>IFERROR(__xludf.DUMMYFUNCTION("""COMPUTED_VALUE"""),176.0)</f>
        <v>176</v>
      </c>
      <c r="B177" s="2" t="str">
        <f>IFERROR(__xludf.DUMMYFUNCTION("""COMPUTED_VALUE"""),"Guatemala City ‐ Guatemala")</f>
        <v>Guatemala City ‐ Guatemala</v>
      </c>
      <c r="C177" s="2">
        <f>IFERROR(__xludf.DUMMYFUNCTION("""COMPUTED_VALUE"""),18.12)</f>
        <v>18.12</v>
      </c>
    </row>
    <row r="178">
      <c r="A178" s="2">
        <f>IFERROR(__xludf.DUMMYFUNCTION("""COMPUTED_VALUE"""),177.0)</f>
        <v>177</v>
      </c>
      <c r="B178" s="2" t="str">
        <f>IFERROR(__xludf.DUMMYFUNCTION("""COMPUTED_VALUE"""),"Douala ‐ Cameroon")</f>
        <v>Douala ‐ Cameroon</v>
      </c>
      <c r="C178" s="2">
        <f>IFERROR(__xludf.DUMMYFUNCTION("""COMPUTED_VALUE"""),17.02)</f>
        <v>17.02</v>
      </c>
    </row>
    <row r="179">
      <c r="A179" s="2">
        <f>IFERROR(__xludf.DUMMYFUNCTION("""COMPUTED_VALUE"""),178.0)</f>
        <v>178</v>
      </c>
      <c r="B179" s="2" t="str">
        <f>IFERROR(__xludf.DUMMYFUNCTION("""COMPUTED_VALUE"""),"Accra ‐ Ghana")</f>
        <v>Accra ‐ Ghana</v>
      </c>
      <c r="C179" s="2">
        <f>IFERROR(__xludf.DUMMYFUNCTION("""COMPUTED_VALUE"""),14.75)</f>
        <v>14.75</v>
      </c>
    </row>
    <row r="180">
      <c r="A180" s="2">
        <f>IFERROR(__xludf.DUMMYFUNCTION("""COMPUTED_VALUE"""),179.0)</f>
        <v>179</v>
      </c>
      <c r="B180" s="2" t="str">
        <f>IFERROR(__xludf.DUMMYFUNCTION("""COMPUTED_VALUE"""),"Kampala ‐ Uganda")</f>
        <v>Kampala ‐ Uganda</v>
      </c>
      <c r="C180" s="2">
        <f>IFERROR(__xludf.DUMMYFUNCTION("""COMPUTED_VALUE"""),13.65)</f>
        <v>13.65</v>
      </c>
    </row>
    <row r="181">
      <c r="A181" s="2">
        <f>IFERROR(__xludf.DUMMYFUNCTION("""COMPUTED_VALUE"""),180.0)</f>
        <v>180</v>
      </c>
      <c r="B181" s="2" t="str">
        <f>IFERROR(__xludf.DUMMYFUNCTION("""COMPUTED_VALUE"""),"Lahore ‐ Pakistan")</f>
        <v>Lahore ‐ Pakistan</v>
      </c>
      <c r="C181" s="2">
        <f>IFERROR(__xludf.DUMMYFUNCTION("""COMPUTED_VALUE"""),13.18)</f>
        <v>13.18</v>
      </c>
    </row>
    <row r="182">
      <c r="A182" s="2">
        <f>IFERROR(__xludf.DUMMYFUNCTION("""COMPUTED_VALUE"""),181.0)</f>
        <v>181</v>
      </c>
      <c r="B182" s="2" t="str">
        <f>IFERROR(__xludf.DUMMYFUNCTION("""COMPUTED_VALUE"""),"Karachi ‐ Pakistan")</f>
        <v>Karachi ‐ Pakistan</v>
      </c>
      <c r="C182" s="2">
        <f>IFERROR(__xludf.DUMMYFUNCTION("""COMPUTED_VALUE"""),10.9)</f>
        <v>10.9</v>
      </c>
    </row>
    <row r="183">
      <c r="A183" s="2">
        <f>IFERROR(__xludf.DUMMYFUNCTION("""COMPUTED_VALUE"""),182.0)</f>
        <v>182</v>
      </c>
      <c r="B183" s="2" t="str">
        <f>IFERROR(__xludf.DUMMYFUNCTION("""COMPUTED_VALUE"""),"Caracas ‐ Venezuela")</f>
        <v>Caracas ‐ Venezuela</v>
      </c>
      <c r="C183" s="2">
        <f>IFERROR(__xludf.DUMMYFUNCTION("""COMPUTED_VALUE"""),10.61)</f>
        <v>10.61</v>
      </c>
    </row>
    <row r="184">
      <c r="A184" s="2">
        <f>IFERROR(__xludf.DUMMYFUNCTION("""COMPUTED_VALUE"""),183.0)</f>
        <v>183</v>
      </c>
      <c r="B184" s="2" t="str">
        <f>IFERROR(__xludf.DUMMYFUNCTION("""COMPUTED_VALUE"""),"Lagos ‐ Nigeria")</f>
        <v>Lagos ‐ Nigeria</v>
      </c>
      <c r="C184" s="2">
        <f>IFERROR(__xludf.DUMMYFUNCTION("""COMPUTED_VALUE"""),4.77)</f>
        <v>4.77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2">
        <f>IFERROR(__xludf.DUMMYFUNCTION("ARRAYFORMULA(IFERROR(FILTER(IESE2024v1!A:A, REGEXMATCH(IESE2024v1!B:B, "" ‐ USA""))))"),2.0)</f>
        <v>2</v>
      </c>
      <c r="B1" s="2" t="str">
        <f>IFERROR(__xludf.DUMMYFUNCTION("ARRAYFORMULA(IFERROR(REGEXEXTRACT(FILTER(IESE2024v1!B:B, REGEXMATCH(IESE2024v1!B:B, "".* ‐ USA"")), ""(.*) ‐ USA"")))"),"New York")</f>
        <v>New York</v>
      </c>
      <c r="C1" s="2">
        <f>IFERROR(__xludf.DUMMYFUNCTION("ARRAYFORMULA(IFERROR(FILTER(VALUE(IESE2024v1!C:C), REGEXMATCH(IESE2024v1!B:B, "" ‐ USA""))))"),97.11)</f>
        <v>97.11</v>
      </c>
      <c r="D1" s="7">
        <f t="shared" ref="D1:D19" si="1">A1</f>
        <v>2</v>
      </c>
    </row>
    <row r="2">
      <c r="A2" s="2">
        <f>IFERROR(__xludf.DUMMYFUNCTION("""COMPUTED_VALUE"""),9.0)</f>
        <v>9</v>
      </c>
      <c r="B2" s="2" t="str">
        <f>IFERROR(__xludf.DUMMYFUNCTION("""COMPUTED_VALUE"""),"San Francisco")</f>
        <v>San Francisco</v>
      </c>
      <c r="C2" s="2">
        <f>IFERROR(__xludf.DUMMYFUNCTION("""COMPUTED_VALUE"""),70.77)</f>
        <v>70.77</v>
      </c>
      <c r="D2" s="7">
        <f t="shared" si="1"/>
        <v>9</v>
      </c>
    </row>
    <row r="3">
      <c r="A3" s="2">
        <f>IFERROR(__xludf.DUMMYFUNCTION("""COMPUTED_VALUE"""),10.0)</f>
        <v>10</v>
      </c>
      <c r="B3" s="2" t="str">
        <f>IFERROR(__xludf.DUMMYFUNCTION("""COMPUTED_VALUE"""),"Chicago")</f>
        <v>Chicago</v>
      </c>
      <c r="C3" s="2">
        <f>IFERROR(__xludf.DUMMYFUNCTION("""COMPUTED_VALUE"""),70.76)</f>
        <v>70.76</v>
      </c>
      <c r="D3" s="7">
        <f t="shared" si="1"/>
        <v>10</v>
      </c>
    </row>
    <row r="4">
      <c r="A4" s="2">
        <f>IFERROR(__xludf.DUMMYFUNCTION("""COMPUTED_VALUE"""),15.0)</f>
        <v>15</v>
      </c>
      <c r="B4" s="2" t="str">
        <f>IFERROR(__xludf.DUMMYFUNCTION("""COMPUTED_VALUE"""),"Boston")</f>
        <v>Boston</v>
      </c>
      <c r="C4" s="2">
        <f>IFERROR(__xludf.DUMMYFUNCTION("""COMPUTED_VALUE"""),68.28)</f>
        <v>68.28</v>
      </c>
      <c r="D4" s="7">
        <f t="shared" si="1"/>
        <v>15</v>
      </c>
    </row>
    <row r="5">
      <c r="A5" s="2">
        <f>IFERROR(__xludf.DUMMYFUNCTION("""COMPUTED_VALUE"""),17.0)</f>
        <v>17</v>
      </c>
      <c r="B5" s="2" t="str">
        <f>IFERROR(__xludf.DUMMYFUNCTION("""COMPUTED_VALUE"""),"Washington")</f>
        <v>Washington</v>
      </c>
      <c r="C5" s="2">
        <f>IFERROR(__xludf.DUMMYFUNCTION("""COMPUTED_VALUE"""),67.3)</f>
        <v>67.3</v>
      </c>
      <c r="D5" s="7">
        <f t="shared" si="1"/>
        <v>17</v>
      </c>
    </row>
    <row r="6">
      <c r="A6" s="2">
        <f>IFERROR(__xludf.DUMMYFUNCTION("""COMPUTED_VALUE"""),31.0)</f>
        <v>31</v>
      </c>
      <c r="B6" s="2" t="str">
        <f>IFERROR(__xludf.DUMMYFUNCTION("""COMPUTED_VALUE"""),"Seattle")</f>
        <v>Seattle</v>
      </c>
      <c r="C6" s="2">
        <f>IFERROR(__xludf.DUMMYFUNCTION("""COMPUTED_VALUE"""),63.28)</f>
        <v>63.28</v>
      </c>
      <c r="D6" s="7">
        <f t="shared" si="1"/>
        <v>31</v>
      </c>
    </row>
    <row r="7">
      <c r="A7" s="2">
        <f>IFERROR(__xludf.DUMMYFUNCTION("""COMPUTED_VALUE"""),39.0)</f>
        <v>39</v>
      </c>
      <c r="B7" s="2" t="str">
        <f>IFERROR(__xludf.DUMMYFUNCTION("""COMPUTED_VALUE"""),"Los Angeles")</f>
        <v>Los Angeles</v>
      </c>
      <c r="C7" s="2">
        <f>IFERROR(__xludf.DUMMYFUNCTION("""COMPUTED_VALUE"""),61.08)</f>
        <v>61.08</v>
      </c>
      <c r="D7" s="7">
        <f t="shared" si="1"/>
        <v>39</v>
      </c>
    </row>
    <row r="8">
      <c r="A8" s="2">
        <f>IFERROR(__xludf.DUMMYFUNCTION("""COMPUTED_VALUE"""),43.0)</f>
        <v>43</v>
      </c>
      <c r="B8" s="2" t="str">
        <f>IFERROR(__xludf.DUMMYFUNCTION("""COMPUTED_VALUE"""),"Dallas")</f>
        <v>Dallas</v>
      </c>
      <c r="C8" s="2">
        <f>IFERROR(__xludf.DUMMYFUNCTION("""COMPUTED_VALUE"""),60.36)</f>
        <v>60.36</v>
      </c>
      <c r="D8" s="7">
        <f t="shared" si="1"/>
        <v>43</v>
      </c>
    </row>
    <row r="9">
      <c r="A9" s="2">
        <f>IFERROR(__xludf.DUMMYFUNCTION("""COMPUTED_VALUE"""),45.0)</f>
        <v>45</v>
      </c>
      <c r="B9" s="2" t="str">
        <f>IFERROR(__xludf.DUMMYFUNCTION("""COMPUTED_VALUE"""),"Austin")</f>
        <v>Austin</v>
      </c>
      <c r="C9" s="2">
        <f>IFERROR(__xludf.DUMMYFUNCTION("""COMPUTED_VALUE"""),59.99)</f>
        <v>59.99</v>
      </c>
      <c r="D9" s="7">
        <f t="shared" si="1"/>
        <v>45</v>
      </c>
    </row>
    <row r="10">
      <c r="A10" s="2">
        <f>IFERROR(__xludf.DUMMYFUNCTION("""COMPUTED_VALUE"""),47.0)</f>
        <v>47</v>
      </c>
      <c r="B10" s="2" t="str">
        <f>IFERROR(__xludf.DUMMYFUNCTION("""COMPUTED_VALUE"""),"San Diego")</f>
        <v>San Diego</v>
      </c>
      <c r="C10" s="2">
        <f>IFERROR(__xludf.DUMMYFUNCTION("""COMPUTED_VALUE"""),59.83)</f>
        <v>59.83</v>
      </c>
      <c r="D10" s="7">
        <f t="shared" si="1"/>
        <v>47</v>
      </c>
    </row>
    <row r="11">
      <c r="A11" s="2">
        <f>IFERROR(__xludf.DUMMYFUNCTION("""COMPUTED_VALUE"""),48.0)</f>
        <v>48</v>
      </c>
      <c r="B11" s="2" t="str">
        <f>IFERROR(__xludf.DUMMYFUNCTION("""COMPUTED_VALUE"""),"Houston")</f>
        <v>Houston</v>
      </c>
      <c r="C11" s="2">
        <f>IFERROR(__xludf.DUMMYFUNCTION("""COMPUTED_VALUE"""),59.73)</f>
        <v>59.73</v>
      </c>
      <c r="D11" s="7">
        <f t="shared" si="1"/>
        <v>48</v>
      </c>
    </row>
    <row r="12">
      <c r="A12" s="2">
        <f>IFERROR(__xludf.DUMMYFUNCTION("""COMPUTED_VALUE"""),49.0)</f>
        <v>49</v>
      </c>
      <c r="B12" s="2" t="str">
        <f>IFERROR(__xludf.DUMMYFUNCTION("""COMPUTED_VALUE"""),"Miami")</f>
        <v>Miami</v>
      </c>
      <c r="C12" s="2">
        <f>IFERROR(__xludf.DUMMYFUNCTION("""COMPUTED_VALUE"""),59.46)</f>
        <v>59.46</v>
      </c>
      <c r="D12" s="7">
        <f t="shared" si="1"/>
        <v>49</v>
      </c>
    </row>
    <row r="13">
      <c r="A13" s="2">
        <f>IFERROR(__xludf.DUMMYFUNCTION("""COMPUTED_VALUE"""),51.0)</f>
        <v>51</v>
      </c>
      <c r="B13" s="2" t="str">
        <f>IFERROR(__xludf.DUMMYFUNCTION("""COMPUTED_VALUE"""),"Denver")</f>
        <v>Denver</v>
      </c>
      <c r="C13" s="2">
        <f>IFERROR(__xludf.DUMMYFUNCTION("""COMPUTED_VALUE"""),59.16)</f>
        <v>59.16</v>
      </c>
      <c r="D13" s="7">
        <f t="shared" si="1"/>
        <v>51</v>
      </c>
    </row>
    <row r="14">
      <c r="A14" s="2">
        <f>IFERROR(__xludf.DUMMYFUNCTION("""COMPUTED_VALUE"""),61.0)</f>
        <v>61</v>
      </c>
      <c r="B14" s="2" t="str">
        <f>IFERROR(__xludf.DUMMYFUNCTION("""COMPUTED_VALUE"""),"Philadelphia")</f>
        <v>Philadelphia</v>
      </c>
      <c r="C14" s="2">
        <f>IFERROR(__xludf.DUMMYFUNCTION("""COMPUTED_VALUE"""),57.81)</f>
        <v>57.81</v>
      </c>
      <c r="D14" s="7">
        <f t="shared" si="1"/>
        <v>61</v>
      </c>
    </row>
    <row r="15">
      <c r="A15" s="2">
        <f>IFERROR(__xludf.DUMMYFUNCTION("""COMPUTED_VALUE"""),70.0)</f>
        <v>70</v>
      </c>
      <c r="B15" s="2" t="str">
        <f>IFERROR(__xludf.DUMMYFUNCTION("""COMPUTED_VALUE"""),"Phoenix")</f>
        <v>Phoenix</v>
      </c>
      <c r="C15" s="2">
        <f>IFERROR(__xludf.DUMMYFUNCTION("""COMPUTED_VALUE"""),55.75)</f>
        <v>55.75</v>
      </c>
      <c r="D15" s="7">
        <f t="shared" si="1"/>
        <v>70</v>
      </c>
    </row>
    <row r="16">
      <c r="A16" s="2">
        <f>IFERROR(__xludf.DUMMYFUNCTION("""COMPUTED_VALUE"""),73.0)</f>
        <v>73</v>
      </c>
      <c r="B16" s="2" t="str">
        <f>IFERROR(__xludf.DUMMYFUNCTION("""COMPUTED_VALUE"""),"Baltimore")</f>
        <v>Baltimore</v>
      </c>
      <c r="C16" s="2">
        <f>IFERROR(__xludf.DUMMYFUNCTION("""COMPUTED_VALUE"""),54.73)</f>
        <v>54.73</v>
      </c>
      <c r="D16" s="7">
        <f t="shared" si="1"/>
        <v>73</v>
      </c>
    </row>
    <row r="17">
      <c r="A17" s="2">
        <f>IFERROR(__xludf.DUMMYFUNCTION("""COMPUTED_VALUE"""),74.0)</f>
        <v>74</v>
      </c>
      <c r="B17" s="2" t="str">
        <f>IFERROR(__xludf.DUMMYFUNCTION("""COMPUTED_VALUE"""),"San Antonio")</f>
        <v>San Antonio</v>
      </c>
      <c r="C17" s="2">
        <f>IFERROR(__xludf.DUMMYFUNCTION("""COMPUTED_VALUE"""),54.61)</f>
        <v>54.61</v>
      </c>
      <c r="D17" s="7">
        <f t="shared" si="1"/>
        <v>74</v>
      </c>
    </row>
    <row r="18">
      <c r="A18" s="2">
        <f>IFERROR(__xludf.DUMMYFUNCTION("""COMPUTED_VALUE"""),75.0)</f>
        <v>75</v>
      </c>
      <c r="B18" s="2" t="str">
        <f>IFERROR(__xludf.DUMMYFUNCTION("""COMPUTED_VALUE"""),"Detroit")</f>
        <v>Detroit</v>
      </c>
      <c r="C18" s="2">
        <f>IFERROR(__xludf.DUMMYFUNCTION("""COMPUTED_VALUE"""),54.53)</f>
        <v>54.53</v>
      </c>
      <c r="D18" s="7">
        <f t="shared" si="1"/>
        <v>75</v>
      </c>
    </row>
    <row r="19">
      <c r="A19" s="2">
        <f>IFERROR(__xludf.DUMMYFUNCTION("""COMPUTED_VALUE"""),78.0)</f>
        <v>78</v>
      </c>
      <c r="B19" s="2" t="str">
        <f>IFERROR(__xludf.DUMMYFUNCTION("""COMPUTED_VALUE"""),"Las Vegas")</f>
        <v>Las Vegas</v>
      </c>
      <c r="C19" s="2">
        <f>IFERROR(__xludf.DUMMYFUNCTION("""COMPUTED_VALUE"""),53.91)</f>
        <v>53.91</v>
      </c>
      <c r="D19" s="7">
        <f t="shared" si="1"/>
        <v>78</v>
      </c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143.39</v>
      </c>
      <c r="C1" s="1" t="s">
        <v>1275</v>
      </c>
    </row>
    <row r="2">
      <c r="A2" s="1" t="s">
        <v>1276</v>
      </c>
      <c r="B2" s="1">
        <v>58.88</v>
      </c>
      <c r="C2" s="1" t="s">
        <v>1277</v>
      </c>
    </row>
    <row r="3">
      <c r="A3" s="1" t="s">
        <v>1278</v>
      </c>
      <c r="B3" s="1">
        <v>68.05</v>
      </c>
      <c r="C3" s="1" t="s">
        <v>1279</v>
      </c>
    </row>
    <row r="4">
      <c r="A4" s="1" t="s">
        <v>1280</v>
      </c>
      <c r="B4" s="1">
        <v>82.08</v>
      </c>
      <c r="C4" s="1" t="s">
        <v>1275</v>
      </c>
    </row>
    <row r="5">
      <c r="A5" s="1" t="s">
        <v>1281</v>
      </c>
      <c r="B5" s="1">
        <v>71.92</v>
      </c>
      <c r="C5" s="1" t="s">
        <v>1277</v>
      </c>
    </row>
    <row r="6">
      <c r="A6" s="1" t="s">
        <v>1282</v>
      </c>
      <c r="B6" s="1">
        <v>4.24</v>
      </c>
      <c r="C6" s="1" t="s">
        <v>1283</v>
      </c>
    </row>
    <row r="7">
      <c r="A7" s="1" t="s">
        <v>1284</v>
      </c>
      <c r="B7" s="1">
        <v>37.16</v>
      </c>
      <c r="C7" s="1" t="s">
        <v>1277</v>
      </c>
    </row>
    <row r="8">
      <c r="A8" s="1" t="s">
        <v>1285</v>
      </c>
      <c r="B8" s="1">
        <v>43.16</v>
      </c>
      <c r="C8" s="1" t="s">
        <v>1277</v>
      </c>
    </row>
    <row r="10">
      <c r="A10" s="1" t="s">
        <v>1286</v>
      </c>
      <c r="B10" s="1">
        <v>182.59</v>
      </c>
      <c r="C10" s="1" t="s">
        <v>1275</v>
      </c>
    </row>
  </sheetData>
  <mergeCells count="1">
    <mergeCell ref="A9:C9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128.04</v>
      </c>
      <c r="C1" s="1" t="s">
        <v>1275</v>
      </c>
    </row>
    <row r="2">
      <c r="A2" s="1" t="s">
        <v>1276</v>
      </c>
      <c r="B2" s="1">
        <v>24.93</v>
      </c>
      <c r="C2" s="1" t="s">
        <v>1287</v>
      </c>
    </row>
    <row r="3">
      <c r="A3" s="1" t="s">
        <v>1278</v>
      </c>
      <c r="B3" s="1">
        <v>74.38</v>
      </c>
      <c r="C3" s="1" t="s">
        <v>1279</v>
      </c>
    </row>
    <row r="4">
      <c r="A4" s="1" t="s">
        <v>1280</v>
      </c>
      <c r="B4" s="1">
        <v>81.24</v>
      </c>
      <c r="C4" s="1" t="s">
        <v>1275</v>
      </c>
    </row>
    <row r="5">
      <c r="A5" s="1" t="s">
        <v>1281</v>
      </c>
      <c r="B5" s="1">
        <v>74.41</v>
      </c>
      <c r="C5" s="1" t="s">
        <v>1279</v>
      </c>
    </row>
    <row r="6">
      <c r="A6" s="1" t="s">
        <v>1282</v>
      </c>
      <c r="B6" s="1">
        <v>2.11</v>
      </c>
      <c r="C6" s="1" t="s">
        <v>1283</v>
      </c>
    </row>
    <row r="7">
      <c r="A7" s="1" t="s">
        <v>1284</v>
      </c>
      <c r="B7" s="1">
        <v>31.47</v>
      </c>
      <c r="C7" s="1" t="s">
        <v>1287</v>
      </c>
    </row>
    <row r="8">
      <c r="A8" s="1" t="s">
        <v>1285</v>
      </c>
      <c r="B8" s="1">
        <v>52.01</v>
      </c>
      <c r="C8" s="1" t="s">
        <v>1277</v>
      </c>
    </row>
    <row r="10">
      <c r="A10" s="1" t="s">
        <v>1286</v>
      </c>
      <c r="B10" s="1">
        <v>160.55</v>
      </c>
      <c r="C10" s="1" t="s">
        <v>1275</v>
      </c>
    </row>
  </sheetData>
  <mergeCells count="1">
    <mergeCell ref="A9:C9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122.51</v>
      </c>
      <c r="C1" s="1" t="s">
        <v>1275</v>
      </c>
    </row>
    <row r="2">
      <c r="A2" s="1" t="s">
        <v>1276</v>
      </c>
      <c r="B2" s="1">
        <v>58.35</v>
      </c>
      <c r="C2" s="1" t="s">
        <v>1277</v>
      </c>
    </row>
    <row r="3">
      <c r="A3" s="1" t="s">
        <v>1278</v>
      </c>
      <c r="B3" s="1">
        <v>68.7</v>
      </c>
      <c r="C3" s="1" t="s">
        <v>1279</v>
      </c>
    </row>
    <row r="4">
      <c r="A4" s="1" t="s">
        <v>1280</v>
      </c>
      <c r="B4" s="1">
        <v>71.73</v>
      </c>
      <c r="C4" s="1" t="s">
        <v>1279</v>
      </c>
    </row>
    <row r="5">
      <c r="A5" s="1" t="s">
        <v>1281</v>
      </c>
      <c r="B5" s="1">
        <v>87.18</v>
      </c>
      <c r="C5" s="1" t="s">
        <v>1279</v>
      </c>
    </row>
    <row r="6">
      <c r="A6" s="1" t="s">
        <v>1282</v>
      </c>
      <c r="B6" s="1">
        <v>7.73</v>
      </c>
      <c r="C6" s="1" t="s">
        <v>1287</v>
      </c>
    </row>
    <row r="7">
      <c r="A7" s="1" t="s">
        <v>1284</v>
      </c>
      <c r="B7" s="1">
        <v>46.58</v>
      </c>
      <c r="C7" s="1" t="s">
        <v>1279</v>
      </c>
    </row>
    <row r="8">
      <c r="A8" s="1" t="s">
        <v>1285</v>
      </c>
      <c r="B8" s="1">
        <v>36.05</v>
      </c>
      <c r="C8" s="1" t="s">
        <v>1287</v>
      </c>
    </row>
    <row r="10">
      <c r="A10" s="1" t="s">
        <v>1286</v>
      </c>
      <c r="B10" s="1">
        <v>165.8</v>
      </c>
      <c r="C10" s="1" t="s">
        <v>1275</v>
      </c>
    </row>
  </sheetData>
  <mergeCells count="1">
    <mergeCell ref="A9:C9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129.1</v>
      </c>
      <c r="C1" s="1" t="s">
        <v>1275</v>
      </c>
    </row>
    <row r="2">
      <c r="A2" s="1" t="s">
        <v>1276</v>
      </c>
      <c r="B2" s="1">
        <v>33.61</v>
      </c>
      <c r="C2" s="1" t="s">
        <v>1287</v>
      </c>
    </row>
    <row r="3">
      <c r="A3" s="1" t="s">
        <v>1278</v>
      </c>
      <c r="B3" s="1">
        <v>63.93</v>
      </c>
      <c r="C3" s="1" t="s">
        <v>1279</v>
      </c>
    </row>
    <row r="4">
      <c r="A4" s="1" t="s">
        <v>1280</v>
      </c>
      <c r="B4" s="1">
        <v>66.11</v>
      </c>
      <c r="C4" s="1" t="s">
        <v>1279</v>
      </c>
    </row>
    <row r="5">
      <c r="A5" s="1" t="s">
        <v>1281</v>
      </c>
      <c r="B5" s="1">
        <v>81.1</v>
      </c>
      <c r="C5" s="1" t="s">
        <v>1279</v>
      </c>
    </row>
    <row r="6">
      <c r="A6" s="1" t="s">
        <v>1282</v>
      </c>
      <c r="B6" s="1">
        <v>2.83</v>
      </c>
      <c r="C6" s="1" t="s">
        <v>1283</v>
      </c>
    </row>
    <row r="7">
      <c r="A7" s="1" t="s">
        <v>1284</v>
      </c>
      <c r="B7" s="1">
        <v>42.9</v>
      </c>
      <c r="C7" s="1" t="s">
        <v>1279</v>
      </c>
    </row>
    <row r="8">
      <c r="A8" s="1" t="s">
        <v>1285</v>
      </c>
      <c r="B8" s="1">
        <v>52.33</v>
      </c>
      <c r="C8" s="1" t="s">
        <v>1277</v>
      </c>
    </row>
    <row r="10">
      <c r="A10" s="1" t="s">
        <v>1286</v>
      </c>
      <c r="B10" s="1">
        <v>148.78</v>
      </c>
      <c r="C10" s="1" t="s">
        <v>1279</v>
      </c>
    </row>
  </sheetData>
  <mergeCells count="1">
    <mergeCell ref="A9:C9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146.57</v>
      </c>
      <c r="C1" s="1" t="s">
        <v>1275</v>
      </c>
    </row>
    <row r="2">
      <c r="A2" s="1" t="s">
        <v>1276</v>
      </c>
      <c r="B2" s="1">
        <v>48.56</v>
      </c>
      <c r="C2" s="1" t="s">
        <v>1277</v>
      </c>
    </row>
    <row r="3">
      <c r="A3" s="1" t="s">
        <v>1278</v>
      </c>
      <c r="B3" s="1">
        <v>66.15</v>
      </c>
      <c r="C3" s="1" t="s">
        <v>1279</v>
      </c>
    </row>
    <row r="4">
      <c r="A4" s="1" t="s">
        <v>1280</v>
      </c>
      <c r="B4" s="1">
        <v>81.85</v>
      </c>
      <c r="C4" s="1" t="s">
        <v>1275</v>
      </c>
    </row>
    <row r="5">
      <c r="A5" s="1" t="s">
        <v>1281</v>
      </c>
      <c r="B5" s="1">
        <v>73.44</v>
      </c>
      <c r="C5" s="1" t="s">
        <v>1279</v>
      </c>
    </row>
    <row r="6">
      <c r="A6" s="1" t="s">
        <v>1282</v>
      </c>
      <c r="B6" s="1">
        <v>2.74</v>
      </c>
      <c r="C6" s="1" t="s">
        <v>1283</v>
      </c>
    </row>
    <row r="7">
      <c r="A7" s="1" t="s">
        <v>1284</v>
      </c>
      <c r="B7" s="1">
        <v>36.22</v>
      </c>
      <c r="C7" s="1" t="s">
        <v>1277</v>
      </c>
    </row>
    <row r="8">
      <c r="A8" s="1" t="s">
        <v>1285</v>
      </c>
      <c r="B8" s="1">
        <v>43.25</v>
      </c>
      <c r="C8" s="1" t="s">
        <v>1277</v>
      </c>
    </row>
    <row r="10">
      <c r="A10" s="1" t="s">
        <v>1286</v>
      </c>
      <c r="B10" s="1">
        <v>179.63</v>
      </c>
      <c r="C10" s="1" t="s">
        <v>1275</v>
      </c>
    </row>
  </sheetData>
  <mergeCells count="1">
    <mergeCell ref="A9:C9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126.78</v>
      </c>
      <c r="C1" s="1" t="s">
        <v>1275</v>
      </c>
    </row>
    <row r="2">
      <c r="A2" s="1" t="s">
        <v>1276</v>
      </c>
      <c r="B2" s="1">
        <v>53.11</v>
      </c>
      <c r="C2" s="1" t="s">
        <v>1277</v>
      </c>
    </row>
    <row r="3">
      <c r="A3" s="1" t="s">
        <v>1278</v>
      </c>
      <c r="B3" s="1">
        <v>69.25</v>
      </c>
      <c r="C3" s="1" t="s">
        <v>1279</v>
      </c>
    </row>
    <row r="4">
      <c r="A4" s="1" t="s">
        <v>1280</v>
      </c>
      <c r="B4" s="1">
        <v>56.28</v>
      </c>
      <c r="C4" s="1" t="s">
        <v>1277</v>
      </c>
    </row>
    <row r="5">
      <c r="A5" s="1" t="s">
        <v>1281</v>
      </c>
      <c r="B5" s="1">
        <v>79.07</v>
      </c>
      <c r="C5" s="1" t="s">
        <v>1279</v>
      </c>
    </row>
    <row r="6">
      <c r="A6" s="1" t="s">
        <v>1282</v>
      </c>
      <c r="B6" s="1">
        <v>4.1</v>
      </c>
      <c r="C6" s="1" t="s">
        <v>1283</v>
      </c>
    </row>
    <row r="7">
      <c r="A7" s="1" t="s">
        <v>1284</v>
      </c>
      <c r="B7" s="1">
        <v>36.62</v>
      </c>
      <c r="C7" s="1" t="s">
        <v>1277</v>
      </c>
    </row>
    <row r="8">
      <c r="A8" s="1" t="s">
        <v>1285</v>
      </c>
      <c r="B8" s="1">
        <v>44.83</v>
      </c>
      <c r="C8" s="1" t="s">
        <v>1277</v>
      </c>
    </row>
    <row r="10">
      <c r="A10" s="1" t="s">
        <v>1286</v>
      </c>
      <c r="B10" s="1">
        <v>163.53</v>
      </c>
      <c r="C10" s="1" t="s">
        <v>1275</v>
      </c>
    </row>
  </sheetData>
  <mergeCells count="1">
    <mergeCell ref="A9:C9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122.98</v>
      </c>
      <c r="C1" s="1" t="s">
        <v>1275</v>
      </c>
    </row>
    <row r="2">
      <c r="A2" s="1" t="s">
        <v>1276</v>
      </c>
      <c r="B2" s="1">
        <v>25.67</v>
      </c>
      <c r="C2" s="1" t="s">
        <v>1287</v>
      </c>
    </row>
    <row r="3">
      <c r="A3" s="1" t="s">
        <v>1278</v>
      </c>
      <c r="B3" s="1">
        <v>63.15</v>
      </c>
      <c r="C3" s="1" t="s">
        <v>1279</v>
      </c>
    </row>
    <row r="4">
      <c r="A4" s="1" t="s">
        <v>1280</v>
      </c>
      <c r="B4" s="1">
        <v>66.03</v>
      </c>
      <c r="C4" s="1" t="s">
        <v>1279</v>
      </c>
    </row>
    <row r="5">
      <c r="A5" s="1" t="s">
        <v>1281</v>
      </c>
      <c r="B5" s="1">
        <v>71.77</v>
      </c>
      <c r="C5" s="1" t="s">
        <v>1277</v>
      </c>
    </row>
    <row r="6">
      <c r="A6" s="1" t="s">
        <v>1282</v>
      </c>
      <c r="B6" s="1">
        <v>1.23</v>
      </c>
      <c r="C6" s="1" t="s">
        <v>1283</v>
      </c>
    </row>
    <row r="7">
      <c r="A7" s="1" t="s">
        <v>1284</v>
      </c>
      <c r="B7" s="1">
        <v>44.19</v>
      </c>
      <c r="C7" s="1" t="s">
        <v>1279</v>
      </c>
    </row>
    <row r="8">
      <c r="A8" s="1" t="s">
        <v>1285</v>
      </c>
      <c r="B8" s="1">
        <v>60.73</v>
      </c>
      <c r="C8" s="1" t="s">
        <v>1279</v>
      </c>
    </row>
    <row r="10">
      <c r="A10" s="1" t="s">
        <v>1286</v>
      </c>
      <c r="B10" s="1">
        <v>138.3</v>
      </c>
      <c r="C10" s="1" t="s">
        <v>1277</v>
      </c>
    </row>
  </sheetData>
  <mergeCells count="1">
    <mergeCell ref="A9:C9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146.36</v>
      </c>
      <c r="C1" s="1" t="s">
        <v>1275</v>
      </c>
    </row>
    <row r="2">
      <c r="A2" s="1" t="s">
        <v>1276</v>
      </c>
      <c r="B2" s="1">
        <v>36.51</v>
      </c>
      <c r="C2" s="1" t="s">
        <v>1287</v>
      </c>
    </row>
    <row r="3">
      <c r="A3" s="1" t="s">
        <v>1278</v>
      </c>
      <c r="B3" s="1">
        <v>68.43</v>
      </c>
      <c r="C3" s="1" t="s">
        <v>1279</v>
      </c>
    </row>
    <row r="4">
      <c r="A4" s="1" t="s">
        <v>1280</v>
      </c>
      <c r="B4" s="1">
        <v>85.53</v>
      </c>
      <c r="C4" s="1" t="s">
        <v>1275</v>
      </c>
    </row>
    <row r="5">
      <c r="A5" s="1" t="s">
        <v>1281</v>
      </c>
      <c r="B5" s="1">
        <v>67.11</v>
      </c>
      <c r="C5" s="1" t="s">
        <v>1277</v>
      </c>
    </row>
    <row r="6">
      <c r="A6" s="1" t="s">
        <v>1282</v>
      </c>
      <c r="B6" s="1">
        <v>4.2</v>
      </c>
      <c r="C6" s="1" t="s">
        <v>1283</v>
      </c>
    </row>
    <row r="7">
      <c r="A7" s="1" t="s">
        <v>1284</v>
      </c>
      <c r="B7" s="1">
        <v>42.49</v>
      </c>
      <c r="C7" s="1" t="s">
        <v>1279</v>
      </c>
    </row>
    <row r="8">
      <c r="A8" s="1" t="s">
        <v>1285</v>
      </c>
      <c r="B8" s="1">
        <v>56.82</v>
      </c>
      <c r="C8" s="1" t="s">
        <v>1277</v>
      </c>
    </row>
    <row r="10">
      <c r="A10" s="1" t="s">
        <v>1286</v>
      </c>
      <c r="B10" s="1">
        <v>162.65</v>
      </c>
      <c r="C10" s="1" t="s">
        <v>1275</v>
      </c>
    </row>
  </sheetData>
  <mergeCells count="1">
    <mergeCell ref="A9:C9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122.23</v>
      </c>
      <c r="C1" s="1" t="s">
        <v>1275</v>
      </c>
    </row>
    <row r="2">
      <c r="A2" s="1" t="s">
        <v>1276</v>
      </c>
      <c r="B2" s="1">
        <v>44.45</v>
      </c>
      <c r="C2" s="1" t="s">
        <v>1277</v>
      </c>
    </row>
    <row r="3">
      <c r="A3" s="1" t="s">
        <v>1278</v>
      </c>
      <c r="B3" s="1">
        <v>54.36</v>
      </c>
      <c r="C3" s="1" t="s">
        <v>1277</v>
      </c>
    </row>
    <row r="4">
      <c r="A4" s="1" t="s">
        <v>1280</v>
      </c>
      <c r="B4" s="1">
        <v>57.4</v>
      </c>
      <c r="C4" s="1" t="s">
        <v>1277</v>
      </c>
    </row>
    <row r="5">
      <c r="A5" s="1" t="s">
        <v>1281</v>
      </c>
      <c r="B5" s="1">
        <v>69.32</v>
      </c>
      <c r="C5" s="1" t="s">
        <v>1277</v>
      </c>
    </row>
    <row r="6">
      <c r="A6" s="1" t="s">
        <v>1282</v>
      </c>
      <c r="B6" s="1">
        <v>3.49</v>
      </c>
      <c r="C6" s="1" t="s">
        <v>1283</v>
      </c>
    </row>
    <row r="7">
      <c r="A7" s="1" t="s">
        <v>1284</v>
      </c>
      <c r="B7" s="1">
        <v>27.7</v>
      </c>
      <c r="C7" s="1" t="s">
        <v>1287</v>
      </c>
    </row>
    <row r="8">
      <c r="A8" s="1" t="s">
        <v>1285</v>
      </c>
      <c r="B8" s="1">
        <v>51.99</v>
      </c>
      <c r="C8" s="1" t="s">
        <v>1277</v>
      </c>
    </row>
    <row r="10">
      <c r="A10" s="1" t="s">
        <v>1286</v>
      </c>
      <c r="B10" s="1">
        <v>153.06</v>
      </c>
      <c r="C10" s="1" t="s">
        <v>1279</v>
      </c>
    </row>
  </sheetData>
  <mergeCells count="1">
    <mergeCell ref="A9:C9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142.2</v>
      </c>
      <c r="C1" s="1" t="s">
        <v>1275</v>
      </c>
    </row>
    <row r="2">
      <c r="A2" s="1" t="s">
        <v>1276</v>
      </c>
      <c r="B2" s="1">
        <v>47.05</v>
      </c>
      <c r="C2" s="1" t="s">
        <v>1277</v>
      </c>
    </row>
    <row r="3">
      <c r="A3" s="1" t="s">
        <v>1278</v>
      </c>
      <c r="B3" s="1">
        <v>61.11</v>
      </c>
      <c r="C3" s="1" t="s">
        <v>1279</v>
      </c>
    </row>
    <row r="4">
      <c r="A4" s="1" t="s">
        <v>1280</v>
      </c>
      <c r="B4" s="1">
        <v>95.5</v>
      </c>
      <c r="C4" s="1" t="s">
        <v>1275</v>
      </c>
    </row>
    <row r="5">
      <c r="A5" s="1" t="s">
        <v>1281</v>
      </c>
      <c r="B5" s="1">
        <v>83.52</v>
      </c>
      <c r="C5" s="1" t="s">
        <v>1279</v>
      </c>
    </row>
    <row r="6">
      <c r="A6" s="1" t="s">
        <v>1282</v>
      </c>
      <c r="B6" s="1">
        <v>5.64</v>
      </c>
      <c r="C6" s="1" t="s">
        <v>1287</v>
      </c>
    </row>
    <row r="7">
      <c r="A7" s="1" t="s">
        <v>1284</v>
      </c>
      <c r="B7" s="1">
        <v>57.76</v>
      </c>
      <c r="C7" s="1" t="s">
        <v>1275</v>
      </c>
    </row>
    <row r="8">
      <c r="A8" s="1" t="s">
        <v>1285</v>
      </c>
      <c r="B8" s="1">
        <v>67.19</v>
      </c>
      <c r="C8" s="1" t="s">
        <v>1279</v>
      </c>
    </row>
    <row r="10">
      <c r="A10" s="1" t="s">
        <v>1286</v>
      </c>
      <c r="B10" s="1">
        <v>149.02</v>
      </c>
      <c r="C10" s="1" t="s">
        <v>1279</v>
      </c>
    </row>
  </sheetData>
  <mergeCells count="1">
    <mergeCell ref="A9:C9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97.17</v>
      </c>
      <c r="C1" s="1" t="s">
        <v>1279</v>
      </c>
    </row>
    <row r="2">
      <c r="A2" s="1" t="s">
        <v>1276</v>
      </c>
      <c r="B2" s="1">
        <v>46.69</v>
      </c>
      <c r="C2" s="1" t="s">
        <v>1277</v>
      </c>
    </row>
    <row r="3">
      <c r="A3" s="1" t="s">
        <v>1278</v>
      </c>
      <c r="B3" s="1">
        <v>62.78</v>
      </c>
      <c r="C3" s="1" t="s">
        <v>1279</v>
      </c>
    </row>
    <row r="4">
      <c r="A4" s="1" t="s">
        <v>1280</v>
      </c>
      <c r="B4" s="1">
        <v>85.69</v>
      </c>
      <c r="C4" s="1" t="s">
        <v>1275</v>
      </c>
    </row>
    <row r="5">
      <c r="A5" s="1" t="s">
        <v>1281</v>
      </c>
      <c r="B5" s="1">
        <v>76.17</v>
      </c>
      <c r="C5" s="1" t="s">
        <v>1279</v>
      </c>
    </row>
    <row r="6">
      <c r="A6" s="1" t="s">
        <v>1282</v>
      </c>
      <c r="B6" s="1">
        <v>5.8</v>
      </c>
      <c r="C6" s="1" t="s">
        <v>1287</v>
      </c>
    </row>
    <row r="7">
      <c r="A7" s="1" t="s">
        <v>1284</v>
      </c>
      <c r="B7" s="1">
        <v>42.91</v>
      </c>
      <c r="C7" s="1" t="s">
        <v>1279</v>
      </c>
    </row>
    <row r="8">
      <c r="A8" s="1" t="s">
        <v>1285</v>
      </c>
      <c r="B8" s="1">
        <v>40.69</v>
      </c>
      <c r="C8" s="1" t="s">
        <v>1277</v>
      </c>
    </row>
    <row r="10">
      <c r="A10" s="1" t="s">
        <v>1286</v>
      </c>
      <c r="B10" s="1">
        <v>153.89</v>
      </c>
      <c r="C10" s="1" t="s">
        <v>1279</v>
      </c>
    </row>
  </sheetData>
  <mergeCells count="1">
    <mergeCell ref="A9:C9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1274</v>
      </c>
      <c r="B1" s="1">
        <v>100.0</v>
      </c>
      <c r="C1" s="1" t="s">
        <v>1279</v>
      </c>
    </row>
    <row r="2">
      <c r="A2" s="1" t="s">
        <v>1276</v>
      </c>
      <c r="B2" s="1">
        <v>49.51</v>
      </c>
      <c r="C2" s="1" t="s">
        <v>1277</v>
      </c>
    </row>
    <row r="3">
      <c r="A3" s="1" t="s">
        <v>1278</v>
      </c>
      <c r="B3" s="1">
        <v>62.69</v>
      </c>
      <c r="C3" s="1" t="s">
        <v>1279</v>
      </c>
    </row>
    <row r="4">
      <c r="A4" s="1" t="s">
        <v>1280</v>
      </c>
      <c r="B4" s="1">
        <v>79.66</v>
      </c>
      <c r="C4" s="1" t="s">
        <v>1279</v>
      </c>
    </row>
    <row r="5">
      <c r="A5" s="1" t="s">
        <v>1281</v>
      </c>
      <c r="B5" s="1">
        <v>100.0</v>
      </c>
      <c r="C5" s="1" t="s">
        <v>1275</v>
      </c>
    </row>
    <row r="6">
      <c r="A6" s="1" t="s">
        <v>1282</v>
      </c>
      <c r="B6" s="1">
        <v>12.09</v>
      </c>
      <c r="C6" s="1" t="s">
        <v>1279</v>
      </c>
    </row>
    <row r="7">
      <c r="A7" s="1" t="s">
        <v>1284</v>
      </c>
      <c r="B7" s="1">
        <v>43.56</v>
      </c>
      <c r="C7" s="1" t="s">
        <v>1279</v>
      </c>
    </row>
    <row r="8">
      <c r="A8" s="1" t="s">
        <v>1285</v>
      </c>
      <c r="B8" s="1">
        <v>58.28</v>
      </c>
      <c r="C8" s="1" t="s">
        <v>1277</v>
      </c>
    </row>
    <row r="10">
      <c r="A10" s="1" t="s">
        <v>1286</v>
      </c>
      <c r="B10" s="1">
        <v>133.66</v>
      </c>
      <c r="C10" s="1" t="s">
        <v>1277</v>
      </c>
    </row>
  </sheetData>
  <mergeCells count="1">
    <mergeCell ref="A9:C9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115.87</v>
      </c>
      <c r="C1" s="1" t="s">
        <v>1275</v>
      </c>
    </row>
    <row r="2">
      <c r="A2" s="1" t="s">
        <v>1276</v>
      </c>
      <c r="B2" s="1">
        <v>34.22</v>
      </c>
      <c r="C2" s="1" t="s">
        <v>1287</v>
      </c>
    </row>
    <row r="3">
      <c r="A3" s="1" t="s">
        <v>1278</v>
      </c>
      <c r="B3" s="1">
        <v>70.19</v>
      </c>
      <c r="C3" s="1" t="s">
        <v>1279</v>
      </c>
    </row>
    <row r="4">
      <c r="A4" s="1" t="s">
        <v>1280</v>
      </c>
      <c r="B4" s="1">
        <v>77.98</v>
      </c>
      <c r="C4" s="1" t="s">
        <v>1279</v>
      </c>
    </row>
    <row r="5">
      <c r="A5" s="1" t="s">
        <v>1281</v>
      </c>
      <c r="B5" s="1">
        <v>77.52</v>
      </c>
      <c r="C5" s="1" t="s">
        <v>1279</v>
      </c>
    </row>
    <row r="6">
      <c r="A6" s="1" t="s">
        <v>1282</v>
      </c>
      <c r="B6" s="1">
        <v>3.74</v>
      </c>
      <c r="C6" s="1" t="s">
        <v>1283</v>
      </c>
    </row>
    <row r="7">
      <c r="A7" s="1" t="s">
        <v>1284</v>
      </c>
      <c r="B7" s="1">
        <v>40.41</v>
      </c>
      <c r="C7" s="1" t="s">
        <v>1277</v>
      </c>
    </row>
    <row r="8">
      <c r="A8" s="1" t="s">
        <v>1285</v>
      </c>
      <c r="B8" s="1">
        <v>48.48</v>
      </c>
      <c r="C8" s="1" t="s">
        <v>1277</v>
      </c>
    </row>
    <row r="10">
      <c r="A10" s="1" t="s">
        <v>1286</v>
      </c>
      <c r="B10" s="1">
        <v>153.52</v>
      </c>
      <c r="C10" s="1" t="s">
        <v>1279</v>
      </c>
    </row>
  </sheetData>
  <mergeCells count="1">
    <mergeCell ref="A9:C9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138.52</v>
      </c>
      <c r="C1" s="1" t="s">
        <v>1275</v>
      </c>
    </row>
    <row r="2">
      <c r="A2" s="1" t="s">
        <v>1276</v>
      </c>
      <c r="B2" s="1">
        <v>46.44</v>
      </c>
      <c r="C2" s="1" t="s">
        <v>1277</v>
      </c>
    </row>
    <row r="3">
      <c r="A3" s="1" t="s">
        <v>1278</v>
      </c>
      <c r="B3" s="1">
        <v>67.45</v>
      </c>
      <c r="C3" s="1" t="s">
        <v>1279</v>
      </c>
    </row>
    <row r="4">
      <c r="A4" s="1" t="s">
        <v>1280</v>
      </c>
      <c r="B4" s="1">
        <v>53.76</v>
      </c>
      <c r="C4" s="1" t="s">
        <v>1277</v>
      </c>
    </row>
    <row r="5">
      <c r="A5" s="1" t="s">
        <v>1281</v>
      </c>
      <c r="B5" s="1">
        <v>69.25</v>
      </c>
      <c r="C5" s="1" t="s">
        <v>1277</v>
      </c>
    </row>
    <row r="6">
      <c r="A6" s="1" t="s">
        <v>1282</v>
      </c>
      <c r="B6" s="1">
        <v>3.38</v>
      </c>
      <c r="C6" s="1" t="s">
        <v>1283</v>
      </c>
    </row>
    <row r="7">
      <c r="A7" s="1" t="s">
        <v>1284</v>
      </c>
      <c r="B7" s="1">
        <v>33.94</v>
      </c>
      <c r="C7" s="1" t="s">
        <v>1287</v>
      </c>
    </row>
    <row r="8">
      <c r="A8" s="1" t="s">
        <v>1285</v>
      </c>
      <c r="B8" s="1">
        <v>56.97</v>
      </c>
      <c r="C8" s="1" t="s">
        <v>1277</v>
      </c>
    </row>
    <row r="10">
      <c r="A10" s="1" t="s">
        <v>1286</v>
      </c>
      <c r="B10" s="1">
        <v>158.27</v>
      </c>
      <c r="C10" s="1" t="s">
        <v>1279</v>
      </c>
    </row>
  </sheetData>
  <mergeCells count="1">
    <mergeCell ref="A9:C9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115.93</v>
      </c>
      <c r="C1" s="1" t="s">
        <v>1275</v>
      </c>
    </row>
    <row r="2">
      <c r="A2" s="1" t="s">
        <v>1276</v>
      </c>
      <c r="B2" s="1">
        <v>51.73</v>
      </c>
      <c r="C2" s="1" t="s">
        <v>1277</v>
      </c>
    </row>
    <row r="3">
      <c r="A3" s="1" t="s">
        <v>1278</v>
      </c>
      <c r="B3" s="1">
        <v>67.63</v>
      </c>
      <c r="C3" s="1" t="s">
        <v>1279</v>
      </c>
    </row>
    <row r="4">
      <c r="A4" s="1" t="s">
        <v>1280</v>
      </c>
      <c r="B4" s="1">
        <v>80.58</v>
      </c>
      <c r="C4" s="1" t="s">
        <v>1275</v>
      </c>
    </row>
    <row r="5">
      <c r="A5" s="1" t="s">
        <v>1281</v>
      </c>
      <c r="B5" s="1">
        <v>67.04</v>
      </c>
      <c r="C5" s="1" t="s">
        <v>1277</v>
      </c>
    </row>
    <row r="6">
      <c r="A6" s="1" t="s">
        <v>1282</v>
      </c>
      <c r="B6" s="1">
        <v>6.67</v>
      </c>
      <c r="C6" s="1" t="s">
        <v>1287</v>
      </c>
    </row>
    <row r="7">
      <c r="A7" s="1" t="s">
        <v>1284</v>
      </c>
      <c r="B7" s="1">
        <v>33.52</v>
      </c>
      <c r="C7" s="1" t="s">
        <v>1287</v>
      </c>
    </row>
    <row r="8">
      <c r="A8" s="1" t="s">
        <v>1285</v>
      </c>
      <c r="B8" s="1">
        <v>43.86</v>
      </c>
      <c r="C8" s="1" t="s">
        <v>1277</v>
      </c>
    </row>
    <row r="10">
      <c r="A10" s="1" t="s">
        <v>1286</v>
      </c>
      <c r="B10" s="1">
        <v>166.77</v>
      </c>
      <c r="C10" s="1" t="s">
        <v>1275</v>
      </c>
    </row>
  </sheetData>
  <mergeCells count="1">
    <mergeCell ref="A9:C9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115.29</v>
      </c>
      <c r="C1" s="1" t="s">
        <v>1275</v>
      </c>
    </row>
    <row r="2">
      <c r="A2" s="1" t="s">
        <v>1276</v>
      </c>
      <c r="B2" s="1">
        <v>59.19</v>
      </c>
      <c r="C2" s="1" t="s">
        <v>1277</v>
      </c>
    </row>
    <row r="3">
      <c r="A3" s="1" t="s">
        <v>1278</v>
      </c>
      <c r="B3" s="1">
        <v>66.87</v>
      </c>
      <c r="C3" s="1" t="s">
        <v>1279</v>
      </c>
    </row>
    <row r="4">
      <c r="A4" s="1" t="s">
        <v>1280</v>
      </c>
      <c r="B4" s="1">
        <v>97.08</v>
      </c>
      <c r="C4" s="1" t="s">
        <v>1275</v>
      </c>
    </row>
    <row r="5">
      <c r="A5" s="1" t="s">
        <v>1281</v>
      </c>
      <c r="B5" s="1">
        <v>83.08</v>
      </c>
      <c r="C5" s="1" t="s">
        <v>1279</v>
      </c>
    </row>
    <row r="6">
      <c r="A6" s="1" t="s">
        <v>1282</v>
      </c>
      <c r="B6" s="1">
        <v>8.74</v>
      </c>
      <c r="C6" s="1" t="s">
        <v>1277</v>
      </c>
    </row>
    <row r="7">
      <c r="A7" s="1" t="s">
        <v>1284</v>
      </c>
      <c r="B7" s="1">
        <v>37.85</v>
      </c>
      <c r="C7" s="1" t="s">
        <v>1277</v>
      </c>
    </row>
    <row r="8">
      <c r="A8" s="1" t="s">
        <v>1285</v>
      </c>
      <c r="B8" s="1">
        <v>42.2</v>
      </c>
      <c r="C8" s="1" t="s">
        <v>1277</v>
      </c>
    </row>
    <row r="10">
      <c r="A10" s="1" t="s">
        <v>1286</v>
      </c>
      <c r="B10" s="1">
        <v>170.7</v>
      </c>
      <c r="C10" s="1" t="s">
        <v>1275</v>
      </c>
    </row>
  </sheetData>
  <mergeCells count="1">
    <mergeCell ref="A9:C9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143.79</v>
      </c>
      <c r="C1" s="1" t="s">
        <v>1275</v>
      </c>
    </row>
    <row r="2">
      <c r="A2" s="1" t="s">
        <v>1276</v>
      </c>
      <c r="B2" s="1">
        <v>38.09</v>
      </c>
      <c r="C2" s="1" t="s">
        <v>1287</v>
      </c>
    </row>
    <row r="3">
      <c r="A3" s="1" t="s">
        <v>1278</v>
      </c>
      <c r="B3" s="1">
        <v>63.09</v>
      </c>
      <c r="C3" s="1" t="s">
        <v>1279</v>
      </c>
    </row>
    <row r="4">
      <c r="A4" s="1" t="s">
        <v>1280</v>
      </c>
      <c r="B4" s="1">
        <v>97.26</v>
      </c>
      <c r="C4" s="1" t="s">
        <v>1275</v>
      </c>
    </row>
    <row r="5">
      <c r="A5" s="1" t="s">
        <v>1281</v>
      </c>
      <c r="B5" s="1">
        <v>95.07</v>
      </c>
      <c r="C5" s="1" t="s">
        <v>1275</v>
      </c>
    </row>
    <row r="6">
      <c r="A6" s="1" t="s">
        <v>1282</v>
      </c>
      <c r="B6" s="1">
        <v>7.59</v>
      </c>
      <c r="C6" s="1" t="s">
        <v>1287</v>
      </c>
    </row>
    <row r="7">
      <c r="A7" s="1" t="s">
        <v>1284</v>
      </c>
      <c r="B7" s="1">
        <v>52.56</v>
      </c>
      <c r="C7" s="1" t="s">
        <v>1279</v>
      </c>
    </row>
    <row r="8">
      <c r="A8" s="1" t="s">
        <v>1285</v>
      </c>
      <c r="B8" s="1">
        <v>53.96</v>
      </c>
      <c r="C8" s="1" t="s">
        <v>1277</v>
      </c>
    </row>
    <row r="10">
      <c r="A10" s="1" t="s">
        <v>1286</v>
      </c>
      <c r="B10" s="1">
        <v>154.86</v>
      </c>
      <c r="C10" s="1" t="s">
        <v>1279</v>
      </c>
    </row>
  </sheetData>
  <mergeCells count="1">
    <mergeCell ref="A9:C9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146.43</v>
      </c>
      <c r="C1" s="1" t="s">
        <v>1275</v>
      </c>
    </row>
    <row r="2">
      <c r="A2" s="1" t="s">
        <v>1276</v>
      </c>
      <c r="B2" s="1">
        <v>45.14</v>
      </c>
      <c r="C2" s="1" t="s">
        <v>1277</v>
      </c>
    </row>
    <row r="3">
      <c r="A3" s="1" t="s">
        <v>1278</v>
      </c>
      <c r="B3" s="1">
        <v>66.79</v>
      </c>
      <c r="C3" s="1" t="s">
        <v>1279</v>
      </c>
    </row>
    <row r="4">
      <c r="A4" s="1" t="s">
        <v>1280</v>
      </c>
      <c r="B4" s="1">
        <v>91.73</v>
      </c>
      <c r="C4" s="1" t="s">
        <v>1275</v>
      </c>
    </row>
    <row r="5">
      <c r="A5" s="1" t="s">
        <v>1281</v>
      </c>
      <c r="B5" s="1">
        <v>85.83</v>
      </c>
      <c r="C5" s="1" t="s">
        <v>1279</v>
      </c>
    </row>
    <row r="6">
      <c r="A6" s="1" t="s">
        <v>1282</v>
      </c>
      <c r="B6" s="1">
        <v>6.24</v>
      </c>
      <c r="C6" s="1" t="s">
        <v>1287</v>
      </c>
    </row>
    <row r="7">
      <c r="A7" s="1" t="s">
        <v>1284</v>
      </c>
      <c r="B7" s="1">
        <v>47.27</v>
      </c>
      <c r="C7" s="1" t="s">
        <v>1279</v>
      </c>
    </row>
    <row r="8">
      <c r="A8" s="1" t="s">
        <v>1285</v>
      </c>
      <c r="B8" s="1">
        <v>39.72</v>
      </c>
      <c r="C8" s="1" t="s">
        <v>1287</v>
      </c>
    </row>
    <row r="10">
      <c r="A10" s="1" t="s">
        <v>1286</v>
      </c>
      <c r="B10" s="1">
        <v>173.49</v>
      </c>
      <c r="C10" s="1" t="s">
        <v>1275</v>
      </c>
    </row>
  </sheetData>
  <mergeCells count="1">
    <mergeCell ref="A9:C9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1274</v>
      </c>
      <c r="B1" s="1">
        <v>143.98</v>
      </c>
      <c r="C1" s="1" t="s">
        <v>1275</v>
      </c>
    </row>
    <row r="2">
      <c r="A2" s="1" t="s">
        <v>1276</v>
      </c>
      <c r="B2" s="1">
        <v>39.09</v>
      </c>
      <c r="C2" s="1" t="s">
        <v>1287</v>
      </c>
    </row>
    <row r="3">
      <c r="A3" s="1" t="s">
        <v>1278</v>
      </c>
      <c r="B3" s="1">
        <v>65.23</v>
      </c>
      <c r="C3" s="1" t="s">
        <v>1279</v>
      </c>
    </row>
    <row r="4">
      <c r="A4" s="1" t="s">
        <v>1280</v>
      </c>
      <c r="B4" s="1">
        <v>81.62</v>
      </c>
      <c r="C4" s="1" t="s">
        <v>1275</v>
      </c>
    </row>
    <row r="5">
      <c r="A5" s="1" t="s">
        <v>1281</v>
      </c>
      <c r="B5" s="1">
        <v>83.88</v>
      </c>
      <c r="C5" s="1" t="s">
        <v>1279</v>
      </c>
    </row>
    <row r="6">
      <c r="A6" s="1" t="s">
        <v>1282</v>
      </c>
      <c r="B6" s="1">
        <v>5.67</v>
      </c>
      <c r="C6" s="1" t="s">
        <v>1287</v>
      </c>
    </row>
    <row r="7">
      <c r="A7" s="1" t="s">
        <v>1284</v>
      </c>
      <c r="B7" s="1">
        <v>46.35</v>
      </c>
      <c r="C7" s="1" t="s">
        <v>1279</v>
      </c>
    </row>
    <row r="8">
      <c r="A8" s="1" t="s">
        <v>1285</v>
      </c>
      <c r="B8" s="1">
        <v>48.42</v>
      </c>
      <c r="C8" s="1" t="s">
        <v>1277</v>
      </c>
    </row>
    <row r="10">
      <c r="A10" s="1" t="s">
        <v>1286</v>
      </c>
      <c r="B10" s="1">
        <v>160.92</v>
      </c>
      <c r="C10" s="1" t="s">
        <v>1275</v>
      </c>
    </row>
  </sheetData>
  <mergeCells count="1">
    <mergeCell ref="A9:C9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10" width="9.13"/>
  </cols>
  <sheetData>
    <row r="1">
      <c r="A1" s="4" t="s">
        <v>569</v>
      </c>
      <c r="B1" s="4" t="s">
        <v>1274</v>
      </c>
      <c r="C1" s="4" t="s">
        <v>1276</v>
      </c>
      <c r="D1" s="4" t="s">
        <v>1278</v>
      </c>
      <c r="E1" s="4" t="s">
        <v>1280</v>
      </c>
      <c r="F1" s="4" t="s">
        <v>1281</v>
      </c>
      <c r="G1" s="4" t="s">
        <v>1282</v>
      </c>
      <c r="H1" s="4" t="s">
        <v>1284</v>
      </c>
      <c r="I1" s="4" t="s">
        <v>1285</v>
      </c>
      <c r="J1" s="4" t="s">
        <v>1288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tr">
        <f t="array" ref="A2:A21">IESE2024pivot!B1:B20</f>
        <v>New York</v>
      </c>
      <c r="B2" s="2">
        <f t="shared" ref="B2:B20" si="1">indirect("'" &amp; A2 &amp; " numbeo'!b1")</f>
        <v>100</v>
      </c>
      <c r="C2" s="2">
        <f t="shared" ref="C2:C20" si="2">indirect("'" &amp; A2 &amp; " numbeo'!b2")</f>
        <v>49.51</v>
      </c>
      <c r="D2" s="2">
        <f t="shared" ref="D2:D20" si="3">indirect("'" &amp; A2 &amp; " numbeo'!b3")</f>
        <v>62.69</v>
      </c>
      <c r="E2" s="2">
        <f t="shared" ref="E2:E20" si="4">indirect("'" &amp; A2 &amp; " numbeo'!b4")</f>
        <v>79.66</v>
      </c>
      <c r="F2" s="2">
        <f t="shared" ref="F2:F20" si="5">indirect("'" &amp; A2 &amp; " numbeo'!b5")</f>
        <v>100</v>
      </c>
      <c r="G2" s="2">
        <f t="shared" ref="G2:G20" si="6">indirect("'" &amp; A2 &amp; " numbeo'!b6")</f>
        <v>12.09</v>
      </c>
      <c r="H2" s="2">
        <f t="shared" ref="H2:H20" si="7">indirect("'" &amp; A2 &amp; " numbeo'!b7")</f>
        <v>43.56</v>
      </c>
      <c r="I2" s="2">
        <f t="shared" ref="I2:I20" si="8">indirect("'" &amp; A2 &amp; " numbeo'!b8")</f>
        <v>58.28</v>
      </c>
      <c r="J2" s="2">
        <f t="shared" ref="J2:J20" si="9">indirect("'" &amp; A2 &amp; " numbeo'!b10")</f>
        <v>133.66</v>
      </c>
    </row>
    <row r="3">
      <c r="A3" s="2" t="s">
        <v>636</v>
      </c>
      <c r="B3" s="2">
        <f t="shared" si="1"/>
        <v>143.79</v>
      </c>
      <c r="C3" s="2">
        <f t="shared" si="2"/>
        <v>38.09</v>
      </c>
      <c r="D3" s="2">
        <f t="shared" si="3"/>
        <v>63.09</v>
      </c>
      <c r="E3" s="2">
        <f t="shared" si="4"/>
        <v>97.26</v>
      </c>
      <c r="F3" s="2">
        <f t="shared" si="5"/>
        <v>95.07</v>
      </c>
      <c r="G3" s="2">
        <f t="shared" si="6"/>
        <v>7.59</v>
      </c>
      <c r="H3" s="2">
        <f t="shared" si="7"/>
        <v>52.56</v>
      </c>
      <c r="I3" s="2">
        <f t="shared" si="8"/>
        <v>53.96</v>
      </c>
      <c r="J3" s="2">
        <f t="shared" si="9"/>
        <v>154.86</v>
      </c>
    </row>
    <row r="4">
      <c r="A4" s="2" t="s">
        <v>635</v>
      </c>
      <c r="B4" s="2">
        <f t="shared" si="1"/>
        <v>129.1</v>
      </c>
      <c r="C4" s="2">
        <f t="shared" si="2"/>
        <v>33.61</v>
      </c>
      <c r="D4" s="2">
        <f t="shared" si="3"/>
        <v>63.93</v>
      </c>
      <c r="E4" s="2">
        <f t="shared" si="4"/>
        <v>66.11</v>
      </c>
      <c r="F4" s="2">
        <f t="shared" si="5"/>
        <v>81.1</v>
      </c>
      <c r="G4" s="2">
        <f t="shared" si="6"/>
        <v>2.83</v>
      </c>
      <c r="H4" s="2">
        <f t="shared" si="7"/>
        <v>42.9</v>
      </c>
      <c r="I4" s="2">
        <f t="shared" si="8"/>
        <v>52.33</v>
      </c>
      <c r="J4" s="2">
        <f t="shared" si="9"/>
        <v>148.78</v>
      </c>
    </row>
    <row r="5">
      <c r="A5" s="2" t="s">
        <v>630</v>
      </c>
      <c r="B5" s="2">
        <f t="shared" si="1"/>
        <v>122.51</v>
      </c>
      <c r="C5" s="2">
        <f t="shared" si="2"/>
        <v>58.35</v>
      </c>
      <c r="D5" s="2">
        <f t="shared" si="3"/>
        <v>68.7</v>
      </c>
      <c r="E5" s="2">
        <f t="shared" si="4"/>
        <v>71.73</v>
      </c>
      <c r="F5" s="2">
        <f t="shared" si="5"/>
        <v>87.18</v>
      </c>
      <c r="G5" s="2">
        <f t="shared" si="6"/>
        <v>7.73</v>
      </c>
      <c r="H5" s="2">
        <f t="shared" si="7"/>
        <v>46.58</v>
      </c>
      <c r="I5" s="2">
        <f t="shared" si="8"/>
        <v>36.05</v>
      </c>
      <c r="J5" s="2">
        <f t="shared" si="9"/>
        <v>165.8</v>
      </c>
    </row>
    <row r="6">
      <c r="A6" s="2" t="s">
        <v>631</v>
      </c>
      <c r="B6" s="2">
        <f t="shared" si="1"/>
        <v>143.98</v>
      </c>
      <c r="C6" s="2">
        <f t="shared" si="2"/>
        <v>39.09</v>
      </c>
      <c r="D6" s="2">
        <f t="shared" si="3"/>
        <v>65.23</v>
      </c>
      <c r="E6" s="2">
        <f t="shared" si="4"/>
        <v>81.62</v>
      </c>
      <c r="F6" s="2">
        <f t="shared" si="5"/>
        <v>83.88</v>
      </c>
      <c r="G6" s="2">
        <f t="shared" si="6"/>
        <v>5.67</v>
      </c>
      <c r="H6" s="2">
        <f t="shared" si="7"/>
        <v>46.35</v>
      </c>
      <c r="I6" s="2">
        <f t="shared" si="8"/>
        <v>48.42</v>
      </c>
      <c r="J6" s="2">
        <f t="shared" si="9"/>
        <v>160.92</v>
      </c>
    </row>
    <row r="7">
      <c r="A7" s="2" t="s">
        <v>634</v>
      </c>
      <c r="B7" s="2">
        <f t="shared" si="1"/>
        <v>146.43</v>
      </c>
      <c r="C7" s="2">
        <f t="shared" si="2"/>
        <v>45.14</v>
      </c>
      <c r="D7" s="2">
        <f t="shared" si="3"/>
        <v>66.79</v>
      </c>
      <c r="E7" s="2">
        <f t="shared" si="4"/>
        <v>91.73</v>
      </c>
      <c r="F7" s="2">
        <f t="shared" si="5"/>
        <v>85.83</v>
      </c>
      <c r="G7" s="2">
        <f t="shared" si="6"/>
        <v>6.24</v>
      </c>
      <c r="H7" s="2">
        <f t="shared" si="7"/>
        <v>47.27</v>
      </c>
      <c r="I7" s="2">
        <f t="shared" si="8"/>
        <v>39.72</v>
      </c>
      <c r="J7" s="2">
        <f t="shared" si="9"/>
        <v>173.49</v>
      </c>
    </row>
    <row r="8">
      <c r="A8" s="2" t="s">
        <v>632</v>
      </c>
      <c r="B8" s="2">
        <f t="shared" si="1"/>
        <v>142.2</v>
      </c>
      <c r="C8" s="2">
        <f t="shared" si="2"/>
        <v>47.05</v>
      </c>
      <c r="D8" s="2">
        <f t="shared" si="3"/>
        <v>61.11</v>
      </c>
      <c r="E8" s="2">
        <f t="shared" si="4"/>
        <v>95.5</v>
      </c>
      <c r="F8" s="2">
        <f t="shared" si="5"/>
        <v>83.52</v>
      </c>
      <c r="G8" s="2">
        <f t="shared" si="6"/>
        <v>5.64</v>
      </c>
      <c r="H8" s="2">
        <f t="shared" si="7"/>
        <v>57.76</v>
      </c>
      <c r="I8" s="2">
        <f t="shared" si="8"/>
        <v>67.19</v>
      </c>
      <c r="J8" s="2">
        <f t="shared" si="9"/>
        <v>149.02</v>
      </c>
    </row>
    <row r="9">
      <c r="A9" s="2" t="s">
        <v>1289</v>
      </c>
      <c r="B9" s="2">
        <f t="shared" si="1"/>
        <v>146.57</v>
      </c>
      <c r="C9" s="2">
        <f t="shared" si="2"/>
        <v>48.56</v>
      </c>
      <c r="D9" s="2">
        <f t="shared" si="3"/>
        <v>66.15</v>
      </c>
      <c r="E9" s="2">
        <f t="shared" si="4"/>
        <v>81.85</v>
      </c>
      <c r="F9" s="2">
        <f t="shared" si="5"/>
        <v>73.44</v>
      </c>
      <c r="G9" s="2">
        <f t="shared" si="6"/>
        <v>2.74</v>
      </c>
      <c r="H9" s="2">
        <f t="shared" si="7"/>
        <v>36.22</v>
      </c>
      <c r="I9" s="2">
        <f t="shared" si="8"/>
        <v>43.25</v>
      </c>
      <c r="J9" s="2">
        <f t="shared" si="9"/>
        <v>179.63</v>
      </c>
    </row>
    <row r="10">
      <c r="A10" s="2" t="s">
        <v>1290</v>
      </c>
      <c r="B10" s="2">
        <f t="shared" si="1"/>
        <v>143.39</v>
      </c>
      <c r="C10" s="2">
        <f t="shared" si="2"/>
        <v>58.88</v>
      </c>
      <c r="D10" s="2">
        <f t="shared" si="3"/>
        <v>68.05</v>
      </c>
      <c r="E10" s="2">
        <f t="shared" si="4"/>
        <v>82.08</v>
      </c>
      <c r="F10" s="2">
        <f t="shared" si="5"/>
        <v>71.92</v>
      </c>
      <c r="G10" s="2">
        <f t="shared" si="6"/>
        <v>4.24</v>
      </c>
      <c r="H10" s="2">
        <f t="shared" si="7"/>
        <v>37.16</v>
      </c>
      <c r="I10" s="2">
        <f t="shared" si="8"/>
        <v>43.16</v>
      </c>
      <c r="J10" s="2">
        <f t="shared" si="9"/>
        <v>182.59</v>
      </c>
    </row>
    <row r="11">
      <c r="A11" s="2" t="s">
        <v>1291</v>
      </c>
      <c r="B11" s="2">
        <f t="shared" si="1"/>
        <v>115.29</v>
      </c>
      <c r="C11" s="2">
        <f t="shared" si="2"/>
        <v>59.19</v>
      </c>
      <c r="D11" s="2">
        <f t="shared" si="3"/>
        <v>66.87</v>
      </c>
      <c r="E11" s="2">
        <f t="shared" si="4"/>
        <v>97.08</v>
      </c>
      <c r="F11" s="2">
        <f t="shared" si="5"/>
        <v>83.08</v>
      </c>
      <c r="G11" s="2">
        <f t="shared" si="6"/>
        <v>8.74</v>
      </c>
      <c r="H11" s="2">
        <f t="shared" si="7"/>
        <v>37.85</v>
      </c>
      <c r="I11" s="2">
        <f t="shared" si="8"/>
        <v>42.2</v>
      </c>
      <c r="J11" s="2">
        <f t="shared" si="9"/>
        <v>170.7</v>
      </c>
    </row>
    <row r="12">
      <c r="A12" s="2" t="s">
        <v>1292</v>
      </c>
      <c r="B12" s="2">
        <f t="shared" si="1"/>
        <v>146.36</v>
      </c>
      <c r="C12" s="2">
        <f t="shared" si="2"/>
        <v>36.51</v>
      </c>
      <c r="D12" s="2">
        <f t="shared" si="3"/>
        <v>68.43</v>
      </c>
      <c r="E12" s="2">
        <f t="shared" si="4"/>
        <v>85.53</v>
      </c>
      <c r="F12" s="2">
        <f t="shared" si="5"/>
        <v>67.11</v>
      </c>
      <c r="G12" s="2">
        <f t="shared" si="6"/>
        <v>4.2</v>
      </c>
      <c r="H12" s="2">
        <f t="shared" si="7"/>
        <v>42.49</v>
      </c>
      <c r="I12" s="2">
        <f t="shared" si="8"/>
        <v>56.82</v>
      </c>
      <c r="J12" s="2">
        <f t="shared" si="9"/>
        <v>162.65</v>
      </c>
    </row>
    <row r="13">
      <c r="A13" s="2" t="s">
        <v>1293</v>
      </c>
      <c r="B13" s="2">
        <f t="shared" si="1"/>
        <v>97.17</v>
      </c>
      <c r="C13" s="2">
        <f t="shared" si="2"/>
        <v>46.69</v>
      </c>
      <c r="D13" s="2">
        <f t="shared" si="3"/>
        <v>62.78</v>
      </c>
      <c r="E13" s="2">
        <f t="shared" si="4"/>
        <v>85.69</v>
      </c>
      <c r="F13" s="2">
        <f t="shared" si="5"/>
        <v>76.17</v>
      </c>
      <c r="G13" s="2">
        <f t="shared" si="6"/>
        <v>5.8</v>
      </c>
      <c r="H13" s="2">
        <f t="shared" si="7"/>
        <v>42.91</v>
      </c>
      <c r="I13" s="2">
        <f t="shared" si="8"/>
        <v>40.69</v>
      </c>
      <c r="J13" s="2">
        <f t="shared" si="9"/>
        <v>153.89</v>
      </c>
    </row>
    <row r="14">
      <c r="A14" s="2" t="s">
        <v>633</v>
      </c>
      <c r="B14" s="2">
        <f t="shared" si="1"/>
        <v>126.78</v>
      </c>
      <c r="C14" s="2">
        <f t="shared" si="2"/>
        <v>53.11</v>
      </c>
      <c r="D14" s="2">
        <f t="shared" si="3"/>
        <v>69.25</v>
      </c>
      <c r="E14" s="2">
        <f t="shared" si="4"/>
        <v>56.28</v>
      </c>
      <c r="F14" s="2">
        <f t="shared" si="5"/>
        <v>79.07</v>
      </c>
      <c r="G14" s="2">
        <f t="shared" si="6"/>
        <v>4.1</v>
      </c>
      <c r="H14" s="2">
        <f t="shared" si="7"/>
        <v>36.62</v>
      </c>
      <c r="I14" s="2">
        <f t="shared" si="8"/>
        <v>44.83</v>
      </c>
      <c r="J14" s="2">
        <f t="shared" si="9"/>
        <v>163.53</v>
      </c>
    </row>
    <row r="15">
      <c r="A15" s="2" t="s">
        <v>637</v>
      </c>
      <c r="B15" s="2">
        <f t="shared" si="1"/>
        <v>115.87</v>
      </c>
      <c r="C15" s="2">
        <f t="shared" si="2"/>
        <v>34.22</v>
      </c>
      <c r="D15" s="2">
        <f t="shared" si="3"/>
        <v>70.19</v>
      </c>
      <c r="E15" s="2">
        <f t="shared" si="4"/>
        <v>77.98</v>
      </c>
      <c r="F15" s="2">
        <f t="shared" si="5"/>
        <v>77.52</v>
      </c>
      <c r="G15" s="2">
        <f t="shared" si="6"/>
        <v>3.74</v>
      </c>
      <c r="H15" s="2">
        <f t="shared" si="7"/>
        <v>40.41</v>
      </c>
      <c r="I15" s="2">
        <f t="shared" si="8"/>
        <v>48.48</v>
      </c>
      <c r="J15" s="2">
        <f t="shared" si="9"/>
        <v>153.52</v>
      </c>
    </row>
    <row r="16">
      <c r="A16" s="2" t="s">
        <v>638</v>
      </c>
      <c r="B16" s="2">
        <f t="shared" si="1"/>
        <v>138.52</v>
      </c>
      <c r="C16" s="2">
        <f t="shared" si="2"/>
        <v>46.44</v>
      </c>
      <c r="D16" s="2">
        <f t="shared" si="3"/>
        <v>67.45</v>
      </c>
      <c r="E16" s="2">
        <f t="shared" si="4"/>
        <v>53.76</v>
      </c>
      <c r="F16" s="2">
        <f t="shared" si="5"/>
        <v>69.25</v>
      </c>
      <c r="G16" s="2">
        <f t="shared" si="6"/>
        <v>3.38</v>
      </c>
      <c r="H16" s="2">
        <f t="shared" si="7"/>
        <v>33.94</v>
      </c>
      <c r="I16" s="2">
        <f t="shared" si="8"/>
        <v>56.97</v>
      </c>
      <c r="J16" s="2">
        <f t="shared" si="9"/>
        <v>158.27</v>
      </c>
    </row>
    <row r="17">
      <c r="A17" s="2" t="s">
        <v>1294</v>
      </c>
      <c r="B17" s="2">
        <f t="shared" si="1"/>
        <v>128.04</v>
      </c>
      <c r="C17" s="2">
        <f t="shared" si="2"/>
        <v>24.93</v>
      </c>
      <c r="D17" s="2">
        <f t="shared" si="3"/>
        <v>74.38</v>
      </c>
      <c r="E17" s="2">
        <f t="shared" si="4"/>
        <v>81.24</v>
      </c>
      <c r="F17" s="2">
        <f t="shared" si="5"/>
        <v>74.41</v>
      </c>
      <c r="G17" s="2">
        <f t="shared" si="6"/>
        <v>2.11</v>
      </c>
      <c r="H17" s="2">
        <f t="shared" si="7"/>
        <v>31.47</v>
      </c>
      <c r="I17" s="2">
        <f t="shared" si="8"/>
        <v>52.01</v>
      </c>
      <c r="J17" s="2">
        <f t="shared" si="9"/>
        <v>160.55</v>
      </c>
    </row>
    <row r="18">
      <c r="A18" s="2" t="s">
        <v>1295</v>
      </c>
      <c r="B18" s="2">
        <f t="shared" si="1"/>
        <v>115.93</v>
      </c>
      <c r="C18" s="2">
        <f t="shared" si="2"/>
        <v>51.73</v>
      </c>
      <c r="D18" s="2">
        <f t="shared" si="3"/>
        <v>67.63</v>
      </c>
      <c r="E18" s="2">
        <f t="shared" si="4"/>
        <v>80.58</v>
      </c>
      <c r="F18" s="2">
        <f t="shared" si="5"/>
        <v>67.04</v>
      </c>
      <c r="G18" s="2">
        <f t="shared" si="6"/>
        <v>6.67</v>
      </c>
      <c r="H18" s="2">
        <f t="shared" si="7"/>
        <v>33.52</v>
      </c>
      <c r="I18" s="2">
        <f t="shared" si="8"/>
        <v>43.86</v>
      </c>
      <c r="J18" s="2">
        <f t="shared" si="9"/>
        <v>166.77</v>
      </c>
    </row>
    <row r="19">
      <c r="A19" s="2" t="s">
        <v>1296</v>
      </c>
      <c r="B19" s="2">
        <f t="shared" si="1"/>
        <v>122.98</v>
      </c>
      <c r="C19" s="2">
        <f t="shared" si="2"/>
        <v>25.67</v>
      </c>
      <c r="D19" s="2">
        <f t="shared" si="3"/>
        <v>63.15</v>
      </c>
      <c r="E19" s="2">
        <f t="shared" si="4"/>
        <v>66.03</v>
      </c>
      <c r="F19" s="2">
        <f t="shared" si="5"/>
        <v>71.77</v>
      </c>
      <c r="G19" s="2">
        <f t="shared" si="6"/>
        <v>1.23</v>
      </c>
      <c r="H19" s="2">
        <f t="shared" si="7"/>
        <v>44.19</v>
      </c>
      <c r="I19" s="2">
        <f t="shared" si="8"/>
        <v>60.73</v>
      </c>
      <c r="J19" s="2">
        <f t="shared" si="9"/>
        <v>138.3</v>
      </c>
    </row>
    <row r="20">
      <c r="A20" s="2" t="s">
        <v>1297</v>
      </c>
      <c r="B20" s="2">
        <f t="shared" si="1"/>
        <v>122.23</v>
      </c>
      <c r="C20" s="2">
        <f t="shared" si="2"/>
        <v>44.45</v>
      </c>
      <c r="D20" s="2">
        <f t="shared" si="3"/>
        <v>54.36</v>
      </c>
      <c r="E20" s="2">
        <f t="shared" si="4"/>
        <v>57.4</v>
      </c>
      <c r="F20" s="2">
        <f t="shared" si="5"/>
        <v>69.32</v>
      </c>
      <c r="G20" s="2">
        <f t="shared" si="6"/>
        <v>3.49</v>
      </c>
      <c r="H20" s="2">
        <f t="shared" si="7"/>
        <v>27.7</v>
      </c>
      <c r="I20" s="2">
        <f t="shared" si="8"/>
        <v>51.99</v>
      </c>
      <c r="J20" s="2">
        <f t="shared" si="9"/>
        <v>153.06</v>
      </c>
    </row>
    <row r="21">
      <c r="A21" s="2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tr">
        <f>NumbeoPivot!A1</f>
        <v>City</v>
      </c>
      <c r="B1" s="9" t="s">
        <v>1298</v>
      </c>
      <c r="C1" s="4" t="s">
        <v>1299</v>
      </c>
      <c r="D1" s="4" t="s">
        <v>1300</v>
      </c>
    </row>
    <row r="2">
      <c r="A2" s="2" t="s">
        <v>629</v>
      </c>
      <c r="B2" s="10">
        <v>98.0</v>
      </c>
      <c r="C2" s="11">
        <v>6.1</v>
      </c>
      <c r="D2" s="11">
        <v>7.0</v>
      </c>
    </row>
    <row r="3">
      <c r="A3" s="2" t="s">
        <v>636</v>
      </c>
      <c r="B3" s="10">
        <v>45.0</v>
      </c>
      <c r="C3" s="11">
        <v>6.4</v>
      </c>
      <c r="D3" s="11">
        <v>6.6</v>
      </c>
    </row>
    <row r="4">
      <c r="A4" s="2" t="s">
        <v>635</v>
      </c>
      <c r="B4" s="10">
        <v>123.0</v>
      </c>
      <c r="C4" s="11">
        <v>5.9</v>
      </c>
      <c r="D4" s="11">
        <v>6.4</v>
      </c>
    </row>
    <row r="5">
      <c r="A5" s="2" t="s">
        <v>630</v>
      </c>
      <c r="B5" s="10">
        <v>44.0</v>
      </c>
      <c r="C5" s="11">
        <v>6.4</v>
      </c>
      <c r="D5" s="11">
        <v>7.3</v>
      </c>
    </row>
    <row r="6">
      <c r="A6" s="2" t="s">
        <v>631</v>
      </c>
      <c r="B6" s="10">
        <v>39.0</v>
      </c>
      <c r="C6" s="11">
        <v>6.4</v>
      </c>
      <c r="D6" s="11">
        <v>7.2</v>
      </c>
    </row>
    <row r="7">
      <c r="A7" s="2" t="s">
        <v>634</v>
      </c>
      <c r="B7" s="10">
        <v>81.0</v>
      </c>
      <c r="C7" s="11">
        <v>6.2</v>
      </c>
      <c r="D7" s="11">
        <v>6.6</v>
      </c>
    </row>
    <row r="8">
      <c r="A8" s="2" t="s">
        <v>632</v>
      </c>
      <c r="B8" s="10">
        <v>139.0</v>
      </c>
      <c r="C8" s="11">
        <v>5.6</v>
      </c>
      <c r="D8" s="11">
        <v>5.3</v>
      </c>
    </row>
    <row r="9">
      <c r="A9" s="2" t="s">
        <v>1289</v>
      </c>
      <c r="B9" s="10">
        <v>113.0</v>
      </c>
      <c r="C9" s="11">
        <v>6.0</v>
      </c>
      <c r="D9" s="11">
        <v>6.1</v>
      </c>
    </row>
    <row r="10">
      <c r="A10" s="2" t="s">
        <v>1290</v>
      </c>
      <c r="B10" s="10">
        <v>40.0</v>
      </c>
      <c r="C10" s="11">
        <v>6.4</v>
      </c>
      <c r="D10" s="11">
        <v>6.6</v>
      </c>
    </row>
    <row r="11">
      <c r="A11" s="2" t="s">
        <v>1291</v>
      </c>
      <c r="B11" s="10">
        <v>93.0</v>
      </c>
      <c r="C11" s="11">
        <v>6.2</v>
      </c>
      <c r="D11" s="11">
        <v>6.7</v>
      </c>
    </row>
    <row r="12">
      <c r="A12" s="2" t="s">
        <v>1292</v>
      </c>
      <c r="B12" s="10">
        <v>140.0</v>
      </c>
      <c r="C12" s="11">
        <v>5.6</v>
      </c>
      <c r="D12" s="11">
        <v>5.0</v>
      </c>
    </row>
    <row r="13">
      <c r="A13" s="2" t="s">
        <v>1293</v>
      </c>
      <c r="B13" s="10">
        <v>138.0</v>
      </c>
      <c r="C13" s="11">
        <v>5.6</v>
      </c>
      <c r="D13" s="11">
        <v>6.2</v>
      </c>
    </row>
    <row r="14">
      <c r="A14" s="2" t="s">
        <v>633</v>
      </c>
      <c r="B14" s="10">
        <v>99.0</v>
      </c>
      <c r="C14" s="11">
        <v>6.1</v>
      </c>
      <c r="D14" s="11">
        <v>6.5</v>
      </c>
    </row>
    <row r="15">
      <c r="A15" s="2" t="s">
        <v>637</v>
      </c>
      <c r="B15" s="10">
        <v>119.0</v>
      </c>
      <c r="C15" s="11">
        <v>5.9</v>
      </c>
      <c r="D15" s="11">
        <v>6.3</v>
      </c>
    </row>
    <row r="16">
      <c r="A16" s="2" t="s">
        <v>638</v>
      </c>
      <c r="B16" s="10">
        <v>110.0</v>
      </c>
      <c r="C16" s="11">
        <v>6.1</v>
      </c>
      <c r="D16" s="11">
        <v>6.0</v>
      </c>
    </row>
    <row r="17">
      <c r="A17" s="2" t="s">
        <v>1294</v>
      </c>
      <c r="B17" s="10">
        <v>116.0</v>
      </c>
      <c r="C17" s="11">
        <v>6.0</v>
      </c>
      <c r="D17" s="11">
        <v>6.6</v>
      </c>
    </row>
    <row r="18">
      <c r="A18" s="2" t="s">
        <v>1295</v>
      </c>
      <c r="B18" s="10">
        <v>103.0</v>
      </c>
      <c r="C18" s="11">
        <v>6.1</v>
      </c>
      <c r="D18" s="11">
        <v>6.6</v>
      </c>
    </row>
    <row r="19">
      <c r="A19" s="2" t="s">
        <v>1296</v>
      </c>
      <c r="B19" s="10">
        <v>114.0</v>
      </c>
      <c r="C19" s="11">
        <v>6.0</v>
      </c>
      <c r="D19" s="11">
        <v>6.1</v>
      </c>
    </row>
    <row r="20">
      <c r="A20" s="2" t="s">
        <v>1297</v>
      </c>
      <c r="B20" s="10">
        <v>136.0</v>
      </c>
      <c r="C20" s="11">
        <v>5.7</v>
      </c>
      <c r="D20" s="11">
        <v>5.9</v>
      </c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5" width="8.25"/>
  </cols>
  <sheetData>
    <row r="1">
      <c r="A1" s="5" t="str">
        <f>NumbeoPivot!A1</f>
        <v>City</v>
      </c>
      <c r="B1" s="5" t="str">
        <f>"Numbeo.com " &amp; NumbeoPivot!B1</f>
        <v>Numbeo.com Purchasing Power Index</v>
      </c>
      <c r="C1" s="5" t="str">
        <f>"Numbeo.com " &amp; NumbeoPivot!C1</f>
        <v>Numbeo.com Safety Index</v>
      </c>
      <c r="D1" s="5" t="str">
        <f>"Numbeo.com " &amp; NumbeoPivot!D1</f>
        <v>Numbeo.com Health Care Index</v>
      </c>
      <c r="E1" s="5" t="str">
        <f>"Numbeo.com " &amp; NumbeoPivot!E1</f>
        <v>Numbeo.com Climate Index</v>
      </c>
      <c r="F1" s="5" t="str">
        <f>"Numbeo.com " &amp; NumbeoPivot!F1</f>
        <v>Numbeo.com Cost of Living Index</v>
      </c>
      <c r="G1" s="5" t="str">
        <f>"Numbeo.com " &amp; NumbeoPivot!G1</f>
        <v>Numbeo.com Property Price to Income Ratio</v>
      </c>
      <c r="H1" s="5" t="str">
        <f>"Numbeo.com " &amp; NumbeoPivot!H1</f>
        <v>Numbeo.com Traffic Commute Time Index</v>
      </c>
      <c r="I1" s="5" t="str">
        <f>"Numbeo.com " &amp; NumbeoPivot!I1</f>
        <v>Numbeo.com Pollution Index</v>
      </c>
      <c r="J1" s="4" t="s">
        <v>1301</v>
      </c>
      <c r="K1" s="4" t="s">
        <v>1302</v>
      </c>
      <c r="L1" s="4" t="s">
        <v>1303</v>
      </c>
      <c r="M1" s="4" t="s">
        <v>1304</v>
      </c>
      <c r="N1" s="4" t="s">
        <v>1305</v>
      </c>
      <c r="O1" s="4" t="str">
        <f>IMDpivot!B1</f>
        <v>HDI</v>
      </c>
      <c r="P1" s="4" t="str">
        <f>IMDpivot!C1</f>
        <v>IMD Rank 2019</v>
      </c>
      <c r="Q1" s="4" t="str">
        <f>IMDpivot!D1</f>
        <v>IMD Rank 2020</v>
      </c>
      <c r="R1" s="4" t="str">
        <f>IMDpivot!E1</f>
        <v>IMD Rank 2021</v>
      </c>
      <c r="S1" s="4" t="str">
        <f>IMDpivot!F1</f>
        <v>IMD Rank 2023</v>
      </c>
      <c r="T1" s="4" t="str">
        <f>IMDpivot!G1</f>
        <v>Basic sanitation meets the needs of the poorest areas</v>
      </c>
      <c r="U1" s="4" t="str">
        <f>IMDpivot!H1</f>
        <v>Recycling services are satisfactory</v>
      </c>
      <c r="V1" s="4" t="str">
        <f>IMDpivot!I1</f>
        <v>Public safety is not a problem</v>
      </c>
      <c r="W1" s="4" t="str">
        <f>IMDpivot!J1</f>
        <v>Air pollution is not a problem</v>
      </c>
      <c r="X1" s="4" t="str">
        <f>IMDpivot!K1</f>
        <v>Medical services provision is satisfactory</v>
      </c>
      <c r="Y1" s="4" t="str">
        <f>IMDpivot!L1</f>
        <v>Finding housing with rent equal to 30% or less of a monthly salary is not a problem</v>
      </c>
      <c r="Z1" s="4" t="str">
        <f>IMDpivot!M1</f>
        <v>Traffic congestion is not a problem</v>
      </c>
      <c r="AA1" s="4" t="str">
        <f>IMDpivot!N1</f>
        <v>Public transport is satisfactory</v>
      </c>
      <c r="AB1" s="4" t="str">
        <f>IMDpivot!O1</f>
        <v>Green spaces are satisfactory</v>
      </c>
      <c r="AC1" s="4" t="str">
        <f>IMDpivot!P1</f>
        <v>Cultural activities (shows, bars, and museums) are satisfactory</v>
      </c>
      <c r="AD1" s="4" t="str">
        <f>IMDpivot!Q1</f>
        <v>Employment finding services are readily available</v>
      </c>
      <c r="AE1" s="4" t="str">
        <f>IMDpivot!R1</f>
        <v>Most children have access to a good school</v>
      </c>
      <c r="AF1" s="4" t="str">
        <f>IMDpivot!S1</f>
        <v>Lifelong learning opportunities are provided by local institutions</v>
      </c>
      <c r="AG1" s="4" t="str">
        <f>IMDpivot!T1</f>
        <v>Businesses are creating new jobs</v>
      </c>
      <c r="AH1" s="4" t="str">
        <f>IMDpivot!U1</f>
        <v>Minorities feel welcome</v>
      </c>
      <c r="AI1" s="4" t="str">
        <f>IMDpivot!V1</f>
        <v>Information on local government decisions are easily accessible</v>
      </c>
      <c r="AJ1" s="4" t="str">
        <f>IMDpivot!W1</f>
        <v>Corruption of city officials is not an issue of concern</v>
      </c>
      <c r="AK1" s="4" t="str">
        <f>IMDpivot!X1</f>
        <v>Residents contribute to decision making of local government</v>
      </c>
      <c r="AL1" s="4" t="str">
        <f>IMDpivot!Y1</f>
        <v>Residents provide feedback on local government projects</v>
      </c>
      <c r="AM1" s="4" t="str">
        <f>IMDpivot!Z1</f>
        <v>Online reporting of city maintenance problems provides a speedy solution</v>
      </c>
      <c r="AN1" s="4" t="str">
        <f>IMDpivot!AA1</f>
        <v>A website or App allows residents to easily give away unwanted items</v>
      </c>
      <c r="AO1" s="4" t="str">
        <f>IMDpivot!AB1</f>
        <v>Free public wifi has improved access to city services</v>
      </c>
      <c r="AP1" s="4" t="str">
        <f>IMDpivot!AC1</f>
        <v>CCTV cameras has made residents feel safer</v>
      </c>
      <c r="AQ1" s="4" t="str">
        <f>IMDpivot!AD1</f>
        <v>A website or App allows residents to effectively monitor air pollution</v>
      </c>
      <c r="AR1" s="4" t="str">
        <f>IMDpivot!AE1</f>
        <v>Arranging medical appointments online has improved access</v>
      </c>
      <c r="AS1" s="4" t="str">
        <f>IMDpivot!AF1</f>
        <v>Car-sharing Apps have reduced congestion</v>
      </c>
      <c r="AT1" s="4" t="str">
        <f>IMDpivot!AG1</f>
        <v>Apps that direct you to an available parking space have reduced journey time</v>
      </c>
      <c r="AU1" s="4" t="str">
        <f>IMDpivot!AH1</f>
        <v>Bicycle hiring has reduced congestion</v>
      </c>
      <c r="AV1" s="4" t="str">
        <f>IMDpivot!AI1</f>
        <v>Online scheduling and ticket sales has made public transport easier to use</v>
      </c>
      <c r="AW1" s="4" t="str">
        <f>IMDpivot!AJ1</f>
        <v>The city provides information on traffic congestion through mobile phones</v>
      </c>
      <c r="AX1" s="4" t="str">
        <f>IMDpivot!AK1</f>
        <v>Online purchasing of tickets to shows and museums has made it easier to attend</v>
      </c>
      <c r="AY1" s="4" t="str">
        <f>IMDpivot!AL1</f>
        <v>Online access to job listings has made it easier to find work</v>
      </c>
      <c r="AZ1" s="4" t="str">
        <f>IMDpivot!AM1</f>
        <v>IT skills are taught well in schools</v>
      </c>
      <c r="BA1" s="4" t="str">
        <f>IMDpivot!AN1</f>
        <v>Online services provided by the city has made it easier to start a new business</v>
      </c>
      <c r="BB1" s="4" t="str">
        <f>IMDpivot!AO1</f>
        <v>The current internet speed and reliability meet connectivity needs</v>
      </c>
      <c r="BC1" s="4" t="str">
        <f>IMDpivot!AP1</f>
        <v>Online public access to city finances has reduced corruption</v>
      </c>
      <c r="BD1" s="4" t="str">
        <f>IMDpivot!AQ1</f>
        <v>Online voting has increased participation</v>
      </c>
      <c r="BE1" s="4" t="str">
        <f>IMDpivot!AR1</f>
        <v>An online platform where residents can propose ideas has improved city life</v>
      </c>
      <c r="BF1" s="4" t="str">
        <f>IMDpivot!AS1</f>
        <v>Processing Identification Documents online has reduced waiting times</v>
      </c>
      <c r="BG1" s="4" t="str">
        <f>"Concerned about " &amp;IMDpivot!AT1</f>
        <v>Concerned about affordable housing</v>
      </c>
      <c r="BH1" s="4" t="str">
        <f>"Concerned about " &amp;IMDpivot!AU1</f>
        <v>Concerned about air pollution</v>
      </c>
      <c r="BI1" s="4" t="str">
        <f>"Concerned about " &amp;IMDpivot!AV1</f>
        <v>Concerned about basic amenities</v>
      </c>
      <c r="BJ1" s="4" t="str">
        <f>"Concerned about " &amp;IMDpivot!AW1</f>
        <v>Concerned about citizen engagement</v>
      </c>
      <c r="BK1" s="4" t="str">
        <f>"Concerned about " &amp;IMDpivot!AX1</f>
        <v>Concerned about corruption</v>
      </c>
      <c r="BL1" s="4" t="str">
        <f>"Concerned about " &amp;IMDpivot!AY1</f>
        <v>Concerned about fulfilling employment</v>
      </c>
      <c r="BM1" s="4" t="str">
        <f>"Concerned about " &amp;IMDpivot!AZ1</f>
        <v>Concerned about green spaces</v>
      </c>
      <c r="BN1" s="4" t="str">
        <f>"Concerned about " &amp;IMDpivot!BA1</f>
        <v>Concerned about health services</v>
      </c>
      <c r="BO1" s="4" t="str">
        <f>"Concerned about " &amp;IMDpivot!BB1</f>
        <v>Concerned about public transport</v>
      </c>
      <c r="BP1" s="4" t="str">
        <f>"Concerned about " &amp;IMDpivot!BC1</f>
        <v>Concerned about recycling</v>
      </c>
      <c r="BQ1" s="4" t="str">
        <f>"Concerned about " &amp;IMDpivot!BD1</f>
        <v>Concerned about road congestion</v>
      </c>
      <c r="BR1" s="4" t="str">
        <f>"Concerned about " &amp;IMDpivot!BE1</f>
        <v>Concerned about school education</v>
      </c>
      <c r="BS1" s="4" t="str">
        <f>"Concerned about " &amp;IMDpivot!BF1</f>
        <v>Concerned about security</v>
      </c>
      <c r="BT1" s="4" t="str">
        <f>"Concerned about " &amp;IMDpivot!BG1</f>
        <v>Concerned about social mobility</v>
      </c>
      <c r="BU1" s="4" t="str">
        <f>"Concerned about " &amp;IMDpivot!BH1</f>
        <v>Concerned about unemployment</v>
      </c>
      <c r="BV1" s="9" t="s">
        <v>1298</v>
      </c>
      <c r="BW1" s="4" t="s">
        <v>1299</v>
      </c>
      <c r="BX1" s="4" t="s">
        <v>1306</v>
      </c>
    </row>
    <row r="2">
      <c r="A2" s="2" t="s">
        <v>629</v>
      </c>
      <c r="B2" s="2">
        <f>VLOOKUP($A2, NumbeoPivot!$A2:$J1000, column()-column($B2) + 2, FALSE)</f>
        <v>100</v>
      </c>
      <c r="C2" s="2">
        <f>VLOOKUP($A2, NumbeoPivot!$A2:$J1000, column()-column($B2) + 2, FALSE)</f>
        <v>49.51</v>
      </c>
      <c r="D2" s="2">
        <f>VLOOKUP($A2, NumbeoPivot!$A2:$J1000, column()-column($B2) + 2, FALSE)</f>
        <v>62.69</v>
      </c>
      <c r="E2" s="2">
        <f>VLOOKUP($A2, NumbeoPivot!$A2:$J1000, column()-column($B2) + 2, FALSE)</f>
        <v>79.66</v>
      </c>
      <c r="F2" s="2">
        <f>VLOOKUP($A2, NumbeoPivot!$A2:$J1000, column()-column($B2) + 2, FALSE)</f>
        <v>100</v>
      </c>
      <c r="G2" s="2">
        <f>VLOOKUP($A2, NumbeoPivot!$A2:$J1000, column()-column($B2) + 2, FALSE)</f>
        <v>12.09</v>
      </c>
      <c r="H2" s="2">
        <f>VLOOKUP($A2, NumbeoPivot!$A2:$J1000, column()-column($B2) + 2, FALSE)</f>
        <v>43.56</v>
      </c>
      <c r="I2" s="2">
        <f>VLOOKUP($A2, NumbeoPivot!$A2:$J1000, column()-column($B2) + 2, FALSE)</f>
        <v>58.28</v>
      </c>
      <c r="J2" s="2">
        <f>VLOOKUP($A2, NumbeoPivot!$A2:$J1000, column()-column($B2) + 2, FALSE)</f>
        <v>133.66</v>
      </c>
      <c r="K2" s="2">
        <f>int(vlookup(A2,IESE2014pivot!$B$1:$D$8,3,0))</f>
        <v>3</v>
      </c>
      <c r="L2" s="2">
        <f>VALUE(vlookup(A2,IESE2014pivot!$B$1:$D$8,2,0))</f>
        <v>81.25</v>
      </c>
      <c r="M2" s="2">
        <f>int(vlookup(A2,IESE2024pivot!$B$1:$D$20,3,0))</f>
        <v>2</v>
      </c>
      <c r="N2" s="2">
        <f>value(vlookup(A2,IESE2024pivot!$B$1:$D$20,2,0))</f>
        <v>97.11</v>
      </c>
      <c r="O2" s="13">
        <f>vlookup($A2,IMDpivot!$A$1:$BH$11,column()-column($O2)+2,0)</f>
        <v>0.938</v>
      </c>
      <c r="P2" s="12">
        <f>vlookup($A2,IMDpivot!$A$1:$BH$11,column()-column($O2)+2,0)</f>
        <v>34</v>
      </c>
      <c r="Q2" s="12">
        <f>vlookup($A2,IMDpivot!$A$1:$BH$11,column()-column($O2)+2,0)</f>
        <v>12</v>
      </c>
      <c r="R2" s="12">
        <f>vlookup($A2,IMDpivot!$A$1:$BH$11,column()-column($O2)+2,0)</f>
        <v>19</v>
      </c>
      <c r="S2" s="12">
        <f>vlookup($A2,IMDpivot!$A$1:$BH$11,column()-column($O2)+2,0)</f>
        <v>21</v>
      </c>
      <c r="T2" s="14">
        <f>value(vlookup($A2,IMDpivot!$A$1:$BH$11,column()-column($O2)+2,0))</f>
        <v>62.8</v>
      </c>
      <c r="U2" s="14">
        <f>value(vlookup($A2,IMDpivot!$A$1:$BH$11,column()-column($O2)+2,0))</f>
        <v>69.8</v>
      </c>
      <c r="V2" s="14">
        <f>value(vlookup($A2,IMDpivot!$A$1:$BH$11,column()-column($O2)+2,0))</f>
        <v>42.3</v>
      </c>
      <c r="W2" s="14">
        <f>value(vlookup($A2,IMDpivot!$A$1:$BH$11,column()-column($O2)+2,0))</f>
        <v>38.8</v>
      </c>
      <c r="X2" s="14">
        <f>value(vlookup($A2,IMDpivot!$A$1:$BH$11,column()-column($O2)+2,0))</f>
        <v>68.7</v>
      </c>
      <c r="Y2" s="14">
        <f>value(vlookup($A2,IMDpivot!$A$1:$BH$11,column()-column($O2)+2,0))</f>
        <v>43.4</v>
      </c>
      <c r="Z2" s="14">
        <f>value(vlookup($A2,IMDpivot!$A$1:$BH$11,column()-column($O2)+2,0))</f>
        <v>35</v>
      </c>
      <c r="AA2" s="14">
        <f>value(vlookup($A2,IMDpivot!$A$1:$BH$11,column()-column($O2)+2,0))</f>
        <v>56.4</v>
      </c>
      <c r="AB2" s="14">
        <f>value(vlookup($A2,IMDpivot!$A$1:$BH$11,column()-column($O2)+2,0))</f>
        <v>69.6</v>
      </c>
      <c r="AC2" s="14">
        <f>value(vlookup($A2,IMDpivot!$A$1:$BH$11,column()-column($O2)+2,0))</f>
        <v>77.5</v>
      </c>
      <c r="AD2" s="14">
        <f>value(vlookup($A2,IMDpivot!$A$1:$BH$11,column()-column($O2)+2,0))</f>
        <v>69.5</v>
      </c>
      <c r="AE2" s="14">
        <f>value(vlookup($A2,IMDpivot!$A$1:$BH$11,column()-column($O2)+2,0))</f>
        <v>61.6</v>
      </c>
      <c r="AF2" s="14">
        <f>value(vlookup($A2,IMDpivot!$A$1:$BH$11,column()-column($O2)+2,0))</f>
        <v>64.2</v>
      </c>
      <c r="AG2" s="14">
        <f>value(vlookup($A2,IMDpivot!$A$1:$BH$11,column()-column($O2)+2,0))</f>
        <v>65</v>
      </c>
      <c r="AH2" s="14">
        <f>value(vlookup($A2,IMDpivot!$A$1:$BH$11,column()-column($O2)+2,0))</f>
        <v>64</v>
      </c>
      <c r="AI2" s="14">
        <f>value(vlookup($A2,IMDpivot!$A$1:$BH$11,column()-column($O2)+2,0))</f>
        <v>67</v>
      </c>
      <c r="AJ2" s="14">
        <f>value(vlookup($A2,IMDpivot!$A$1:$BH$11,column()-column($O2)+2,0))</f>
        <v>42.5</v>
      </c>
      <c r="AK2" s="14">
        <f>value(vlookup($A2,IMDpivot!$A$1:$BH$11,column()-column($O2)+2,0))</f>
        <v>56.7</v>
      </c>
      <c r="AL2" s="14">
        <f>value(vlookup($A2,IMDpivot!$A$1:$BH$11,column()-column($O2)+2,0))</f>
        <v>63.6</v>
      </c>
      <c r="AM2" s="14">
        <f>value(vlookup($A2,IMDpivot!$A$1:$BH$11,column()-column($O2)+2,0))</f>
        <v>55.8</v>
      </c>
      <c r="AN2" s="14">
        <f>value(vlookup($A2,IMDpivot!$A$1:$BH$11,column()-column($O2)+2,0))</f>
        <v>61.2</v>
      </c>
      <c r="AO2" s="14">
        <f>value(vlookup($A2,IMDpivot!$A$1:$BH$11,column()-column($O2)+2,0))</f>
        <v>69</v>
      </c>
      <c r="AP2" s="14">
        <f>value(vlookup($A2,IMDpivot!$A$1:$BH$11,column()-column($O2)+2,0))</f>
        <v>61.7</v>
      </c>
      <c r="AQ2" s="14">
        <f>value(vlookup($A2,IMDpivot!$A$1:$BH$11,column()-column($O2)+2,0))</f>
        <v>53</v>
      </c>
      <c r="AR2" s="14">
        <f>value(vlookup($A2,IMDpivot!$A$1:$BH$11,column()-column($O2)+2,0))</f>
        <v>69.8</v>
      </c>
      <c r="AS2" s="14">
        <f>value(vlookup($A2,IMDpivot!$A$1:$BH$11,column()-column($O2)+2,0))</f>
        <v>55.6</v>
      </c>
      <c r="AT2" s="14">
        <f>value(vlookup($A2,IMDpivot!$A$1:$BH$11,column()-column($O2)+2,0))</f>
        <v>60.6</v>
      </c>
      <c r="AU2" s="14">
        <f>value(vlookup($A2,IMDpivot!$A$1:$BH$11,column()-column($O2)+2,0))</f>
        <v>59.6</v>
      </c>
      <c r="AV2" s="14">
        <f>value(vlookup($A2,IMDpivot!$A$1:$BH$11,column()-column($O2)+2,0))</f>
        <v>68.7</v>
      </c>
      <c r="AW2" s="14">
        <f>value(vlookup($A2,IMDpivot!$A$1:$BH$11,column()-column($O2)+2,0))</f>
        <v>69.6</v>
      </c>
      <c r="AX2" s="14">
        <f>value(vlookup($A2,IMDpivot!$A$1:$BH$11,column()-column($O2)+2,0))</f>
        <v>78.3</v>
      </c>
      <c r="AY2" s="14">
        <f>value(vlookup($A2,IMDpivot!$A$1:$BH$11,column()-column($O2)+2,0))</f>
        <v>70</v>
      </c>
      <c r="AZ2" s="14">
        <f>value(vlookup($A2,IMDpivot!$A$1:$BH$11,column()-column($O2)+2,0))</f>
        <v>59.5</v>
      </c>
      <c r="BA2" s="14">
        <f>value(vlookup($A2,IMDpivot!$A$1:$BH$11,column()-column($O2)+2,0))</f>
        <v>60.2</v>
      </c>
      <c r="BB2" s="14">
        <f>value(vlookup($A2,IMDpivot!$A$1:$BH$11,column()-column($O2)+2,0))</f>
        <v>73.8</v>
      </c>
      <c r="BC2" s="14">
        <f>value(vlookup($A2,IMDpivot!$A$1:$BH$11,column()-column($O2)+2,0))</f>
        <v>53.4</v>
      </c>
      <c r="BD2" s="14">
        <f>value(vlookup($A2,IMDpivot!$A$1:$BH$11,column()-column($O2)+2,0))</f>
        <v>64.2</v>
      </c>
      <c r="BE2" s="14">
        <f>value(vlookup($A2,IMDpivot!$A$1:$BH$11,column()-column($O2)+2,0))</f>
        <v>56.7</v>
      </c>
      <c r="BF2" s="14">
        <f>value(vlookup($A2,IMDpivot!$A$1:$BH$11,column()-column($O2)+2,0))</f>
        <v>68.7</v>
      </c>
      <c r="BG2" s="15">
        <f>value(vlookup($A2,IMDpivot!$A$1:$BH$11,column()-column($BG2)+46,0))</f>
        <v>61.9</v>
      </c>
      <c r="BH2" s="15">
        <f>value(vlookup($A2,IMDpivot!$A$1:$BH$11,column()-column($BG2)+46,0))</f>
        <v>39.1</v>
      </c>
      <c r="BI2" s="15">
        <f>value(vlookup($A2,IMDpivot!$A$1:$BH$11,column()-column($BG2)+46,0))</f>
        <v>25.7</v>
      </c>
      <c r="BJ2" s="15">
        <f>value(vlookup($A2,IMDpivot!$A$1:$BH$11,column()-column($BG2)+46,0))</f>
        <v>8.8</v>
      </c>
      <c r="BK2" s="15">
        <f>value(vlookup($A2,IMDpivot!$A$1:$BH$11,column()-column($BG2)+46,0))</f>
        <v>32.2</v>
      </c>
      <c r="BL2" s="15">
        <f>value(vlookup($A2,IMDpivot!$A$1:$BH$11,column()-column($BG2)+46,0))</f>
        <v>26.1</v>
      </c>
      <c r="BM2" s="15">
        <f>value(vlookup($A2,IMDpivot!$A$1:$BH$11,column()-column($BG2)+46,0))</f>
        <v>18.1</v>
      </c>
      <c r="BN2" s="15">
        <f>value(vlookup($A2,IMDpivot!$A$1:$BH$11,column()-column($BG2)+46,0))</f>
        <v>39.5</v>
      </c>
      <c r="BO2" s="15">
        <f>value(vlookup($A2,IMDpivot!$A$1:$BH$11,column()-column($BG2)+46,0))</f>
        <v>28.2</v>
      </c>
      <c r="BP2" s="15">
        <f>value(vlookup($A2,IMDpivot!$A$1:$BH$11,column()-column($BG2)+46,0))</f>
        <v>14.3</v>
      </c>
      <c r="BQ2" s="15">
        <f>value(vlookup($A2,IMDpivot!$A$1:$BH$11,column()-column($BG2)+46,0))</f>
        <v>42.4</v>
      </c>
      <c r="BR2" s="15">
        <f>value(vlookup($A2,IMDpivot!$A$1:$BH$11,column()-column($BG2)+46,0))</f>
        <v>23.5</v>
      </c>
      <c r="BS2" s="15">
        <f>value(vlookup($A2,IMDpivot!$A$1:$BH$11,column()-column($BG2)+46,0))</f>
        <v>52.6</v>
      </c>
      <c r="BT2" s="15">
        <f>value(vlookup($A2,IMDpivot!$A$1:$BH$11,column()-column($BG2)+46,0))</f>
        <v>15.8</v>
      </c>
      <c r="BU2" s="15">
        <f>value(vlookup($A2,IMDpivot!$A$1:$BH$11,column()-column($BG2)+46,0))</f>
        <v>33.5</v>
      </c>
      <c r="BV2" s="10">
        <f>value(vlookup($A2,USNews!$A$1:$D$20,column()-column($BV2)+2,0))</f>
        <v>98</v>
      </c>
      <c r="BW2" s="11">
        <f>value(vlookup($A2,USNews!$A$1:$D$20,column()-column($BV2)+2,0))</f>
        <v>6.1</v>
      </c>
      <c r="BX2" s="11">
        <f>value(vlookup($A2,USNews!$A$1:$D$20,column()-column($BV2)+2,0))</f>
        <v>7</v>
      </c>
    </row>
    <row r="3">
      <c r="A3" s="2" t="s">
        <v>636</v>
      </c>
      <c r="B3" s="2">
        <f>VLOOKUP($A3, NumbeoPivot!$A3:$J1000, column()-column($B3) + 2, FALSE)</f>
        <v>143.79</v>
      </c>
      <c r="C3" s="2">
        <f>VLOOKUP($A3, NumbeoPivot!$A3:$J1000, column()-column($B3) + 2, FALSE)</f>
        <v>38.09</v>
      </c>
      <c r="D3" s="2">
        <f>VLOOKUP($A3, NumbeoPivot!$A3:$J1000, column()-column($B3) + 2, FALSE)</f>
        <v>63.09</v>
      </c>
      <c r="E3" s="2">
        <f>VLOOKUP($A3, NumbeoPivot!$A3:$J1000, column()-column($B3) + 2, FALSE)</f>
        <v>97.26</v>
      </c>
      <c r="F3" s="2">
        <f>VLOOKUP($A3, NumbeoPivot!$A3:$J1000, column()-column($B3) + 2, FALSE)</f>
        <v>95.07</v>
      </c>
      <c r="G3" s="2">
        <f>VLOOKUP($A3, NumbeoPivot!$A3:$J1000, column()-column($B3) + 2, FALSE)</f>
        <v>7.59</v>
      </c>
      <c r="H3" s="2">
        <f>VLOOKUP($A3, NumbeoPivot!$A3:$J1000, column()-column($B3) + 2, FALSE)</f>
        <v>52.56</v>
      </c>
      <c r="I3" s="2">
        <f>VLOOKUP($A3, NumbeoPivot!$A3:$J1000, column()-column($B3) + 2, FALSE)</f>
        <v>53.96</v>
      </c>
      <c r="J3" s="2">
        <f>VLOOKUP($A3, NumbeoPivot!$A3:$J1000, column()-column($B3) + 2, FALSE)</f>
        <v>154.86</v>
      </c>
      <c r="K3" s="2" t="str">
        <f>int(vlookup(A3,IESE2014pivot!$B$1:$D$8,3,0))</f>
        <v>#N/A</v>
      </c>
      <c r="L3" s="2" t="str">
        <f>VALUE(vlookup(A3,IESE2014pivot!$B$1:$D$8,2,0))</f>
        <v>#N/A</v>
      </c>
      <c r="M3" s="2">
        <f>int(vlookup(A3,IESE2024pivot!$B$1:$D$20,3,0))</f>
        <v>9</v>
      </c>
      <c r="N3" s="2">
        <f>value(vlookup(A3,IESE2024pivot!$B$1:$D$20,2,0))</f>
        <v>70.77</v>
      </c>
      <c r="O3" s="13">
        <f>vlookup($A3,IMDpivot!$A$1:$BH$11,column()-column($O3)+2,0)</f>
        <v>0.931</v>
      </c>
      <c r="P3" s="12">
        <f>vlookup($A3,IMDpivot!$A$1:$BH$11,column()-column($O3)+2,0)</f>
        <v>28</v>
      </c>
      <c r="Q3" s="12">
        <f>vlookup($A3,IMDpivot!$A$1:$BH$11,column()-column($O3)+2,0)</f>
        <v>49</v>
      </c>
      <c r="R3" s="12">
        <f>vlookup($A3,IMDpivot!$A$1:$BH$11,column()-column($O3)+2,0)</f>
        <v>54</v>
      </c>
      <c r="S3" s="12">
        <f>vlookup($A3,IMDpivot!$A$1:$BH$11,column()-column($O3)+2,0)</f>
        <v>68</v>
      </c>
      <c r="T3" s="14">
        <f>value(vlookup($A3,IMDpivot!$A$1:$BH$11,column()-column($O3)+2,0))</f>
        <v>41.8</v>
      </c>
      <c r="U3" s="14">
        <f>value(vlookup($A3,IMDpivot!$A$1:$BH$11,column()-column($O3)+2,0))</f>
        <v>61.5</v>
      </c>
      <c r="V3" s="14">
        <f>value(vlookup($A3,IMDpivot!$A$1:$BH$11,column()-column($O3)+2,0))</f>
        <v>28</v>
      </c>
      <c r="W3" s="14">
        <f>value(vlookup($A3,IMDpivot!$A$1:$BH$11,column()-column($O3)+2,0))</f>
        <v>43.1</v>
      </c>
      <c r="X3" s="14">
        <f>value(vlookup($A3,IMDpivot!$A$1:$BH$11,column()-column($O3)+2,0))</f>
        <v>58.5</v>
      </c>
      <c r="Y3" s="14">
        <f>value(vlookup($A3,IMDpivot!$A$1:$BH$11,column()-column($O3)+2,0))</f>
        <v>21.7</v>
      </c>
      <c r="Z3" s="14">
        <f>value(vlookup($A3,IMDpivot!$A$1:$BH$11,column()-column($O3)+2,0))</f>
        <v>20.5</v>
      </c>
      <c r="AA3" s="14">
        <f>value(vlookup($A3,IMDpivot!$A$1:$BH$11,column()-column($O3)+2,0))</f>
        <v>49.1</v>
      </c>
      <c r="AB3" s="14">
        <f>value(vlookup($A3,IMDpivot!$A$1:$BH$11,column()-column($O3)+2,0))</f>
        <v>63.3</v>
      </c>
      <c r="AC3" s="14">
        <f>value(vlookup($A3,IMDpivot!$A$1:$BH$11,column()-column($O3)+2,0))</f>
        <v>76.2</v>
      </c>
      <c r="AD3" s="14">
        <f>value(vlookup($A3,IMDpivot!$A$1:$BH$11,column()-column($O3)+2,0))</f>
        <v>59.2</v>
      </c>
      <c r="AE3" s="14">
        <f>value(vlookup($A3,IMDpivot!$A$1:$BH$11,column()-column($O3)+2,0))</f>
        <v>52.6</v>
      </c>
      <c r="AF3" s="14">
        <f>value(vlookup($A3,IMDpivot!$A$1:$BH$11,column()-column($O3)+2,0))</f>
        <v>60.5</v>
      </c>
      <c r="AG3" s="14">
        <f>value(vlookup($A3,IMDpivot!$A$1:$BH$11,column()-column($O3)+2,0))</f>
        <v>60</v>
      </c>
      <c r="AH3" s="14">
        <f>value(vlookup($A3,IMDpivot!$A$1:$BH$11,column()-column($O3)+2,0))</f>
        <v>59.3</v>
      </c>
      <c r="AI3" s="14">
        <f>value(vlookup($A3,IMDpivot!$A$1:$BH$11,column()-column($O3)+2,0))</f>
        <v>63.5</v>
      </c>
      <c r="AJ3" s="14">
        <f>value(vlookup($A3,IMDpivot!$A$1:$BH$11,column()-column($O3)+2,0))</f>
        <v>38.1</v>
      </c>
      <c r="AK3" s="14">
        <f>value(vlookup($A3,IMDpivot!$A$1:$BH$11,column()-column($O3)+2,0))</f>
        <v>52.9</v>
      </c>
      <c r="AL3" s="14">
        <f>value(vlookup($A3,IMDpivot!$A$1:$BH$11,column()-column($O3)+2,0))</f>
        <v>62.1</v>
      </c>
      <c r="AM3" s="14">
        <f>value(vlookup($A3,IMDpivot!$A$1:$BH$11,column()-column($O3)+2,0))</f>
        <v>39.6</v>
      </c>
      <c r="AN3" s="14">
        <f>value(vlookup($A3,IMDpivot!$A$1:$BH$11,column()-column($O3)+2,0))</f>
        <v>56</v>
      </c>
      <c r="AO3" s="14">
        <f>value(vlookup($A3,IMDpivot!$A$1:$BH$11,column()-column($O3)+2,0))</f>
        <v>51</v>
      </c>
      <c r="AP3" s="14">
        <f>value(vlookup($A3,IMDpivot!$A$1:$BH$11,column()-column($O3)+2,0))</f>
        <v>43.5</v>
      </c>
      <c r="AQ3" s="14">
        <f>value(vlookup($A3,IMDpivot!$A$1:$BH$11,column()-column($O3)+2,0))</f>
        <v>48</v>
      </c>
      <c r="AR3" s="14">
        <f>value(vlookup($A3,IMDpivot!$A$1:$BH$11,column()-column($O3)+2,0))</f>
        <v>64.9</v>
      </c>
      <c r="AS3" s="14">
        <f>value(vlookup($A3,IMDpivot!$A$1:$BH$11,column()-column($O3)+2,0))</f>
        <v>47.2</v>
      </c>
      <c r="AT3" s="14">
        <f>value(vlookup($A3,IMDpivot!$A$1:$BH$11,column()-column($O3)+2,0))</f>
        <v>51.8</v>
      </c>
      <c r="AU3" s="14">
        <f>value(vlookup($A3,IMDpivot!$A$1:$BH$11,column()-column($O3)+2,0))</f>
        <v>46.7</v>
      </c>
      <c r="AV3" s="14">
        <f>value(vlookup($A3,IMDpivot!$A$1:$BH$11,column()-column($O3)+2,0))</f>
        <v>61.9</v>
      </c>
      <c r="AW3" s="14">
        <f>value(vlookup($A3,IMDpivot!$A$1:$BH$11,column()-column($O3)+2,0))</f>
        <v>57.6</v>
      </c>
      <c r="AX3" s="14">
        <f>value(vlookup($A3,IMDpivot!$A$1:$BH$11,column()-column($O3)+2,0))</f>
        <v>72.4</v>
      </c>
      <c r="AY3" s="14">
        <f>value(vlookup($A3,IMDpivot!$A$1:$BH$11,column()-column($O3)+2,0))</f>
        <v>66.3</v>
      </c>
      <c r="AZ3" s="14">
        <f>value(vlookup($A3,IMDpivot!$A$1:$BH$11,column()-column($O3)+2,0))</f>
        <v>45.6</v>
      </c>
      <c r="BA3" s="14">
        <f>value(vlookup($A3,IMDpivot!$A$1:$BH$11,column()-column($O3)+2,0))</f>
        <v>46.4</v>
      </c>
      <c r="BB3" s="14">
        <f>value(vlookup($A3,IMDpivot!$A$1:$BH$11,column()-column($O3)+2,0))</f>
        <v>64.6</v>
      </c>
      <c r="BC3" s="14">
        <f>value(vlookup($A3,IMDpivot!$A$1:$BH$11,column()-column($O3)+2,0))</f>
        <v>39.5</v>
      </c>
      <c r="BD3" s="14">
        <f>value(vlookup($A3,IMDpivot!$A$1:$BH$11,column()-column($O3)+2,0))</f>
        <v>53.4</v>
      </c>
      <c r="BE3" s="14">
        <f>value(vlookup($A3,IMDpivot!$A$1:$BH$11,column()-column($O3)+2,0))</f>
        <v>48.3</v>
      </c>
      <c r="BF3" s="14">
        <f>value(vlookup($A3,IMDpivot!$A$1:$BH$11,column()-column($O3)+2,0))</f>
        <v>51.2</v>
      </c>
      <c r="BG3" s="15">
        <f>value(vlookup($A3,IMDpivot!$A$1:$BH$11,column()-column($BG3)+46,0))</f>
        <v>82.3</v>
      </c>
      <c r="BH3" s="15">
        <f>value(vlookup($A3,IMDpivot!$A$1:$BH$11,column()-column($BG3)+46,0))</f>
        <v>22.3</v>
      </c>
      <c r="BI3" s="15">
        <f>value(vlookup($A3,IMDpivot!$A$1:$BH$11,column()-column($BG3)+46,0))</f>
        <v>21.3</v>
      </c>
      <c r="BJ3" s="15">
        <f>value(vlookup($A3,IMDpivot!$A$1:$BH$11,column()-column($BG3)+46,0))</f>
        <v>10.7</v>
      </c>
      <c r="BK3" s="15">
        <f>value(vlookup($A3,IMDpivot!$A$1:$BH$11,column()-column($BG3)+46,0))</f>
        <v>27.3</v>
      </c>
      <c r="BL3" s="15">
        <f>value(vlookup($A3,IMDpivot!$A$1:$BH$11,column()-column($BG3)+46,0))</f>
        <v>23.3</v>
      </c>
      <c r="BM3" s="15">
        <f>value(vlookup($A3,IMDpivot!$A$1:$BH$11,column()-column($BG3)+46,0))</f>
        <v>13.3</v>
      </c>
      <c r="BN3" s="15">
        <f>value(vlookup($A3,IMDpivot!$A$1:$BH$11,column()-column($BG3)+46,0))</f>
        <v>41.2</v>
      </c>
      <c r="BO3" s="15">
        <f>value(vlookup($A3,IMDpivot!$A$1:$BH$11,column()-column($BG3)+46,0))</f>
        <v>22.2</v>
      </c>
      <c r="BP3" s="15">
        <f>value(vlookup($A3,IMDpivot!$A$1:$BH$11,column()-column($BG3)+46,0))</f>
        <v>13.3</v>
      </c>
      <c r="BQ3" s="15">
        <f>value(vlookup($A3,IMDpivot!$A$1:$BH$11,column()-column($BG3)+46,0))</f>
        <v>49.7</v>
      </c>
      <c r="BR3" s="15">
        <f>value(vlookup($A3,IMDpivot!$A$1:$BH$11,column()-column($BG3)+46,0))</f>
        <v>28.8</v>
      </c>
      <c r="BS3" s="15">
        <f>value(vlookup($A3,IMDpivot!$A$1:$BH$11,column()-column($BG3)+46,0))</f>
        <v>53.7</v>
      </c>
      <c r="BT3" s="15">
        <f>value(vlookup($A3,IMDpivot!$A$1:$BH$11,column()-column($BG3)+46,0))</f>
        <v>18.1</v>
      </c>
      <c r="BU3" s="15">
        <f>value(vlookup($A3,IMDpivot!$A$1:$BH$11,column()-column($BG3)+46,0))</f>
        <v>35</v>
      </c>
      <c r="BV3" s="10">
        <f>value(vlookup($A3,USNews!$A$1:$D$20,column()-column($BV3)+2,0))</f>
        <v>45</v>
      </c>
      <c r="BW3" s="11">
        <f>value(vlookup($A3,USNews!$A$1:$D$20,column()-column($BV3)+2,0))</f>
        <v>6.4</v>
      </c>
      <c r="BX3" s="11">
        <f>value(vlookup($A3,USNews!$A$1:$D$20,column()-column($BV3)+2,0))</f>
        <v>6.6</v>
      </c>
    </row>
    <row r="4">
      <c r="A4" s="2" t="s">
        <v>635</v>
      </c>
      <c r="B4" s="2">
        <f>VLOOKUP($A4, NumbeoPivot!$A4:$J1000, column()-column($B4) + 2, FALSE)</f>
        <v>129.1</v>
      </c>
      <c r="C4" s="2">
        <f>VLOOKUP($A4, NumbeoPivot!$A4:$J1000, column()-column($B4) + 2, FALSE)</f>
        <v>33.61</v>
      </c>
      <c r="D4" s="2">
        <f>VLOOKUP($A4, NumbeoPivot!$A4:$J1000, column()-column($B4) + 2, FALSE)</f>
        <v>63.93</v>
      </c>
      <c r="E4" s="2">
        <f>VLOOKUP($A4, NumbeoPivot!$A4:$J1000, column()-column($B4) + 2, FALSE)</f>
        <v>66.11</v>
      </c>
      <c r="F4" s="2">
        <f>VLOOKUP($A4, NumbeoPivot!$A4:$J1000, column()-column($B4) + 2, FALSE)</f>
        <v>81.1</v>
      </c>
      <c r="G4" s="2">
        <f>VLOOKUP($A4, NumbeoPivot!$A4:$J1000, column()-column($B4) + 2, FALSE)</f>
        <v>2.83</v>
      </c>
      <c r="H4" s="2">
        <f>VLOOKUP($A4, NumbeoPivot!$A4:$J1000, column()-column($B4) + 2, FALSE)</f>
        <v>42.9</v>
      </c>
      <c r="I4" s="2">
        <f>VLOOKUP($A4, NumbeoPivot!$A4:$J1000, column()-column($B4) + 2, FALSE)</f>
        <v>52.33</v>
      </c>
      <c r="J4" s="2">
        <f>VLOOKUP($A4, NumbeoPivot!$A4:$J1000, column()-column($B4) + 2, FALSE)</f>
        <v>148.78</v>
      </c>
      <c r="K4" s="2">
        <f>int(vlookup(A4,IESE2014pivot!$B$1:$D$8,3,0))</f>
        <v>19</v>
      </c>
      <c r="L4" s="2">
        <f>VALUE(vlookup(A4,IESE2014pivot!$B$1:$D$8,2,0))</f>
        <v>63.23</v>
      </c>
      <c r="M4" s="2">
        <f>int(vlookup(A4,IESE2024pivot!$B$1:$D$20,3,0))</f>
        <v>10</v>
      </c>
      <c r="N4" s="2">
        <f>value(vlookup(A4,IESE2024pivot!$B$1:$D$20,2,0))</f>
        <v>70.76</v>
      </c>
      <c r="O4" s="13">
        <f>vlookup($A4,IMDpivot!$A$1:$BH$11,column()-column($O4)+2,0)</f>
        <v>0.929</v>
      </c>
      <c r="P4" s="12">
        <f>vlookup($A4,IMDpivot!$A$1:$BH$11,column()-column($O4)+2,0)</f>
        <v>57</v>
      </c>
      <c r="Q4" s="12">
        <f>vlookup($A4,IMDpivot!$A$1:$BH$11,column()-column($O4)+2,0)</f>
        <v>54</v>
      </c>
      <c r="R4" s="12">
        <f>vlookup($A4,IMDpivot!$A$1:$BH$11,column()-column($O4)+2,0)</f>
        <v>56</v>
      </c>
      <c r="S4" s="12">
        <f>vlookup($A4,IMDpivot!$A$1:$BH$11,column()-column($O4)+2,0)</f>
        <v>61</v>
      </c>
      <c r="T4" s="14">
        <f>value(vlookup($A4,IMDpivot!$A$1:$BH$11,column()-column($O4)+2,0))</f>
        <v>51.3</v>
      </c>
      <c r="U4" s="14">
        <f>value(vlookup($A4,IMDpivot!$A$1:$BH$11,column()-column($O4)+2,0))</f>
        <v>60.5</v>
      </c>
      <c r="V4" s="14">
        <f>value(vlookup($A4,IMDpivot!$A$1:$BH$11,column()-column($O4)+2,0))</f>
        <v>28.7</v>
      </c>
      <c r="W4" s="14">
        <f>value(vlookup($A4,IMDpivot!$A$1:$BH$11,column()-column($O4)+2,0))</f>
        <v>34.8</v>
      </c>
      <c r="X4" s="14">
        <f>value(vlookup($A4,IMDpivot!$A$1:$BH$11,column()-column($O4)+2,0))</f>
        <v>55.6</v>
      </c>
      <c r="Y4" s="14">
        <f>value(vlookup($A4,IMDpivot!$A$1:$BH$11,column()-column($O4)+2,0))</f>
        <v>36.3</v>
      </c>
      <c r="Z4" s="14">
        <f>value(vlookup($A4,IMDpivot!$A$1:$BH$11,column()-column($O4)+2,0))</f>
        <v>27.9</v>
      </c>
      <c r="AA4" s="14">
        <f>value(vlookup($A4,IMDpivot!$A$1:$BH$11,column()-column($O4)+2,0))</f>
        <v>54</v>
      </c>
      <c r="AB4" s="14">
        <f>value(vlookup($A4,IMDpivot!$A$1:$BH$11,column()-column($O4)+2,0))</f>
        <v>63</v>
      </c>
      <c r="AC4" s="14">
        <f>value(vlookup($A4,IMDpivot!$A$1:$BH$11,column()-column($O4)+2,0))</f>
        <v>77.1</v>
      </c>
      <c r="AD4" s="14">
        <f>value(vlookup($A4,IMDpivot!$A$1:$BH$11,column()-column($O4)+2,0))</f>
        <v>63.6</v>
      </c>
      <c r="AE4" s="14">
        <f>value(vlookup($A4,IMDpivot!$A$1:$BH$11,column()-column($O4)+2,0))</f>
        <v>50.1</v>
      </c>
      <c r="AF4" s="14">
        <f>value(vlookup($A4,IMDpivot!$A$1:$BH$11,column()-column($O4)+2,0))</f>
        <v>54.5</v>
      </c>
      <c r="AG4" s="14">
        <f>value(vlookup($A4,IMDpivot!$A$1:$BH$11,column()-column($O4)+2,0))</f>
        <v>62.8</v>
      </c>
      <c r="AH4" s="14">
        <f>value(vlookup($A4,IMDpivot!$A$1:$BH$11,column()-column($O4)+2,0))</f>
        <v>60.4</v>
      </c>
      <c r="AI4" s="14">
        <f>value(vlookup($A4,IMDpivot!$A$1:$BH$11,column()-column($O4)+2,0))</f>
        <v>60.1</v>
      </c>
      <c r="AJ4" s="14">
        <f>value(vlookup($A4,IMDpivot!$A$1:$BH$11,column()-column($O4)+2,0))</f>
        <v>28.1</v>
      </c>
      <c r="AK4" s="14">
        <f>value(vlookup($A4,IMDpivot!$A$1:$BH$11,column()-column($O4)+2,0))</f>
        <v>49.3</v>
      </c>
      <c r="AL4" s="14">
        <f>value(vlookup($A4,IMDpivot!$A$1:$BH$11,column()-column($O4)+2,0))</f>
        <v>55.3</v>
      </c>
      <c r="AM4" s="14">
        <f>value(vlookup($A4,IMDpivot!$A$1:$BH$11,column()-column($O4)+2,0))</f>
        <v>43.8</v>
      </c>
      <c r="AN4" s="14">
        <f>value(vlookup($A4,IMDpivot!$A$1:$BH$11,column()-column($O4)+2,0))</f>
        <v>54.1</v>
      </c>
      <c r="AO4" s="14">
        <f>value(vlookup($A4,IMDpivot!$A$1:$BH$11,column()-column($O4)+2,0))</f>
        <v>53.7</v>
      </c>
      <c r="AP4" s="14">
        <f>value(vlookup($A4,IMDpivot!$A$1:$BH$11,column()-column($O4)+2,0))</f>
        <v>49.4</v>
      </c>
      <c r="AQ4" s="14">
        <f>value(vlookup($A4,IMDpivot!$A$1:$BH$11,column()-column($O4)+2,0))</f>
        <v>44.7</v>
      </c>
      <c r="AR4" s="14">
        <f>value(vlookup($A4,IMDpivot!$A$1:$BH$11,column()-column($O4)+2,0))</f>
        <v>66</v>
      </c>
      <c r="AS4" s="14">
        <f>value(vlookup($A4,IMDpivot!$A$1:$BH$11,column()-column($O4)+2,0))</f>
        <v>48.7</v>
      </c>
      <c r="AT4" s="14">
        <f>value(vlookup($A4,IMDpivot!$A$1:$BH$11,column()-column($O4)+2,0))</f>
        <v>54.1</v>
      </c>
      <c r="AU4" s="14">
        <f>value(vlookup($A4,IMDpivot!$A$1:$BH$11,column()-column($O4)+2,0))</f>
        <v>49.2</v>
      </c>
      <c r="AV4" s="14">
        <f>value(vlookup($A4,IMDpivot!$A$1:$BH$11,column()-column($O4)+2,0))</f>
        <v>60.8</v>
      </c>
      <c r="AW4" s="14">
        <f>value(vlookup($A4,IMDpivot!$A$1:$BH$11,column()-column($O4)+2,0))</f>
        <v>61.5</v>
      </c>
      <c r="AX4" s="14">
        <f>value(vlookup($A4,IMDpivot!$A$1:$BH$11,column()-column($O4)+2,0))</f>
        <v>74.3</v>
      </c>
      <c r="AY4" s="14">
        <f>value(vlookup($A4,IMDpivot!$A$1:$BH$11,column()-column($O4)+2,0))</f>
        <v>66.1</v>
      </c>
      <c r="AZ4" s="14">
        <f>value(vlookup($A4,IMDpivot!$A$1:$BH$11,column()-column($O4)+2,0))</f>
        <v>50.8</v>
      </c>
      <c r="BA4" s="14">
        <f>value(vlookup($A4,IMDpivot!$A$1:$BH$11,column()-column($O4)+2,0))</f>
        <v>50.2</v>
      </c>
      <c r="BB4" s="14">
        <f>value(vlookup($A4,IMDpivot!$A$1:$BH$11,column()-column($O4)+2,0))</f>
        <v>63.8</v>
      </c>
      <c r="BC4" s="14">
        <f>value(vlookup($A4,IMDpivot!$A$1:$BH$11,column()-column($O4)+2,0))</f>
        <v>39.1</v>
      </c>
      <c r="BD4" s="14">
        <f>value(vlookup($A4,IMDpivot!$A$1:$BH$11,column()-column($O4)+2,0))</f>
        <v>58.6</v>
      </c>
      <c r="BE4" s="14">
        <f>value(vlookup($A4,IMDpivot!$A$1:$BH$11,column()-column($O4)+2,0))</f>
        <v>51.6</v>
      </c>
      <c r="BF4" s="14">
        <f>value(vlookup($A4,IMDpivot!$A$1:$BH$11,column()-column($O4)+2,0))</f>
        <v>56.8</v>
      </c>
      <c r="BG4" s="15">
        <f>value(vlookup($A4,IMDpivot!$A$1:$BH$11,column()-column($BG4)+46,0))</f>
        <v>61.3</v>
      </c>
      <c r="BH4" s="15">
        <f>value(vlookup($A4,IMDpivot!$A$1:$BH$11,column()-column($BG4)+46,0))</f>
        <v>22.2</v>
      </c>
      <c r="BI4" s="15">
        <f>value(vlookup($A4,IMDpivot!$A$1:$BH$11,column()-column($BG4)+46,0))</f>
        <v>17.5</v>
      </c>
      <c r="BJ4" s="15">
        <f>value(vlookup($A4,IMDpivot!$A$1:$BH$11,column()-column($BG4)+46,0))</f>
        <v>11.5</v>
      </c>
      <c r="BK4" s="15">
        <f>value(vlookup($A4,IMDpivot!$A$1:$BH$11,column()-column($BG4)+46,0))</f>
        <v>41.4</v>
      </c>
      <c r="BL4" s="15">
        <f>value(vlookup($A4,IMDpivot!$A$1:$BH$11,column()-column($BG4)+46,0))</f>
        <v>33.2</v>
      </c>
      <c r="BM4" s="15">
        <f>value(vlookup($A4,IMDpivot!$A$1:$BH$11,column()-column($BG4)+46,0))</f>
        <v>12.2</v>
      </c>
      <c r="BN4" s="15">
        <f>value(vlookup($A4,IMDpivot!$A$1:$BH$11,column()-column($BG4)+46,0))</f>
        <v>45.8</v>
      </c>
      <c r="BO4" s="15">
        <f>value(vlookup($A4,IMDpivot!$A$1:$BH$11,column()-column($BG4)+46,0))</f>
        <v>21.5</v>
      </c>
      <c r="BP4" s="15">
        <f>value(vlookup($A4,IMDpivot!$A$1:$BH$11,column()-column($BG4)+46,0))</f>
        <v>12.9</v>
      </c>
      <c r="BQ4" s="15">
        <f>value(vlookup($A4,IMDpivot!$A$1:$BH$11,column()-column($BG4)+46,0))</f>
        <v>33.1</v>
      </c>
      <c r="BR4" s="15">
        <f>value(vlookup($A4,IMDpivot!$A$1:$BH$11,column()-column($BG4)+46,0))</f>
        <v>37.8</v>
      </c>
      <c r="BS4" s="15">
        <f>value(vlookup($A4,IMDpivot!$A$1:$BH$11,column()-column($BG4)+46,0))</f>
        <v>61.7</v>
      </c>
      <c r="BT4" s="15">
        <f>value(vlookup($A4,IMDpivot!$A$1:$BH$11,column()-column($BG4)+46,0))</f>
        <v>14.3</v>
      </c>
      <c r="BU4" s="15">
        <f>value(vlookup($A4,IMDpivot!$A$1:$BH$11,column()-column($BG4)+46,0))</f>
        <v>37.5</v>
      </c>
      <c r="BV4" s="10">
        <f>value(vlookup($A4,USNews!$A$1:$D$20,column()-column($BV4)+2,0))</f>
        <v>123</v>
      </c>
      <c r="BW4" s="11">
        <f>value(vlookup($A4,USNews!$A$1:$D$20,column()-column($BV4)+2,0))</f>
        <v>5.9</v>
      </c>
      <c r="BX4" s="11">
        <f>value(vlookup($A4,USNews!$A$1:$D$20,column()-column($BV4)+2,0))</f>
        <v>6.4</v>
      </c>
    </row>
    <row r="5">
      <c r="A5" s="2" t="s">
        <v>630</v>
      </c>
      <c r="B5" s="2">
        <f>VLOOKUP($A5, NumbeoPivot!$A5:$J1000, column()-column($B5) + 2, FALSE)</f>
        <v>122.51</v>
      </c>
      <c r="C5" s="2">
        <f>VLOOKUP($A5, NumbeoPivot!$A5:$J1000, column()-column($B5) + 2, FALSE)</f>
        <v>58.35</v>
      </c>
      <c r="D5" s="2">
        <f>VLOOKUP($A5, NumbeoPivot!$A5:$J1000, column()-column($B5) + 2, FALSE)</f>
        <v>68.7</v>
      </c>
      <c r="E5" s="2">
        <f>VLOOKUP($A5, NumbeoPivot!$A5:$J1000, column()-column($B5) + 2, FALSE)</f>
        <v>71.73</v>
      </c>
      <c r="F5" s="2">
        <f>VLOOKUP($A5, NumbeoPivot!$A5:$J1000, column()-column($B5) + 2, FALSE)</f>
        <v>87.18</v>
      </c>
      <c r="G5" s="2">
        <f>VLOOKUP($A5, NumbeoPivot!$A5:$J1000, column()-column($B5) + 2, FALSE)</f>
        <v>7.73</v>
      </c>
      <c r="H5" s="2">
        <f>VLOOKUP($A5, NumbeoPivot!$A5:$J1000, column()-column($B5) + 2, FALSE)</f>
        <v>46.58</v>
      </c>
      <c r="I5" s="2">
        <f>VLOOKUP($A5, NumbeoPivot!$A5:$J1000, column()-column($B5) + 2, FALSE)</f>
        <v>36.05</v>
      </c>
      <c r="J5" s="2">
        <f>VLOOKUP($A5, NumbeoPivot!$A5:$J1000, column()-column($B5) + 2, FALSE)</f>
        <v>165.8</v>
      </c>
      <c r="K5" s="2" t="str">
        <f>int(vlookup(A5,IESE2014pivot!$B$1:$D$8,3,0))</f>
        <v>#N/A</v>
      </c>
      <c r="L5" s="2" t="str">
        <f>VALUE(vlookup(A5,IESE2014pivot!$B$1:$D$8,2,0))</f>
        <v>#N/A</v>
      </c>
      <c r="M5" s="2">
        <f>int(vlookup(A5,IESE2024pivot!$B$1:$D$20,3,0))</f>
        <v>15</v>
      </c>
      <c r="N5" s="2">
        <f>value(vlookup(A5,IESE2024pivot!$B$1:$D$20,2,0))</f>
        <v>68.28</v>
      </c>
      <c r="O5" s="13">
        <f>vlookup($A5,IMDpivot!$A$1:$BH$11,column()-column($O5)+2,0)</f>
        <v>0.949</v>
      </c>
      <c r="P5" s="12">
        <f>vlookup($A5,IMDpivot!$A$1:$BH$11,column()-column($O5)+2,0)</f>
        <v>15</v>
      </c>
      <c r="Q5" s="12">
        <f>vlookup($A5,IMDpivot!$A$1:$BH$11,column()-column($O5)+2,0)</f>
        <v>24</v>
      </c>
      <c r="R5" s="12">
        <f>vlookup($A5,IMDpivot!$A$1:$BH$11,column()-column($O5)+2,0)</f>
        <v>22</v>
      </c>
      <c r="S5" s="12">
        <f>vlookup($A5,IMDpivot!$A$1:$BH$11,column()-column($O5)+2,0)</f>
        <v>34</v>
      </c>
      <c r="T5" s="14">
        <f>value(vlookup($A5,IMDpivot!$A$1:$BH$11,column()-column($O5)+2,0))</f>
        <v>59.8</v>
      </c>
      <c r="U5" s="14">
        <f>value(vlookup($A5,IMDpivot!$A$1:$BH$11,column()-column($O5)+2,0))</f>
        <v>68.2</v>
      </c>
      <c r="V5" s="14">
        <f>value(vlookup($A5,IMDpivot!$A$1:$BH$11,column()-column($O5)+2,0))</f>
        <v>41.2</v>
      </c>
      <c r="W5" s="14">
        <f>value(vlookup($A5,IMDpivot!$A$1:$BH$11,column()-column($O5)+2,0))</f>
        <v>46.1</v>
      </c>
      <c r="X5" s="14">
        <f>value(vlookup($A5,IMDpivot!$A$1:$BH$11,column()-column($O5)+2,0))</f>
        <v>74</v>
      </c>
      <c r="Y5" s="14">
        <f>value(vlookup($A5,IMDpivot!$A$1:$BH$11,column()-column($O5)+2,0))</f>
        <v>27.6</v>
      </c>
      <c r="Z5" s="14">
        <f>value(vlookup($A5,IMDpivot!$A$1:$BH$11,column()-column($O5)+2,0))</f>
        <v>21.2</v>
      </c>
      <c r="AA5" s="14">
        <f>value(vlookup($A5,IMDpivot!$A$1:$BH$11,column()-column($O5)+2,0))</f>
        <v>43.4</v>
      </c>
      <c r="AB5" s="14">
        <f>value(vlookup($A5,IMDpivot!$A$1:$BH$11,column()-column($O5)+2,0))</f>
        <v>67.7</v>
      </c>
      <c r="AC5" s="14">
        <f>value(vlookup($A5,IMDpivot!$A$1:$BH$11,column()-column($O5)+2,0))</f>
        <v>81.5</v>
      </c>
      <c r="AD5" s="14">
        <f>value(vlookup($A5,IMDpivot!$A$1:$BH$11,column()-column($O5)+2,0))</f>
        <v>67.6</v>
      </c>
      <c r="AE5" s="14">
        <f>value(vlookup($A5,IMDpivot!$A$1:$BH$11,column()-column($O5)+2,0))</f>
        <v>61.1</v>
      </c>
      <c r="AF5" s="14">
        <f>value(vlookup($A5,IMDpivot!$A$1:$BH$11,column()-column($O5)+2,0))</f>
        <v>66.4</v>
      </c>
      <c r="AG5" s="14">
        <f>value(vlookup($A5,IMDpivot!$A$1:$BH$11,column()-column($O5)+2,0))</f>
        <v>70.1</v>
      </c>
      <c r="AH5" s="14">
        <f>value(vlookup($A5,IMDpivot!$A$1:$BH$11,column()-column($O5)+2,0))</f>
        <v>60.9</v>
      </c>
      <c r="AI5" s="14">
        <f>value(vlookup($A5,IMDpivot!$A$1:$BH$11,column()-column($O5)+2,0))</f>
        <v>67</v>
      </c>
      <c r="AJ5" s="14">
        <f>value(vlookup($A5,IMDpivot!$A$1:$BH$11,column()-column($O5)+2,0))</f>
        <v>43.7</v>
      </c>
      <c r="AK5" s="14">
        <f>value(vlookup($A5,IMDpivot!$A$1:$BH$11,column()-column($O5)+2,0))</f>
        <v>52</v>
      </c>
      <c r="AL5" s="14">
        <f>value(vlookup($A5,IMDpivot!$A$1:$BH$11,column()-column($O5)+2,0))</f>
        <v>62.1</v>
      </c>
      <c r="AM5" s="14">
        <f>value(vlookup($A5,IMDpivot!$A$1:$BH$11,column()-column($O5)+2,0))</f>
        <v>41.5</v>
      </c>
      <c r="AN5" s="14">
        <f>value(vlookup($A5,IMDpivot!$A$1:$BH$11,column()-column($O5)+2,0))</f>
        <v>60.1</v>
      </c>
      <c r="AO5" s="14">
        <f>value(vlookup($A5,IMDpivot!$A$1:$BH$11,column()-column($O5)+2,0))</f>
        <v>54</v>
      </c>
      <c r="AP5" s="14">
        <f>value(vlookup($A5,IMDpivot!$A$1:$BH$11,column()-column($O5)+2,0))</f>
        <v>43.9</v>
      </c>
      <c r="AQ5" s="14">
        <f>value(vlookup($A5,IMDpivot!$A$1:$BH$11,column()-column($O5)+2,0))</f>
        <v>33.3</v>
      </c>
      <c r="AR5" s="14">
        <f>value(vlookup($A5,IMDpivot!$A$1:$BH$11,column()-column($O5)+2,0))</f>
        <v>67.2</v>
      </c>
      <c r="AS5" s="14">
        <f>value(vlookup($A5,IMDpivot!$A$1:$BH$11,column()-column($O5)+2,0))</f>
        <v>40.7</v>
      </c>
      <c r="AT5" s="14">
        <f>value(vlookup($A5,IMDpivot!$A$1:$BH$11,column()-column($O5)+2,0))</f>
        <v>46.5</v>
      </c>
      <c r="AU5" s="14">
        <f>value(vlookup($A5,IMDpivot!$A$1:$BH$11,column()-column($O5)+2,0))</f>
        <v>44.7</v>
      </c>
      <c r="AV5" s="14">
        <f>value(vlookup($A5,IMDpivot!$A$1:$BH$11,column()-column($O5)+2,0))</f>
        <v>55.6</v>
      </c>
      <c r="AW5" s="14">
        <f>value(vlookup($A5,IMDpivot!$A$1:$BH$11,column()-column($O5)+2,0))</f>
        <v>56.4</v>
      </c>
      <c r="AX5" s="14">
        <f>value(vlookup($A5,IMDpivot!$A$1:$BH$11,column()-column($O5)+2,0))</f>
        <v>76</v>
      </c>
      <c r="AY5" s="14">
        <f>value(vlookup($A5,IMDpivot!$A$1:$BH$11,column()-column($O5)+2,0))</f>
        <v>69.7</v>
      </c>
      <c r="AZ5" s="14">
        <f>value(vlookup($A5,IMDpivot!$A$1:$BH$11,column()-column($O5)+2,0))</f>
        <v>50.9</v>
      </c>
      <c r="BA5" s="14">
        <f>value(vlookup($A5,IMDpivot!$A$1:$BH$11,column()-column($O5)+2,0))</f>
        <v>47.9</v>
      </c>
      <c r="BB5" s="14">
        <f>value(vlookup($A5,IMDpivot!$A$1:$BH$11,column()-column($O5)+2,0))</f>
        <v>67.4</v>
      </c>
      <c r="BC5" s="14">
        <f>value(vlookup($A5,IMDpivot!$A$1:$BH$11,column()-column($O5)+2,0))</f>
        <v>41.1</v>
      </c>
      <c r="BD5" s="14">
        <f>value(vlookup($A5,IMDpivot!$A$1:$BH$11,column()-column($O5)+2,0))</f>
        <v>52.1</v>
      </c>
      <c r="BE5" s="14">
        <f>value(vlookup($A5,IMDpivot!$A$1:$BH$11,column()-column($O5)+2,0))</f>
        <v>47.2</v>
      </c>
      <c r="BF5" s="14">
        <f>value(vlookup($A5,IMDpivot!$A$1:$BH$11,column()-column($O5)+2,0))</f>
        <v>54.9</v>
      </c>
      <c r="BG5" s="15">
        <f>value(vlookup($A5,IMDpivot!$A$1:$BH$11,column()-column($BG5)+46,0))</f>
        <v>78.3</v>
      </c>
      <c r="BH5" s="15">
        <f>value(vlookup($A5,IMDpivot!$A$1:$BH$11,column()-column($BG5)+46,0))</f>
        <v>23.5</v>
      </c>
      <c r="BI5" s="15">
        <f>value(vlookup($A5,IMDpivot!$A$1:$BH$11,column()-column($BG5)+46,0))</f>
        <v>15.1</v>
      </c>
      <c r="BJ5" s="15">
        <f>value(vlookup($A5,IMDpivot!$A$1:$BH$11,column()-column($BG5)+46,0))</f>
        <v>10.1</v>
      </c>
      <c r="BK5" s="15">
        <f>value(vlookup($A5,IMDpivot!$A$1:$BH$11,column()-column($BG5)+46,0))</f>
        <v>25</v>
      </c>
      <c r="BL5" s="15">
        <f>value(vlookup($A5,IMDpivot!$A$1:$BH$11,column()-column($BG5)+46,0))</f>
        <v>29.3</v>
      </c>
      <c r="BM5" s="15">
        <f>value(vlookup($A5,IMDpivot!$A$1:$BH$11,column()-column($BG5)+46,0))</f>
        <v>14.8</v>
      </c>
      <c r="BN5" s="15">
        <f>value(vlookup($A5,IMDpivot!$A$1:$BH$11,column()-column($BG5)+46,0))</f>
        <v>28.3</v>
      </c>
      <c r="BO5" s="15">
        <f>value(vlookup($A5,IMDpivot!$A$1:$BH$11,column()-column($BG5)+46,0))</f>
        <v>44.3</v>
      </c>
      <c r="BP5" s="15">
        <f>value(vlookup($A5,IMDpivot!$A$1:$BH$11,column()-column($BG5)+46,0))</f>
        <v>15.1</v>
      </c>
      <c r="BQ5" s="15">
        <f>value(vlookup($A5,IMDpivot!$A$1:$BH$11,column()-column($BG5)+46,0))</f>
        <v>58.8</v>
      </c>
      <c r="BR5" s="15">
        <f>value(vlookup($A5,IMDpivot!$A$1:$BH$11,column()-column($BG5)+46,0))</f>
        <v>27.5</v>
      </c>
      <c r="BS5" s="15">
        <f>value(vlookup($A5,IMDpivot!$A$1:$BH$11,column()-column($BG5)+46,0))</f>
        <v>40.7</v>
      </c>
      <c r="BT5" s="15">
        <f>value(vlookup($A5,IMDpivot!$A$1:$BH$11,column()-column($BG5)+46,0))</f>
        <v>17.8</v>
      </c>
      <c r="BU5" s="15">
        <f>value(vlookup($A5,IMDpivot!$A$1:$BH$11,column()-column($BG5)+46,0))</f>
        <v>30.7</v>
      </c>
      <c r="BV5" s="10">
        <f>value(vlookup($A5,USNews!$A$1:$D$20,column()-column($BV5)+2,0))</f>
        <v>44</v>
      </c>
      <c r="BW5" s="11">
        <f>value(vlookup($A5,USNews!$A$1:$D$20,column()-column($BV5)+2,0))</f>
        <v>6.4</v>
      </c>
      <c r="BX5" s="11">
        <f>value(vlookup($A5,USNews!$A$1:$D$20,column()-column($BV5)+2,0))</f>
        <v>7.3</v>
      </c>
    </row>
    <row r="6">
      <c r="A6" s="2" t="s">
        <v>631</v>
      </c>
      <c r="B6" s="2">
        <f>VLOOKUP($A6, NumbeoPivot!$A6:$J1000, column()-column($B6) + 2, FALSE)</f>
        <v>143.98</v>
      </c>
      <c r="C6" s="2">
        <f>VLOOKUP($A6, NumbeoPivot!$A6:$J1000, column()-column($B6) + 2, FALSE)</f>
        <v>39.09</v>
      </c>
      <c r="D6" s="2">
        <f>VLOOKUP($A6, NumbeoPivot!$A6:$J1000, column()-column($B6) + 2, FALSE)</f>
        <v>65.23</v>
      </c>
      <c r="E6" s="2">
        <f>VLOOKUP($A6, NumbeoPivot!$A6:$J1000, column()-column($B6) + 2, FALSE)</f>
        <v>81.62</v>
      </c>
      <c r="F6" s="2">
        <f>VLOOKUP($A6, NumbeoPivot!$A6:$J1000, column()-column($B6) + 2, FALSE)</f>
        <v>83.88</v>
      </c>
      <c r="G6" s="2">
        <f>VLOOKUP($A6, NumbeoPivot!$A6:$J1000, column()-column($B6) + 2, FALSE)</f>
        <v>5.67</v>
      </c>
      <c r="H6" s="2">
        <f>VLOOKUP($A6, NumbeoPivot!$A6:$J1000, column()-column($B6) + 2, FALSE)</f>
        <v>46.35</v>
      </c>
      <c r="I6" s="2">
        <f>VLOOKUP($A6, NumbeoPivot!$A6:$J1000, column()-column($B6) + 2, FALSE)</f>
        <v>48.42</v>
      </c>
      <c r="J6" s="2">
        <f>VLOOKUP($A6, NumbeoPivot!$A6:$J1000, column()-column($B6) + 2, FALSE)</f>
        <v>160.92</v>
      </c>
      <c r="K6" s="2" t="str">
        <f>int(vlookup(A6,IESE2014pivot!$B$1:$D$8,3,0))</f>
        <v>#N/A</v>
      </c>
      <c r="L6" s="2" t="str">
        <f>VALUE(vlookup(A6,IESE2014pivot!$B$1:$D$8,2,0))</f>
        <v>#N/A</v>
      </c>
      <c r="M6" s="2">
        <f>int(vlookup(A6,IESE2024pivot!$B$1:$D$20,3,0))</f>
        <v>17</v>
      </c>
      <c r="N6" s="2">
        <f>value(vlookup(A6,IESE2024pivot!$B$1:$D$20,2,0))</f>
        <v>67.3</v>
      </c>
      <c r="O6" s="13">
        <f>vlookup($A6,IMDpivot!$A$1:$BH$11,column()-column($O6)+2,0)</f>
        <v>0.94</v>
      </c>
      <c r="P6" s="12">
        <f>vlookup($A6,IMDpivot!$A$1:$BH$11,column()-column($O6)+2,0)</f>
        <v>26</v>
      </c>
      <c r="Q6" s="12">
        <f>vlookup($A6,IMDpivot!$A$1:$BH$11,column()-column($O6)+2,0)</f>
        <v>13</v>
      </c>
      <c r="R6" s="12">
        <f>vlookup($A6,IMDpivot!$A$1:$BH$11,column()-column($O6)+2,0)</f>
        <v>26</v>
      </c>
      <c r="S6" s="12">
        <f>vlookup($A6,IMDpivot!$A$1:$BH$11,column()-column($O6)+2,0)</f>
        <v>39</v>
      </c>
      <c r="T6" s="14">
        <f>value(vlookup($A6,IMDpivot!$A$1:$BH$11,column()-column($O6)+2,0))</f>
        <v>57.3</v>
      </c>
      <c r="U6" s="14">
        <f>value(vlookup($A6,IMDpivot!$A$1:$BH$11,column()-column($O6)+2,0))</f>
        <v>64</v>
      </c>
      <c r="V6" s="14">
        <f>value(vlookup($A6,IMDpivot!$A$1:$BH$11,column()-column($O6)+2,0))</f>
        <v>39.5</v>
      </c>
      <c r="W6" s="14">
        <f>value(vlookup($A6,IMDpivot!$A$1:$BH$11,column()-column($O6)+2,0))</f>
        <v>46.6</v>
      </c>
      <c r="X6" s="14">
        <f>value(vlookup($A6,IMDpivot!$A$1:$BH$11,column()-column($O6)+2,0))</f>
        <v>59</v>
      </c>
      <c r="Y6" s="14">
        <f>value(vlookup($A6,IMDpivot!$A$1:$BH$11,column()-column($O6)+2,0))</f>
        <v>32.9</v>
      </c>
      <c r="Z6" s="14">
        <f>value(vlookup($A6,IMDpivot!$A$1:$BH$11,column()-column($O6)+2,0))</f>
        <v>29.3</v>
      </c>
      <c r="AA6" s="14">
        <f>value(vlookup($A6,IMDpivot!$A$1:$BH$11,column()-column($O6)+2,0))</f>
        <v>56.7</v>
      </c>
      <c r="AB6" s="14">
        <f>value(vlookup($A6,IMDpivot!$A$1:$BH$11,column()-column($O6)+2,0))</f>
        <v>64.8</v>
      </c>
      <c r="AC6" s="14">
        <f>value(vlookup($A6,IMDpivot!$A$1:$BH$11,column()-column($O6)+2,0))</f>
        <v>81.7</v>
      </c>
      <c r="AD6" s="14">
        <f>value(vlookup($A6,IMDpivot!$A$1:$BH$11,column()-column($O6)+2,0))</f>
        <v>63.1</v>
      </c>
      <c r="AE6" s="14">
        <f>value(vlookup($A6,IMDpivot!$A$1:$BH$11,column()-column($O6)+2,0))</f>
        <v>53.2</v>
      </c>
      <c r="AF6" s="14">
        <f>value(vlookup($A6,IMDpivot!$A$1:$BH$11,column()-column($O6)+2,0))</f>
        <v>61.5</v>
      </c>
      <c r="AG6" s="14">
        <f>value(vlookup($A6,IMDpivot!$A$1:$BH$11,column()-column($O6)+2,0))</f>
        <v>64.6</v>
      </c>
      <c r="AH6" s="14">
        <f>value(vlookup($A6,IMDpivot!$A$1:$BH$11,column()-column($O6)+2,0))</f>
        <v>62.9</v>
      </c>
      <c r="AI6" s="14">
        <f>value(vlookup($A6,IMDpivot!$A$1:$BH$11,column()-column($O6)+2,0))</f>
        <v>66.2</v>
      </c>
      <c r="AJ6" s="14">
        <f>value(vlookup($A6,IMDpivot!$A$1:$BH$11,column()-column($O6)+2,0))</f>
        <v>38.8</v>
      </c>
      <c r="AK6" s="14">
        <f>value(vlookup($A6,IMDpivot!$A$1:$BH$11,column()-column($O6)+2,0))</f>
        <v>54.3</v>
      </c>
      <c r="AL6" s="14">
        <f>value(vlookup($A6,IMDpivot!$A$1:$BH$11,column()-column($O6)+2,0))</f>
        <v>60.5</v>
      </c>
      <c r="AM6" s="14">
        <f>value(vlookup($A6,IMDpivot!$A$1:$BH$11,column()-column($O6)+2,0))</f>
        <v>46.5</v>
      </c>
      <c r="AN6" s="14">
        <f>value(vlookup($A6,IMDpivot!$A$1:$BH$11,column()-column($O6)+2,0))</f>
        <v>63.4</v>
      </c>
      <c r="AO6" s="14">
        <f>value(vlookup($A6,IMDpivot!$A$1:$BH$11,column()-column($O6)+2,0))</f>
        <v>56.8</v>
      </c>
      <c r="AP6" s="14">
        <f>value(vlookup($A6,IMDpivot!$A$1:$BH$11,column()-column($O6)+2,0))</f>
        <v>50.3</v>
      </c>
      <c r="AQ6" s="14">
        <f>value(vlookup($A6,IMDpivot!$A$1:$BH$11,column()-column($O6)+2,0))</f>
        <v>43.3</v>
      </c>
      <c r="AR6" s="14">
        <f>value(vlookup($A6,IMDpivot!$A$1:$BH$11,column()-column($O6)+2,0))</f>
        <v>68.1</v>
      </c>
      <c r="AS6" s="14">
        <f>value(vlookup($A6,IMDpivot!$A$1:$BH$11,column()-column($O6)+2,0))</f>
        <v>50.2</v>
      </c>
      <c r="AT6" s="14">
        <f>value(vlookup($A6,IMDpivot!$A$1:$BH$11,column()-column($O6)+2,0))</f>
        <v>53.3</v>
      </c>
      <c r="AU6" s="14">
        <f>value(vlookup($A6,IMDpivot!$A$1:$BH$11,column()-column($O6)+2,0))</f>
        <v>48.6</v>
      </c>
      <c r="AV6" s="14">
        <f>value(vlookup($A6,IMDpivot!$A$1:$BH$11,column()-column($O6)+2,0))</f>
        <v>56.7</v>
      </c>
      <c r="AW6" s="14">
        <f>value(vlookup($A6,IMDpivot!$A$1:$BH$11,column()-column($O6)+2,0))</f>
        <v>61.4</v>
      </c>
      <c r="AX6" s="14">
        <f>value(vlookup($A6,IMDpivot!$A$1:$BH$11,column()-column($O6)+2,0))</f>
        <v>74.7</v>
      </c>
      <c r="AY6" s="14">
        <f>value(vlookup($A6,IMDpivot!$A$1:$BH$11,column()-column($O6)+2,0))</f>
        <v>69.7</v>
      </c>
      <c r="AZ6" s="14">
        <f>value(vlookup($A6,IMDpivot!$A$1:$BH$11,column()-column($O6)+2,0))</f>
        <v>49.4</v>
      </c>
      <c r="BA6" s="14">
        <f>value(vlookup($A6,IMDpivot!$A$1:$BH$11,column()-column($O6)+2,0))</f>
        <v>50.7</v>
      </c>
      <c r="BB6" s="14">
        <f>value(vlookup($A6,IMDpivot!$A$1:$BH$11,column()-column($O6)+2,0))</f>
        <v>66</v>
      </c>
      <c r="BC6" s="14">
        <f>value(vlookup($A6,IMDpivot!$A$1:$BH$11,column()-column($O6)+2,0))</f>
        <v>43.3</v>
      </c>
      <c r="BD6" s="14">
        <f>value(vlookup($A6,IMDpivot!$A$1:$BH$11,column()-column($O6)+2,0))</f>
        <v>59.4</v>
      </c>
      <c r="BE6" s="14">
        <f>value(vlookup($A6,IMDpivot!$A$1:$BH$11,column()-column($O6)+2,0))</f>
        <v>50.6</v>
      </c>
      <c r="BF6" s="14">
        <f>value(vlookup($A6,IMDpivot!$A$1:$BH$11,column()-column($O6)+2,0))</f>
        <v>59.2</v>
      </c>
      <c r="BG6" s="15">
        <f>value(vlookup($A6,IMDpivot!$A$1:$BH$11,column()-column($BG6)+46,0))</f>
        <v>69</v>
      </c>
      <c r="BH6" s="15">
        <f>value(vlookup($A6,IMDpivot!$A$1:$BH$11,column()-column($BG6)+46,0))</f>
        <v>26.1</v>
      </c>
      <c r="BI6" s="15">
        <f>value(vlookup($A6,IMDpivot!$A$1:$BH$11,column()-column($BG6)+46,0))</f>
        <v>19.6</v>
      </c>
      <c r="BJ6" s="15">
        <f>value(vlookup($A6,IMDpivot!$A$1:$BH$11,column()-column($BG6)+46,0))</f>
        <v>12.1</v>
      </c>
      <c r="BK6" s="15">
        <f>value(vlookup($A6,IMDpivot!$A$1:$BH$11,column()-column($BG6)+46,0))</f>
        <v>22.6</v>
      </c>
      <c r="BL6" s="15">
        <f>value(vlookup($A6,IMDpivot!$A$1:$BH$11,column()-column($BG6)+46,0))</f>
        <v>28.8</v>
      </c>
      <c r="BM6" s="15">
        <f>value(vlookup($A6,IMDpivot!$A$1:$BH$11,column()-column($BG6)+46,0))</f>
        <v>12.8</v>
      </c>
      <c r="BN6" s="15">
        <f>value(vlookup($A6,IMDpivot!$A$1:$BH$11,column()-column($BG6)+46,0))</f>
        <v>47.4</v>
      </c>
      <c r="BO6" s="15">
        <f>value(vlookup($A6,IMDpivot!$A$1:$BH$11,column()-column($BG6)+46,0))</f>
        <v>28.5</v>
      </c>
      <c r="BP6" s="15">
        <f>value(vlookup($A6,IMDpivot!$A$1:$BH$11,column()-column($BG6)+46,0))</f>
        <v>14.4</v>
      </c>
      <c r="BQ6" s="15">
        <f>value(vlookup($A6,IMDpivot!$A$1:$BH$11,column()-column($BG6)+46,0))</f>
        <v>47.4</v>
      </c>
      <c r="BR6" s="15">
        <f>value(vlookup($A6,IMDpivot!$A$1:$BH$11,column()-column($BG6)+46,0))</f>
        <v>33.6</v>
      </c>
      <c r="BS6" s="15">
        <f>value(vlookup($A6,IMDpivot!$A$1:$BH$11,column()-column($BG6)+46,0))</f>
        <v>47.6</v>
      </c>
      <c r="BT6" s="15">
        <f>value(vlookup($A6,IMDpivot!$A$1:$BH$11,column()-column($BG6)+46,0))</f>
        <v>13.1</v>
      </c>
      <c r="BU6" s="15">
        <f>value(vlookup($A6,IMDpivot!$A$1:$BH$11,column()-column($BG6)+46,0))</f>
        <v>37.9</v>
      </c>
      <c r="BV6" s="10">
        <f>value(vlookup($A6,USNews!$A$1:$D$20,column()-column($BV6)+2,0))</f>
        <v>39</v>
      </c>
      <c r="BW6" s="11">
        <f>value(vlookup($A6,USNews!$A$1:$D$20,column()-column($BV6)+2,0))</f>
        <v>6.4</v>
      </c>
      <c r="BX6" s="11">
        <f>value(vlookup($A6,USNews!$A$1:$D$20,column()-column($BV6)+2,0))</f>
        <v>7.2</v>
      </c>
    </row>
    <row r="7">
      <c r="A7" s="2" t="s">
        <v>634</v>
      </c>
      <c r="B7" s="2">
        <f>VLOOKUP($A7, NumbeoPivot!$A7:$J1000, column()-column($B7) + 2, FALSE)</f>
        <v>146.43</v>
      </c>
      <c r="C7" s="2">
        <f>VLOOKUP($A7, NumbeoPivot!$A7:$J1000, column()-column($B7) + 2, FALSE)</f>
        <v>45.14</v>
      </c>
      <c r="D7" s="2">
        <f>VLOOKUP($A7, NumbeoPivot!$A7:$J1000, column()-column($B7) + 2, FALSE)</f>
        <v>66.79</v>
      </c>
      <c r="E7" s="2">
        <f>VLOOKUP($A7, NumbeoPivot!$A7:$J1000, column()-column($B7) + 2, FALSE)</f>
        <v>91.73</v>
      </c>
      <c r="F7" s="2">
        <f>VLOOKUP($A7, NumbeoPivot!$A7:$J1000, column()-column($B7) + 2, FALSE)</f>
        <v>85.83</v>
      </c>
      <c r="G7" s="2">
        <f>VLOOKUP($A7, NumbeoPivot!$A7:$J1000, column()-column($B7) + 2, FALSE)</f>
        <v>6.24</v>
      </c>
      <c r="H7" s="2">
        <f>VLOOKUP($A7, NumbeoPivot!$A7:$J1000, column()-column($B7) + 2, FALSE)</f>
        <v>47.27</v>
      </c>
      <c r="I7" s="2">
        <f>VLOOKUP($A7, NumbeoPivot!$A7:$J1000, column()-column($B7) + 2, FALSE)</f>
        <v>39.72</v>
      </c>
      <c r="J7" s="2">
        <f>VLOOKUP($A7, NumbeoPivot!$A7:$J1000, column()-column($B7) + 2, FALSE)</f>
        <v>173.49</v>
      </c>
      <c r="K7" s="2" t="str">
        <f>int(vlookup(A7,IESE2014pivot!$B$1:$D$8,3,0))</f>
        <v>#N/A</v>
      </c>
      <c r="L7" s="2" t="str">
        <f>VALUE(vlookup(A7,IESE2014pivot!$B$1:$D$8,2,0))</f>
        <v>#N/A</v>
      </c>
      <c r="M7" s="2">
        <f>int(vlookup(A7,IESE2024pivot!$B$1:$D$20,3,0))</f>
        <v>31</v>
      </c>
      <c r="N7" s="2">
        <f>value(vlookup(A7,IESE2024pivot!$B$1:$D$20,2,0))</f>
        <v>63.28</v>
      </c>
      <c r="O7" s="13">
        <f>vlookup($A7,IMDpivot!$A$1:$BH$11,column()-column($O7)+2,0)</f>
        <v>0.94</v>
      </c>
      <c r="P7" s="12">
        <f>vlookup($A7,IMDpivot!$A$1:$BH$11,column()-column($O7)+2,0)</f>
        <v>31</v>
      </c>
      <c r="Q7" s="12">
        <f>vlookup($A7,IMDpivot!$A$1:$BH$11,column()-column($O7)+2,0)</f>
        <v>41</v>
      </c>
      <c r="R7" s="12">
        <f>vlookup($A7,IMDpivot!$A$1:$BH$11,column()-column($O7)+2,0)</f>
        <v>38</v>
      </c>
      <c r="S7" s="12">
        <f>vlookup($A7,IMDpivot!$A$1:$BH$11,column()-column($O7)+2,0)</f>
        <v>55</v>
      </c>
      <c r="T7" s="14">
        <f>value(vlookup($A7,IMDpivot!$A$1:$BH$11,column()-column($O7)+2,0))</f>
        <v>43.1</v>
      </c>
      <c r="U7" s="14">
        <f>value(vlookup($A7,IMDpivot!$A$1:$BH$11,column()-column($O7)+2,0))</f>
        <v>71</v>
      </c>
      <c r="V7" s="14">
        <f>value(vlookup($A7,IMDpivot!$A$1:$BH$11,column()-column($O7)+2,0))</f>
        <v>27</v>
      </c>
      <c r="W7" s="14">
        <f>value(vlookup($A7,IMDpivot!$A$1:$BH$11,column()-column($O7)+2,0))</f>
        <v>43.6</v>
      </c>
      <c r="X7" s="14">
        <f>value(vlookup($A7,IMDpivot!$A$1:$BH$11,column()-column($O7)+2,0))</f>
        <v>64.1</v>
      </c>
      <c r="Y7" s="14">
        <f>value(vlookup($A7,IMDpivot!$A$1:$BH$11,column()-column($O7)+2,0))</f>
        <v>18.9</v>
      </c>
      <c r="Z7" s="14">
        <f>value(vlookup($A7,IMDpivot!$A$1:$BH$11,column()-column($O7)+2,0))</f>
        <v>15.8</v>
      </c>
      <c r="AA7" s="14">
        <f>value(vlookup($A7,IMDpivot!$A$1:$BH$11,column()-column($O7)+2,0))</f>
        <v>54.4</v>
      </c>
      <c r="AB7" s="14">
        <f>value(vlookup($A7,IMDpivot!$A$1:$BH$11,column()-column($O7)+2,0))</f>
        <v>64.3</v>
      </c>
      <c r="AC7" s="14">
        <f>value(vlookup($A7,IMDpivot!$A$1:$BH$11,column()-column($O7)+2,0))</f>
        <v>78.1</v>
      </c>
      <c r="AD7" s="14">
        <f>value(vlookup($A7,IMDpivot!$A$1:$BH$11,column()-column($O7)+2,0))</f>
        <v>64.9</v>
      </c>
      <c r="AE7" s="14">
        <f>value(vlookup($A7,IMDpivot!$A$1:$BH$11,column()-column($O7)+2,0))</f>
        <v>61.2</v>
      </c>
      <c r="AF7" s="14">
        <f>value(vlookup($A7,IMDpivot!$A$1:$BH$11,column()-column($O7)+2,0))</f>
        <v>63.1</v>
      </c>
      <c r="AG7" s="14">
        <f>value(vlookup($A7,IMDpivot!$A$1:$BH$11,column()-column($O7)+2,0))</f>
        <v>61.6</v>
      </c>
      <c r="AH7" s="14">
        <f>value(vlookup($A7,IMDpivot!$A$1:$BH$11,column()-column($O7)+2,0))</f>
        <v>61.2</v>
      </c>
      <c r="AI7" s="14">
        <f>value(vlookup($A7,IMDpivot!$A$1:$BH$11,column()-column($O7)+2,0))</f>
        <v>63.8</v>
      </c>
      <c r="AJ7" s="14">
        <f>value(vlookup($A7,IMDpivot!$A$1:$BH$11,column()-column($O7)+2,0))</f>
        <v>41.5</v>
      </c>
      <c r="AK7" s="14">
        <f>value(vlookup($A7,IMDpivot!$A$1:$BH$11,column()-column($O7)+2,0))</f>
        <v>49.5</v>
      </c>
      <c r="AL7" s="14">
        <f>value(vlookup($A7,IMDpivot!$A$1:$BH$11,column()-column($O7)+2,0))</f>
        <v>61.1</v>
      </c>
      <c r="AM7" s="14">
        <f>value(vlookup($A7,IMDpivot!$A$1:$BH$11,column()-column($O7)+2,0))</f>
        <v>43</v>
      </c>
      <c r="AN7" s="14">
        <f>value(vlookup($A7,IMDpivot!$A$1:$BH$11,column()-column($O7)+2,0))</f>
        <v>60.5</v>
      </c>
      <c r="AO7" s="14">
        <f>value(vlookup($A7,IMDpivot!$A$1:$BH$11,column()-column($O7)+2,0))</f>
        <v>44.3</v>
      </c>
      <c r="AP7" s="14">
        <f>value(vlookup($A7,IMDpivot!$A$1:$BH$11,column()-column($O7)+2,0))</f>
        <v>37.8</v>
      </c>
      <c r="AQ7" s="14">
        <f>value(vlookup($A7,IMDpivot!$A$1:$BH$11,column()-column($O7)+2,0))</f>
        <v>43</v>
      </c>
      <c r="AR7" s="14">
        <f>value(vlookup($A7,IMDpivot!$A$1:$BH$11,column()-column($O7)+2,0))</f>
        <v>67.6</v>
      </c>
      <c r="AS7" s="14">
        <f>value(vlookup($A7,IMDpivot!$A$1:$BH$11,column()-column($O7)+2,0))</f>
        <v>40.9</v>
      </c>
      <c r="AT7" s="14">
        <f>value(vlookup($A7,IMDpivot!$A$1:$BH$11,column()-column($O7)+2,0))</f>
        <v>40.1</v>
      </c>
      <c r="AU7" s="14">
        <f>value(vlookup($A7,IMDpivot!$A$1:$BH$11,column()-column($O7)+2,0))</f>
        <v>37.8</v>
      </c>
      <c r="AV7" s="14">
        <f>value(vlookup($A7,IMDpivot!$A$1:$BH$11,column()-column($O7)+2,0))</f>
        <v>54.9</v>
      </c>
      <c r="AW7" s="14">
        <f>value(vlookup($A7,IMDpivot!$A$1:$BH$11,column()-column($O7)+2,0))</f>
        <v>57.8</v>
      </c>
      <c r="AX7" s="14">
        <f>value(vlookup($A7,IMDpivot!$A$1:$BH$11,column()-column($O7)+2,0))</f>
        <v>71</v>
      </c>
      <c r="AY7" s="14">
        <f>value(vlookup($A7,IMDpivot!$A$1:$BH$11,column()-column($O7)+2,0))</f>
        <v>66.9</v>
      </c>
      <c r="AZ7" s="14">
        <f>value(vlookup($A7,IMDpivot!$A$1:$BH$11,column()-column($O7)+2,0))</f>
        <v>47</v>
      </c>
      <c r="BA7" s="14">
        <f>value(vlookup($A7,IMDpivot!$A$1:$BH$11,column()-column($O7)+2,0))</f>
        <v>40.9</v>
      </c>
      <c r="BB7" s="14">
        <f>value(vlookup($A7,IMDpivot!$A$1:$BH$11,column()-column($O7)+2,0))</f>
        <v>64.1</v>
      </c>
      <c r="BC7" s="14">
        <f>value(vlookup($A7,IMDpivot!$A$1:$BH$11,column()-column($O7)+2,0))</f>
        <v>34.3</v>
      </c>
      <c r="BD7" s="14">
        <f>value(vlookup($A7,IMDpivot!$A$1:$BH$11,column()-column($O7)+2,0))</f>
        <v>52.8</v>
      </c>
      <c r="BE7" s="14">
        <f>value(vlookup($A7,IMDpivot!$A$1:$BH$11,column()-column($O7)+2,0))</f>
        <v>43.9</v>
      </c>
      <c r="BF7" s="14">
        <f>value(vlookup($A7,IMDpivot!$A$1:$BH$11,column()-column($O7)+2,0))</f>
        <v>51.9</v>
      </c>
      <c r="BG7" s="15">
        <f>value(vlookup($A7,IMDpivot!$A$1:$BH$11,column()-column($BG7)+46,0))</f>
        <v>81.2</v>
      </c>
      <c r="BH7" s="15">
        <f>value(vlookup($A7,IMDpivot!$A$1:$BH$11,column()-column($BG7)+46,0))</f>
        <v>16.2</v>
      </c>
      <c r="BI7" s="15">
        <f>value(vlookup($A7,IMDpivot!$A$1:$BH$11,column()-column($BG7)+46,0))</f>
        <v>17.3</v>
      </c>
      <c r="BJ7" s="15">
        <f>value(vlookup($A7,IMDpivot!$A$1:$BH$11,column()-column($BG7)+46,0))</f>
        <v>13.8</v>
      </c>
      <c r="BK7" s="15">
        <f>value(vlookup($A7,IMDpivot!$A$1:$BH$11,column()-column($BG7)+46,0))</f>
        <v>23.3</v>
      </c>
      <c r="BL7" s="15">
        <f>value(vlookup($A7,IMDpivot!$A$1:$BH$11,column()-column($BG7)+46,0))</f>
        <v>26.2</v>
      </c>
      <c r="BM7" s="15">
        <f>value(vlookup($A7,IMDpivot!$A$1:$BH$11,column()-column($BG7)+46,0))</f>
        <v>15.5</v>
      </c>
      <c r="BN7" s="15">
        <f>value(vlookup($A7,IMDpivot!$A$1:$BH$11,column()-column($BG7)+46,0))</f>
        <v>39.4</v>
      </c>
      <c r="BO7" s="15">
        <f>value(vlookup($A7,IMDpivot!$A$1:$BH$11,column()-column($BG7)+46,0))</f>
        <v>23.5</v>
      </c>
      <c r="BP7" s="15">
        <f>value(vlookup($A7,IMDpivot!$A$1:$BH$11,column()-column($BG7)+46,0))</f>
        <v>15.3</v>
      </c>
      <c r="BQ7" s="15">
        <f>value(vlookup($A7,IMDpivot!$A$1:$BH$11,column()-column($BG7)+46,0))</f>
        <v>60.2</v>
      </c>
      <c r="BR7" s="15">
        <f>value(vlookup($A7,IMDpivot!$A$1:$BH$11,column()-column($BG7)+46,0))</f>
        <v>28.2</v>
      </c>
      <c r="BS7" s="15">
        <f>value(vlookup($A7,IMDpivot!$A$1:$BH$11,column()-column($BG7)+46,0))</f>
        <v>55.2</v>
      </c>
      <c r="BT7" s="15">
        <f>value(vlookup($A7,IMDpivot!$A$1:$BH$11,column()-column($BG7)+46,0))</f>
        <v>12.3</v>
      </c>
      <c r="BU7" s="15">
        <f>value(vlookup($A7,IMDpivot!$A$1:$BH$11,column()-column($BG7)+46,0))</f>
        <v>39.6</v>
      </c>
      <c r="BV7" s="10">
        <f>value(vlookup($A7,USNews!$A$1:$D$20,column()-column($BV7)+2,0))</f>
        <v>81</v>
      </c>
      <c r="BW7" s="11">
        <f>value(vlookup($A7,USNews!$A$1:$D$20,column()-column($BV7)+2,0))</f>
        <v>6.2</v>
      </c>
      <c r="BX7" s="11">
        <f>value(vlookup($A7,USNews!$A$1:$D$20,column()-column($BV7)+2,0))</f>
        <v>6.6</v>
      </c>
    </row>
    <row r="8">
      <c r="A8" s="2" t="s">
        <v>632</v>
      </c>
      <c r="B8" s="2">
        <f>VLOOKUP($A8, NumbeoPivot!$A8:$J1000, column()-column($B8) + 2, FALSE)</f>
        <v>142.2</v>
      </c>
      <c r="C8" s="2">
        <f>VLOOKUP($A8, NumbeoPivot!$A8:$J1000, column()-column($B8) + 2, FALSE)</f>
        <v>47.05</v>
      </c>
      <c r="D8" s="2">
        <f>VLOOKUP($A8, NumbeoPivot!$A8:$J1000, column()-column($B8) + 2, FALSE)</f>
        <v>61.11</v>
      </c>
      <c r="E8" s="2">
        <f>VLOOKUP($A8, NumbeoPivot!$A8:$J1000, column()-column($B8) + 2, FALSE)</f>
        <v>95.5</v>
      </c>
      <c r="F8" s="2">
        <f>VLOOKUP($A8, NumbeoPivot!$A8:$J1000, column()-column($B8) + 2, FALSE)</f>
        <v>83.52</v>
      </c>
      <c r="G8" s="2">
        <f>VLOOKUP($A8, NumbeoPivot!$A8:$J1000, column()-column($B8) + 2, FALSE)</f>
        <v>5.64</v>
      </c>
      <c r="H8" s="2">
        <f>VLOOKUP($A8, NumbeoPivot!$A8:$J1000, column()-column($B8) + 2, FALSE)</f>
        <v>57.76</v>
      </c>
      <c r="I8" s="2">
        <f>VLOOKUP($A8, NumbeoPivot!$A8:$J1000, column()-column($B8) + 2, FALSE)</f>
        <v>67.19</v>
      </c>
      <c r="J8" s="2">
        <f>VLOOKUP($A8, NumbeoPivot!$A8:$J1000, column()-column($B8) + 2, FALSE)</f>
        <v>149.02</v>
      </c>
      <c r="K8" s="2">
        <f>int(vlookup(A8,IESE2014pivot!$B$1:$D$8,3,0))</f>
        <v>12</v>
      </c>
      <c r="L8" s="2">
        <f>VALUE(vlookup(A8,IESE2014pivot!$B$1:$D$8,2,0))</f>
        <v>67.05</v>
      </c>
      <c r="M8" s="2">
        <f>int(vlookup(A8,IESE2024pivot!$B$1:$D$20,3,0))</f>
        <v>39</v>
      </c>
      <c r="N8" s="2">
        <f>value(vlookup(A8,IESE2024pivot!$B$1:$D$20,2,0))</f>
        <v>61.08</v>
      </c>
      <c r="O8" s="13">
        <f>vlookup($A8,IMDpivot!$A$1:$BH$11,column()-column($O8)+2,0)</f>
        <v>0.931</v>
      </c>
      <c r="P8" s="12">
        <f>vlookup($A8,IMDpivot!$A$1:$BH$11,column()-column($O8)+2,0)</f>
        <v>44</v>
      </c>
      <c r="Q8" s="12">
        <f>vlookup($A8,IMDpivot!$A$1:$BH$11,column()-column($O8)+2,0)</f>
        <v>36</v>
      </c>
      <c r="R8" s="12">
        <f>vlookup($A8,IMDpivot!$A$1:$BH$11,column()-column($O8)+2,0)</f>
        <v>30</v>
      </c>
      <c r="S8" s="12">
        <f>vlookup($A8,IMDpivot!$A$1:$BH$11,column()-column($O8)+2,0)</f>
        <v>50</v>
      </c>
      <c r="T8" s="14">
        <f>value(vlookup($A8,IMDpivot!$A$1:$BH$11,column()-column($O8)+2,0))</f>
        <v>54.2</v>
      </c>
      <c r="U8" s="14">
        <f>value(vlookup($A8,IMDpivot!$A$1:$BH$11,column()-column($O8)+2,0))</f>
        <v>64.3</v>
      </c>
      <c r="V8" s="14">
        <f>value(vlookup($A8,IMDpivot!$A$1:$BH$11,column()-column($O8)+2,0))</f>
        <v>36.5</v>
      </c>
      <c r="W8" s="14">
        <f>value(vlookup($A8,IMDpivot!$A$1:$BH$11,column()-column($O8)+2,0))</f>
        <v>32.7</v>
      </c>
      <c r="X8" s="14">
        <f>value(vlookup($A8,IMDpivot!$A$1:$BH$11,column()-column($O8)+2,0))</f>
        <v>56.2</v>
      </c>
      <c r="Y8" s="14">
        <f>value(vlookup($A8,IMDpivot!$A$1:$BH$11,column()-column($O8)+2,0))</f>
        <v>32.8</v>
      </c>
      <c r="Z8" s="14">
        <f>value(vlookup($A8,IMDpivot!$A$1:$BH$11,column()-column($O8)+2,0))</f>
        <v>25.1</v>
      </c>
      <c r="AA8" s="14">
        <f>value(vlookup($A8,IMDpivot!$A$1:$BH$11,column()-column($O8)+2,0))</f>
        <v>47.7</v>
      </c>
      <c r="AB8" s="14">
        <f>value(vlookup($A8,IMDpivot!$A$1:$BH$11,column()-column($O8)+2,0))</f>
        <v>60.7</v>
      </c>
      <c r="AC8" s="14">
        <f>value(vlookup($A8,IMDpivot!$A$1:$BH$11,column()-column($O8)+2,0))</f>
        <v>75.4</v>
      </c>
      <c r="AD8" s="14">
        <f>value(vlookup($A8,IMDpivot!$A$1:$BH$11,column()-column($O8)+2,0))</f>
        <v>63</v>
      </c>
      <c r="AE8" s="14">
        <f>value(vlookup($A8,IMDpivot!$A$1:$BH$11,column()-column($O8)+2,0))</f>
        <v>52.9</v>
      </c>
      <c r="AF8" s="14">
        <f>value(vlookup($A8,IMDpivot!$A$1:$BH$11,column()-column($O8)+2,0))</f>
        <v>58.2</v>
      </c>
      <c r="AG8" s="14">
        <f>value(vlookup($A8,IMDpivot!$A$1:$BH$11,column()-column($O8)+2,0))</f>
        <v>64.7</v>
      </c>
      <c r="AH8" s="14">
        <f>value(vlookup($A8,IMDpivot!$A$1:$BH$11,column()-column($O8)+2,0))</f>
        <v>58.3</v>
      </c>
      <c r="AI8" s="14">
        <f>value(vlookup($A8,IMDpivot!$A$1:$BH$11,column()-column($O8)+2,0))</f>
        <v>65.8</v>
      </c>
      <c r="AJ8" s="14">
        <f>value(vlookup($A8,IMDpivot!$A$1:$BH$11,column()-column($O8)+2,0))</f>
        <v>35.5</v>
      </c>
      <c r="AK8" s="14">
        <f>value(vlookup($A8,IMDpivot!$A$1:$BH$11,column()-column($O8)+2,0))</f>
        <v>56.5</v>
      </c>
      <c r="AL8" s="14">
        <f>value(vlookup($A8,IMDpivot!$A$1:$BH$11,column()-column($O8)+2,0))</f>
        <v>59.7</v>
      </c>
      <c r="AM8" s="14">
        <f>value(vlookup($A8,IMDpivot!$A$1:$BH$11,column()-column($O8)+2,0))</f>
        <v>50.3</v>
      </c>
      <c r="AN8" s="14">
        <f>value(vlookup($A8,IMDpivot!$A$1:$BH$11,column()-column($O8)+2,0))</f>
        <v>61.7</v>
      </c>
      <c r="AO8" s="14">
        <f>value(vlookup($A8,IMDpivot!$A$1:$BH$11,column()-column($O8)+2,0))</f>
        <v>60</v>
      </c>
      <c r="AP8" s="14">
        <f>value(vlookup($A8,IMDpivot!$A$1:$BH$11,column()-column($O8)+2,0))</f>
        <v>54</v>
      </c>
      <c r="AQ8" s="14">
        <f>value(vlookup($A8,IMDpivot!$A$1:$BH$11,column()-column($O8)+2,0))</f>
        <v>53.8</v>
      </c>
      <c r="AR8" s="14">
        <f>value(vlookup($A8,IMDpivot!$A$1:$BH$11,column()-column($O8)+2,0))</f>
        <v>64.9</v>
      </c>
      <c r="AS8" s="14">
        <f>value(vlookup($A8,IMDpivot!$A$1:$BH$11,column()-column($O8)+2,0))</f>
        <v>53.1</v>
      </c>
      <c r="AT8" s="14">
        <f>value(vlookup($A8,IMDpivot!$A$1:$BH$11,column()-column($O8)+2,0))</f>
        <v>53.6</v>
      </c>
      <c r="AU8" s="14">
        <f>value(vlookup($A8,IMDpivot!$A$1:$BH$11,column()-column($O8)+2,0))</f>
        <v>49.1</v>
      </c>
      <c r="AV8" s="14">
        <f>value(vlookup($A8,IMDpivot!$A$1:$BH$11,column()-column($O8)+2,0))</f>
        <v>60.7</v>
      </c>
      <c r="AW8" s="14">
        <f>value(vlookup($A8,IMDpivot!$A$1:$BH$11,column()-column($O8)+2,0))</f>
        <v>65.5</v>
      </c>
      <c r="AX8" s="14">
        <f>value(vlookup($A8,IMDpivot!$A$1:$BH$11,column()-column($O8)+2,0))</f>
        <v>76.2</v>
      </c>
      <c r="AY8" s="14">
        <f>value(vlookup($A8,IMDpivot!$A$1:$BH$11,column()-column($O8)+2,0))</f>
        <v>68</v>
      </c>
      <c r="AZ8" s="14">
        <f>value(vlookup($A8,IMDpivot!$A$1:$BH$11,column()-column($O8)+2,0))</f>
        <v>54.1</v>
      </c>
      <c r="BA8" s="14">
        <f>value(vlookup($A8,IMDpivot!$A$1:$BH$11,column()-column($O8)+2,0))</f>
        <v>55.8</v>
      </c>
      <c r="BB8" s="14">
        <f>value(vlookup($A8,IMDpivot!$A$1:$BH$11,column()-column($O8)+2,0))</f>
        <v>67.7</v>
      </c>
      <c r="BC8" s="14">
        <f>value(vlookup($A8,IMDpivot!$A$1:$BH$11,column()-column($O8)+2,0))</f>
        <v>49</v>
      </c>
      <c r="BD8" s="14">
        <f>value(vlookup($A8,IMDpivot!$A$1:$BH$11,column()-column($O8)+2,0))</f>
        <v>65.3</v>
      </c>
      <c r="BE8" s="14">
        <f>value(vlookup($A8,IMDpivot!$A$1:$BH$11,column()-column($O8)+2,0))</f>
        <v>54.6</v>
      </c>
      <c r="BF8" s="14">
        <f>value(vlookup($A8,IMDpivot!$A$1:$BH$11,column()-column($O8)+2,0))</f>
        <v>65.2</v>
      </c>
      <c r="BG8" s="15">
        <f>value(vlookup($A8,IMDpivot!$A$1:$BH$11,column()-column($BG8)+46,0))</f>
        <v>66.2</v>
      </c>
      <c r="BH8" s="15">
        <f>value(vlookup($A8,IMDpivot!$A$1:$BH$11,column()-column($BG8)+46,0))</f>
        <v>41.2</v>
      </c>
      <c r="BI8" s="15">
        <f>value(vlookup($A8,IMDpivot!$A$1:$BH$11,column()-column($BG8)+46,0))</f>
        <v>21.4</v>
      </c>
      <c r="BJ8" s="15">
        <f>value(vlookup($A8,IMDpivot!$A$1:$BH$11,column()-column($BG8)+46,0))</f>
        <v>8.7</v>
      </c>
      <c r="BK8" s="15">
        <f>value(vlookup($A8,IMDpivot!$A$1:$BH$11,column()-column($BG8)+46,0))</f>
        <v>30.5</v>
      </c>
      <c r="BL8" s="15">
        <f>value(vlookup($A8,IMDpivot!$A$1:$BH$11,column()-column($BG8)+46,0))</f>
        <v>28.4</v>
      </c>
      <c r="BM8" s="15">
        <f>value(vlookup($A8,IMDpivot!$A$1:$BH$11,column()-column($BG8)+46,0))</f>
        <v>16.4</v>
      </c>
      <c r="BN8" s="15">
        <f>value(vlookup($A8,IMDpivot!$A$1:$BH$11,column()-column($BG8)+46,0))</f>
        <v>43.8</v>
      </c>
      <c r="BO8" s="15">
        <f>value(vlookup($A8,IMDpivot!$A$1:$BH$11,column()-column($BG8)+46,0))</f>
        <v>19.1</v>
      </c>
      <c r="BP8" s="15">
        <f>value(vlookup($A8,IMDpivot!$A$1:$BH$11,column()-column($BG8)+46,0))</f>
        <v>15.3</v>
      </c>
      <c r="BQ8" s="15">
        <f>value(vlookup($A8,IMDpivot!$A$1:$BH$11,column()-column($BG8)+46,0))</f>
        <v>47.1</v>
      </c>
      <c r="BR8" s="15">
        <f>value(vlookup($A8,IMDpivot!$A$1:$BH$11,column()-column($BG8)+46,0))</f>
        <v>31.1</v>
      </c>
      <c r="BS8" s="15">
        <f>value(vlookup($A8,IMDpivot!$A$1:$BH$11,column()-column($BG8)+46,0))</f>
        <v>50.1</v>
      </c>
      <c r="BT8" s="15">
        <f>value(vlookup($A8,IMDpivot!$A$1:$BH$11,column()-column($BG8)+46,0))</f>
        <v>13.1</v>
      </c>
      <c r="BU8" s="15">
        <f>value(vlookup($A8,IMDpivot!$A$1:$BH$11,column()-column($BG8)+46,0))</f>
        <v>30.1</v>
      </c>
      <c r="BV8" s="10">
        <f>value(vlookup($A8,USNews!$A$1:$D$20,column()-column($BV8)+2,0))</f>
        <v>139</v>
      </c>
      <c r="BW8" s="11">
        <f>value(vlookup($A8,USNews!$A$1:$D$20,column()-column($BV8)+2,0))</f>
        <v>5.6</v>
      </c>
      <c r="BX8" s="11">
        <f>value(vlookup($A8,USNews!$A$1:$D$20,column()-column($BV8)+2,0))</f>
        <v>5.3</v>
      </c>
    </row>
    <row r="9">
      <c r="A9" s="2" t="s">
        <v>1289</v>
      </c>
      <c r="B9" s="2">
        <f>VLOOKUP($A9, NumbeoPivot!$A9:$J1000, column()-column($B9) + 2, FALSE)</f>
        <v>146.57</v>
      </c>
      <c r="C9" s="2">
        <f>VLOOKUP($A9, NumbeoPivot!$A9:$J1000, column()-column($B9) + 2, FALSE)</f>
        <v>48.56</v>
      </c>
      <c r="D9" s="2">
        <f>VLOOKUP($A9, NumbeoPivot!$A9:$J1000, column()-column($B9) + 2, FALSE)</f>
        <v>66.15</v>
      </c>
      <c r="E9" s="2">
        <f>VLOOKUP($A9, NumbeoPivot!$A9:$J1000, column()-column($B9) + 2, FALSE)</f>
        <v>81.85</v>
      </c>
      <c r="F9" s="2">
        <f>VLOOKUP($A9, NumbeoPivot!$A9:$J1000, column()-column($B9) + 2, FALSE)</f>
        <v>73.44</v>
      </c>
      <c r="G9" s="2">
        <f>VLOOKUP($A9, NumbeoPivot!$A9:$J1000, column()-column($B9) + 2, FALSE)</f>
        <v>2.74</v>
      </c>
      <c r="H9" s="2">
        <f>VLOOKUP($A9, NumbeoPivot!$A9:$J1000, column()-column($B9) + 2, FALSE)</f>
        <v>36.22</v>
      </c>
      <c r="I9" s="2">
        <f>VLOOKUP($A9, NumbeoPivot!$A9:$J1000, column()-column($B9) + 2, FALSE)</f>
        <v>43.25</v>
      </c>
      <c r="J9" s="2">
        <f>VLOOKUP($A9, NumbeoPivot!$A9:$J1000, column()-column($B9) + 2, FALSE)</f>
        <v>179.63</v>
      </c>
      <c r="K9" s="2">
        <f>int(vlookup(A9,IESE2014pivot!$B$1:$D$8,3,0))</f>
        <v>13</v>
      </c>
      <c r="L9" s="2">
        <f>VALUE(vlookup(A9,IESE2014pivot!$B$1:$D$8,2,0))</f>
        <v>65.82</v>
      </c>
      <c r="M9" s="2">
        <f>int(vlookup(A9,IESE2024pivot!$B$1:$D$20,3,0))</f>
        <v>43</v>
      </c>
      <c r="N9" s="2">
        <f>value(vlookup(A9,IESE2024pivot!$B$1:$D$20,2,0))</f>
        <v>60.36</v>
      </c>
      <c r="O9" s="13" t="str">
        <f>vlookup($A9,IMDpivot!$A$1:$BH$11,column()-column($O9)+2,0)</f>
        <v>#N/A</v>
      </c>
      <c r="P9" s="12" t="str">
        <f>vlookup($A9,IMDpivot!$A$1:$BH$11,column()-column($O9)+2,0)</f>
        <v>#N/A</v>
      </c>
      <c r="Q9" s="12" t="str">
        <f>vlookup($A9,IMDpivot!$A$1:$BH$11,column()-column($O9)+2,0)</f>
        <v>#N/A</v>
      </c>
      <c r="R9" s="12" t="str">
        <f>vlookup($A9,IMDpivot!$A$1:$BH$11,column()-column($O9)+2,0)</f>
        <v>#N/A</v>
      </c>
      <c r="S9" s="12" t="str">
        <f>vlookup($A9,IMDpivot!$A$1:$BH$11,column()-column($O9)+2,0)</f>
        <v>#N/A</v>
      </c>
      <c r="T9" s="14" t="str">
        <f>value(vlookup($A9,IMDpivot!$A$1:$BH$11,column()-column($O9)+2,0))</f>
        <v>#N/A</v>
      </c>
      <c r="U9" s="14" t="str">
        <f>value(vlookup($A9,IMDpivot!$A$1:$BH$11,column()-column($O9)+2,0))</f>
        <v>#N/A</v>
      </c>
      <c r="V9" s="14" t="str">
        <f>value(vlookup($A9,IMDpivot!$A$1:$BH$11,column()-column($O9)+2,0))</f>
        <v>#N/A</v>
      </c>
      <c r="W9" s="14" t="str">
        <f>value(vlookup($A9,IMDpivot!$A$1:$BH$11,column()-column($O9)+2,0))</f>
        <v>#N/A</v>
      </c>
      <c r="X9" s="14" t="str">
        <f>value(vlookup($A9,IMDpivot!$A$1:$BH$11,column()-column($O9)+2,0))</f>
        <v>#N/A</v>
      </c>
      <c r="Y9" s="14" t="str">
        <f>value(vlookup($A9,IMDpivot!$A$1:$BH$11,column()-column($O9)+2,0))</f>
        <v>#N/A</v>
      </c>
      <c r="Z9" s="14" t="str">
        <f>value(vlookup($A9,IMDpivot!$A$1:$BH$11,column()-column($O9)+2,0))</f>
        <v>#N/A</v>
      </c>
      <c r="AA9" s="14" t="str">
        <f>value(vlookup($A9,IMDpivot!$A$1:$BH$11,column()-column($O9)+2,0))</f>
        <v>#N/A</v>
      </c>
      <c r="AB9" s="14" t="str">
        <f>value(vlookup($A9,IMDpivot!$A$1:$BH$11,column()-column($O9)+2,0))</f>
        <v>#N/A</v>
      </c>
      <c r="AC9" s="14" t="str">
        <f>value(vlookup($A9,IMDpivot!$A$1:$BH$11,column()-column($O9)+2,0))</f>
        <v>#N/A</v>
      </c>
      <c r="AD9" s="14" t="str">
        <f>value(vlookup($A9,IMDpivot!$A$1:$BH$11,column()-column($O9)+2,0))</f>
        <v>#N/A</v>
      </c>
      <c r="AE9" s="14" t="str">
        <f>value(vlookup($A9,IMDpivot!$A$1:$BH$11,column()-column($O9)+2,0))</f>
        <v>#N/A</v>
      </c>
      <c r="AF9" s="14" t="str">
        <f>value(vlookup($A9,IMDpivot!$A$1:$BH$11,column()-column($O9)+2,0))</f>
        <v>#N/A</v>
      </c>
      <c r="AG9" s="14" t="str">
        <f>value(vlookup($A9,IMDpivot!$A$1:$BH$11,column()-column($O9)+2,0))</f>
        <v>#N/A</v>
      </c>
      <c r="AH9" s="14" t="str">
        <f>value(vlookup($A9,IMDpivot!$A$1:$BH$11,column()-column($O9)+2,0))</f>
        <v>#N/A</v>
      </c>
      <c r="AI9" s="14" t="str">
        <f>value(vlookup($A9,IMDpivot!$A$1:$BH$11,column()-column($O9)+2,0))</f>
        <v>#N/A</v>
      </c>
      <c r="AJ9" s="14" t="str">
        <f>value(vlookup($A9,IMDpivot!$A$1:$BH$11,column()-column($O9)+2,0))</f>
        <v>#N/A</v>
      </c>
      <c r="AK9" s="14" t="str">
        <f>value(vlookup($A9,IMDpivot!$A$1:$BH$11,column()-column($O9)+2,0))</f>
        <v>#N/A</v>
      </c>
      <c r="AL9" s="14" t="str">
        <f>value(vlookup($A9,IMDpivot!$A$1:$BH$11,column()-column($O9)+2,0))</f>
        <v>#N/A</v>
      </c>
      <c r="AM9" s="14" t="str">
        <f>value(vlookup($A9,IMDpivot!$A$1:$BH$11,column()-column($O9)+2,0))</f>
        <v>#N/A</v>
      </c>
      <c r="AN9" s="14" t="str">
        <f>value(vlookup($A9,IMDpivot!$A$1:$BH$11,column()-column($O9)+2,0))</f>
        <v>#N/A</v>
      </c>
      <c r="AO9" s="14" t="str">
        <f>value(vlookup($A9,IMDpivot!$A$1:$BH$11,column()-column($O9)+2,0))</f>
        <v>#N/A</v>
      </c>
      <c r="AP9" s="14" t="str">
        <f>value(vlookup($A9,IMDpivot!$A$1:$BH$11,column()-column($O9)+2,0))</f>
        <v>#N/A</v>
      </c>
      <c r="AQ9" s="14" t="str">
        <f>value(vlookup($A9,IMDpivot!$A$1:$BH$11,column()-column($O9)+2,0))</f>
        <v>#N/A</v>
      </c>
      <c r="AR9" s="14" t="str">
        <f>value(vlookup($A9,IMDpivot!$A$1:$BH$11,column()-column($O9)+2,0))</f>
        <v>#N/A</v>
      </c>
      <c r="AS9" s="14" t="str">
        <f>value(vlookup($A9,IMDpivot!$A$1:$BH$11,column()-column($O9)+2,0))</f>
        <v>#N/A</v>
      </c>
      <c r="AT9" s="14" t="str">
        <f>value(vlookup($A9,IMDpivot!$A$1:$BH$11,column()-column($O9)+2,0))</f>
        <v>#N/A</v>
      </c>
      <c r="AU9" s="14" t="str">
        <f>value(vlookup($A9,IMDpivot!$A$1:$BH$11,column()-column($O9)+2,0))</f>
        <v>#N/A</v>
      </c>
      <c r="AV9" s="14" t="str">
        <f>value(vlookup($A9,IMDpivot!$A$1:$BH$11,column()-column($O9)+2,0))</f>
        <v>#N/A</v>
      </c>
      <c r="AW9" s="14" t="str">
        <f>value(vlookup($A9,IMDpivot!$A$1:$BH$11,column()-column($O9)+2,0))</f>
        <v>#N/A</v>
      </c>
      <c r="AX9" s="14" t="str">
        <f>value(vlookup($A9,IMDpivot!$A$1:$BH$11,column()-column($O9)+2,0))</f>
        <v>#N/A</v>
      </c>
      <c r="AY9" s="14" t="str">
        <f>value(vlookup($A9,IMDpivot!$A$1:$BH$11,column()-column($O9)+2,0))</f>
        <v>#N/A</v>
      </c>
      <c r="AZ9" s="14" t="str">
        <f>value(vlookup($A9,IMDpivot!$A$1:$BH$11,column()-column($O9)+2,0))</f>
        <v>#N/A</v>
      </c>
      <c r="BA9" s="14" t="str">
        <f>value(vlookup($A9,IMDpivot!$A$1:$BH$11,column()-column($O9)+2,0))</f>
        <v>#N/A</v>
      </c>
      <c r="BB9" s="14" t="str">
        <f>value(vlookup($A9,IMDpivot!$A$1:$BH$11,column()-column($O9)+2,0))</f>
        <v>#N/A</v>
      </c>
      <c r="BC9" s="14" t="str">
        <f>value(vlookup($A9,IMDpivot!$A$1:$BH$11,column()-column($O9)+2,0))</f>
        <v>#N/A</v>
      </c>
      <c r="BD9" s="14" t="str">
        <f>value(vlookup($A9,IMDpivot!$A$1:$BH$11,column()-column($O9)+2,0))</f>
        <v>#N/A</v>
      </c>
      <c r="BE9" s="14" t="str">
        <f>value(vlookup($A9,IMDpivot!$A$1:$BH$11,column()-column($O9)+2,0))</f>
        <v>#N/A</v>
      </c>
      <c r="BF9" s="14" t="str">
        <f>value(vlookup($A9,IMDpivot!$A$1:$BH$11,column()-column($O9)+2,0))</f>
        <v>#N/A</v>
      </c>
      <c r="BG9" s="15" t="str">
        <f>value(vlookup($A9,IMDpivot!$A$1:$BH$11,column()-column($BG9)+46,0))</f>
        <v>#N/A</v>
      </c>
      <c r="BH9" s="15" t="str">
        <f>value(vlookup($A9,IMDpivot!$A$1:$BH$11,column()-column($BG9)+46,0))</f>
        <v>#N/A</v>
      </c>
      <c r="BI9" s="15" t="str">
        <f>value(vlookup($A9,IMDpivot!$A$1:$BH$11,column()-column($BG9)+46,0))</f>
        <v>#N/A</v>
      </c>
      <c r="BJ9" s="15" t="str">
        <f>value(vlookup($A9,IMDpivot!$A$1:$BH$11,column()-column($BG9)+46,0))</f>
        <v>#N/A</v>
      </c>
      <c r="BK9" s="15" t="str">
        <f>value(vlookup($A9,IMDpivot!$A$1:$BH$11,column()-column($BG9)+46,0))</f>
        <v>#N/A</v>
      </c>
      <c r="BL9" s="15" t="str">
        <f>value(vlookup($A9,IMDpivot!$A$1:$BH$11,column()-column($BG9)+46,0))</f>
        <v>#N/A</v>
      </c>
      <c r="BM9" s="15" t="str">
        <f>value(vlookup($A9,IMDpivot!$A$1:$BH$11,column()-column($BG9)+46,0))</f>
        <v>#N/A</v>
      </c>
      <c r="BN9" s="15" t="str">
        <f>value(vlookup($A9,IMDpivot!$A$1:$BH$11,column()-column($BG9)+46,0))</f>
        <v>#N/A</v>
      </c>
      <c r="BO9" s="15" t="str">
        <f>value(vlookup($A9,IMDpivot!$A$1:$BH$11,column()-column($BG9)+46,0))</f>
        <v>#N/A</v>
      </c>
      <c r="BP9" s="15" t="str">
        <f>value(vlookup($A9,IMDpivot!$A$1:$BH$11,column()-column($BG9)+46,0))</f>
        <v>#N/A</v>
      </c>
      <c r="BQ9" s="15" t="str">
        <f>value(vlookup($A9,IMDpivot!$A$1:$BH$11,column()-column($BG9)+46,0))</f>
        <v>#N/A</v>
      </c>
      <c r="BR9" s="15" t="str">
        <f>value(vlookup($A9,IMDpivot!$A$1:$BH$11,column()-column($BG9)+46,0))</f>
        <v>#N/A</v>
      </c>
      <c r="BS9" s="15" t="str">
        <f>value(vlookup($A9,IMDpivot!$A$1:$BH$11,column()-column($BG9)+46,0))</f>
        <v>#N/A</v>
      </c>
      <c r="BT9" s="15" t="str">
        <f>value(vlookup($A9,IMDpivot!$A$1:$BH$11,column()-column($BG9)+46,0))</f>
        <v>#N/A</v>
      </c>
      <c r="BU9" s="15" t="str">
        <f>value(vlookup($A9,IMDpivot!$A$1:$BH$11,column()-column($BG9)+46,0))</f>
        <v>#N/A</v>
      </c>
      <c r="BV9" s="10">
        <f>value(vlookup($A9,USNews!$A$1:$D$20,column()-column($BV9)+2,0))</f>
        <v>113</v>
      </c>
      <c r="BW9" s="11">
        <f>value(vlookup($A9,USNews!$A$1:$D$20,column()-column($BV9)+2,0))</f>
        <v>6</v>
      </c>
      <c r="BX9" s="11">
        <f>value(vlookup($A9,USNews!$A$1:$D$20,column()-column($BV9)+2,0))</f>
        <v>6.1</v>
      </c>
    </row>
    <row r="10">
      <c r="A10" s="2" t="s">
        <v>1290</v>
      </c>
      <c r="B10" s="2">
        <f>VLOOKUP($A10, NumbeoPivot!$A10:$J1000, column()-column($B10) + 2, FALSE)</f>
        <v>143.39</v>
      </c>
      <c r="C10" s="2">
        <f>VLOOKUP($A10, NumbeoPivot!$A10:$J1000, column()-column($B10) + 2, FALSE)</f>
        <v>58.88</v>
      </c>
      <c r="D10" s="2">
        <f>VLOOKUP($A10, NumbeoPivot!$A10:$J1000, column()-column($B10) + 2, FALSE)</f>
        <v>68.05</v>
      </c>
      <c r="E10" s="2">
        <f>VLOOKUP($A10, NumbeoPivot!$A10:$J1000, column()-column($B10) + 2, FALSE)</f>
        <v>82.08</v>
      </c>
      <c r="F10" s="2">
        <f>VLOOKUP($A10, NumbeoPivot!$A10:$J1000, column()-column($B10) + 2, FALSE)</f>
        <v>71.92</v>
      </c>
      <c r="G10" s="2">
        <f>VLOOKUP($A10, NumbeoPivot!$A10:$J1000, column()-column($B10) + 2, FALSE)</f>
        <v>4.24</v>
      </c>
      <c r="H10" s="2">
        <f>VLOOKUP($A10, NumbeoPivot!$A10:$J1000, column()-column($B10) + 2, FALSE)</f>
        <v>37.16</v>
      </c>
      <c r="I10" s="2">
        <f>VLOOKUP($A10, NumbeoPivot!$A10:$J1000, column()-column($B10) + 2, FALSE)</f>
        <v>43.16</v>
      </c>
      <c r="J10" s="2">
        <f>VLOOKUP($A10, NumbeoPivot!$A10:$J1000, column()-column($B10) + 2, FALSE)</f>
        <v>182.59</v>
      </c>
      <c r="K10" s="2" t="str">
        <f>int(vlookup(A10,IESE2014pivot!$B$1:$D$8,3,0))</f>
        <v>#N/A</v>
      </c>
      <c r="L10" s="2" t="str">
        <f>VALUE(vlookup(A10,IESE2014pivot!$B$1:$D$8,2,0))</f>
        <v>#N/A</v>
      </c>
      <c r="M10" s="2">
        <f>int(vlookup(A10,IESE2024pivot!$B$1:$D$20,3,0))</f>
        <v>45</v>
      </c>
      <c r="N10" s="2">
        <f>value(vlookup(A10,IESE2024pivot!$B$1:$D$20,2,0))</f>
        <v>59.99</v>
      </c>
      <c r="O10" s="13" t="str">
        <f>vlookup($A10,IMDpivot!$A$1:$BH$11,column()-column($O10)+2,0)</f>
        <v>#N/A</v>
      </c>
      <c r="P10" s="12" t="str">
        <f>vlookup($A10,IMDpivot!$A$1:$BH$11,column()-column($O10)+2,0)</f>
        <v>#N/A</v>
      </c>
      <c r="Q10" s="12" t="str">
        <f>vlookup($A10,IMDpivot!$A$1:$BH$11,column()-column($O10)+2,0)</f>
        <v>#N/A</v>
      </c>
      <c r="R10" s="12" t="str">
        <f>vlookup($A10,IMDpivot!$A$1:$BH$11,column()-column($O10)+2,0)</f>
        <v>#N/A</v>
      </c>
      <c r="S10" s="12" t="str">
        <f>vlookup($A10,IMDpivot!$A$1:$BH$11,column()-column($O10)+2,0)</f>
        <v>#N/A</v>
      </c>
      <c r="T10" s="14" t="str">
        <f>value(vlookup($A10,IMDpivot!$A$1:$BH$11,column()-column($O10)+2,0))</f>
        <v>#N/A</v>
      </c>
      <c r="U10" s="14" t="str">
        <f>value(vlookup($A10,IMDpivot!$A$1:$BH$11,column()-column($O10)+2,0))</f>
        <v>#N/A</v>
      </c>
      <c r="V10" s="14" t="str">
        <f>value(vlookup($A10,IMDpivot!$A$1:$BH$11,column()-column($O10)+2,0))</f>
        <v>#N/A</v>
      </c>
      <c r="W10" s="14" t="str">
        <f>value(vlookup($A10,IMDpivot!$A$1:$BH$11,column()-column($O10)+2,0))</f>
        <v>#N/A</v>
      </c>
      <c r="X10" s="14" t="str">
        <f>value(vlookup($A10,IMDpivot!$A$1:$BH$11,column()-column($O10)+2,0))</f>
        <v>#N/A</v>
      </c>
      <c r="Y10" s="14" t="str">
        <f>value(vlookup($A10,IMDpivot!$A$1:$BH$11,column()-column($O10)+2,0))</f>
        <v>#N/A</v>
      </c>
      <c r="Z10" s="14" t="str">
        <f>value(vlookup($A10,IMDpivot!$A$1:$BH$11,column()-column($O10)+2,0))</f>
        <v>#N/A</v>
      </c>
      <c r="AA10" s="14" t="str">
        <f>value(vlookup($A10,IMDpivot!$A$1:$BH$11,column()-column($O10)+2,0))</f>
        <v>#N/A</v>
      </c>
      <c r="AB10" s="14" t="str">
        <f>value(vlookup($A10,IMDpivot!$A$1:$BH$11,column()-column($O10)+2,0))</f>
        <v>#N/A</v>
      </c>
      <c r="AC10" s="14" t="str">
        <f>value(vlookup($A10,IMDpivot!$A$1:$BH$11,column()-column($O10)+2,0))</f>
        <v>#N/A</v>
      </c>
      <c r="AD10" s="14" t="str">
        <f>value(vlookup($A10,IMDpivot!$A$1:$BH$11,column()-column($O10)+2,0))</f>
        <v>#N/A</v>
      </c>
      <c r="AE10" s="14" t="str">
        <f>value(vlookup($A10,IMDpivot!$A$1:$BH$11,column()-column($O10)+2,0))</f>
        <v>#N/A</v>
      </c>
      <c r="AF10" s="14" t="str">
        <f>value(vlookup($A10,IMDpivot!$A$1:$BH$11,column()-column($O10)+2,0))</f>
        <v>#N/A</v>
      </c>
      <c r="AG10" s="14" t="str">
        <f>value(vlookup($A10,IMDpivot!$A$1:$BH$11,column()-column($O10)+2,0))</f>
        <v>#N/A</v>
      </c>
      <c r="AH10" s="14" t="str">
        <f>value(vlookup($A10,IMDpivot!$A$1:$BH$11,column()-column($O10)+2,0))</f>
        <v>#N/A</v>
      </c>
      <c r="AI10" s="14" t="str">
        <f>value(vlookup($A10,IMDpivot!$A$1:$BH$11,column()-column($O10)+2,0))</f>
        <v>#N/A</v>
      </c>
      <c r="AJ10" s="14" t="str">
        <f>value(vlookup($A10,IMDpivot!$A$1:$BH$11,column()-column($O10)+2,0))</f>
        <v>#N/A</v>
      </c>
      <c r="AK10" s="14" t="str">
        <f>value(vlookup($A10,IMDpivot!$A$1:$BH$11,column()-column($O10)+2,0))</f>
        <v>#N/A</v>
      </c>
      <c r="AL10" s="14" t="str">
        <f>value(vlookup($A10,IMDpivot!$A$1:$BH$11,column()-column($O10)+2,0))</f>
        <v>#N/A</v>
      </c>
      <c r="AM10" s="14" t="str">
        <f>value(vlookup($A10,IMDpivot!$A$1:$BH$11,column()-column($O10)+2,0))</f>
        <v>#N/A</v>
      </c>
      <c r="AN10" s="14" t="str">
        <f>value(vlookup($A10,IMDpivot!$A$1:$BH$11,column()-column($O10)+2,0))</f>
        <v>#N/A</v>
      </c>
      <c r="AO10" s="14" t="str">
        <f>value(vlookup($A10,IMDpivot!$A$1:$BH$11,column()-column($O10)+2,0))</f>
        <v>#N/A</v>
      </c>
      <c r="AP10" s="14" t="str">
        <f>value(vlookup($A10,IMDpivot!$A$1:$BH$11,column()-column($O10)+2,0))</f>
        <v>#N/A</v>
      </c>
      <c r="AQ10" s="14" t="str">
        <f>value(vlookup($A10,IMDpivot!$A$1:$BH$11,column()-column($O10)+2,0))</f>
        <v>#N/A</v>
      </c>
      <c r="AR10" s="14" t="str">
        <f>value(vlookup($A10,IMDpivot!$A$1:$BH$11,column()-column($O10)+2,0))</f>
        <v>#N/A</v>
      </c>
      <c r="AS10" s="14" t="str">
        <f>value(vlookup($A10,IMDpivot!$A$1:$BH$11,column()-column($O10)+2,0))</f>
        <v>#N/A</v>
      </c>
      <c r="AT10" s="14" t="str">
        <f>value(vlookup($A10,IMDpivot!$A$1:$BH$11,column()-column($O10)+2,0))</f>
        <v>#N/A</v>
      </c>
      <c r="AU10" s="14" t="str">
        <f>value(vlookup($A10,IMDpivot!$A$1:$BH$11,column()-column($O10)+2,0))</f>
        <v>#N/A</v>
      </c>
      <c r="AV10" s="14" t="str">
        <f>value(vlookup($A10,IMDpivot!$A$1:$BH$11,column()-column($O10)+2,0))</f>
        <v>#N/A</v>
      </c>
      <c r="AW10" s="14" t="str">
        <f>value(vlookup($A10,IMDpivot!$A$1:$BH$11,column()-column($O10)+2,0))</f>
        <v>#N/A</v>
      </c>
      <c r="AX10" s="14" t="str">
        <f>value(vlookup($A10,IMDpivot!$A$1:$BH$11,column()-column($O10)+2,0))</f>
        <v>#N/A</v>
      </c>
      <c r="AY10" s="14" t="str">
        <f>value(vlookup($A10,IMDpivot!$A$1:$BH$11,column()-column($O10)+2,0))</f>
        <v>#N/A</v>
      </c>
      <c r="AZ10" s="14" t="str">
        <f>value(vlookup($A10,IMDpivot!$A$1:$BH$11,column()-column($O10)+2,0))</f>
        <v>#N/A</v>
      </c>
      <c r="BA10" s="14" t="str">
        <f>value(vlookup($A10,IMDpivot!$A$1:$BH$11,column()-column($O10)+2,0))</f>
        <v>#N/A</v>
      </c>
      <c r="BB10" s="14" t="str">
        <f>value(vlookup($A10,IMDpivot!$A$1:$BH$11,column()-column($O10)+2,0))</f>
        <v>#N/A</v>
      </c>
      <c r="BC10" s="14" t="str">
        <f>value(vlookup($A10,IMDpivot!$A$1:$BH$11,column()-column($O10)+2,0))</f>
        <v>#N/A</v>
      </c>
      <c r="BD10" s="14" t="str">
        <f>value(vlookup($A10,IMDpivot!$A$1:$BH$11,column()-column($O10)+2,0))</f>
        <v>#N/A</v>
      </c>
      <c r="BE10" s="14" t="str">
        <f>value(vlookup($A10,IMDpivot!$A$1:$BH$11,column()-column($O10)+2,0))</f>
        <v>#N/A</v>
      </c>
      <c r="BF10" s="14" t="str">
        <f>value(vlookup($A10,IMDpivot!$A$1:$BH$11,column()-column($O10)+2,0))</f>
        <v>#N/A</v>
      </c>
      <c r="BG10" s="15" t="str">
        <f>value(vlookup($A10,IMDpivot!$A$1:$BH$11,column()-column($BG10)+46,0))</f>
        <v>#N/A</v>
      </c>
      <c r="BH10" s="15" t="str">
        <f>value(vlookup($A10,IMDpivot!$A$1:$BH$11,column()-column($BG10)+46,0))</f>
        <v>#N/A</v>
      </c>
      <c r="BI10" s="15" t="str">
        <f>value(vlookup($A10,IMDpivot!$A$1:$BH$11,column()-column($BG10)+46,0))</f>
        <v>#N/A</v>
      </c>
      <c r="BJ10" s="15" t="str">
        <f>value(vlookup($A10,IMDpivot!$A$1:$BH$11,column()-column($BG10)+46,0))</f>
        <v>#N/A</v>
      </c>
      <c r="BK10" s="15" t="str">
        <f>value(vlookup($A10,IMDpivot!$A$1:$BH$11,column()-column($BG10)+46,0))</f>
        <v>#N/A</v>
      </c>
      <c r="BL10" s="15" t="str">
        <f>value(vlookup($A10,IMDpivot!$A$1:$BH$11,column()-column($BG10)+46,0))</f>
        <v>#N/A</v>
      </c>
      <c r="BM10" s="15" t="str">
        <f>value(vlookup($A10,IMDpivot!$A$1:$BH$11,column()-column($BG10)+46,0))</f>
        <v>#N/A</v>
      </c>
      <c r="BN10" s="15" t="str">
        <f>value(vlookup($A10,IMDpivot!$A$1:$BH$11,column()-column($BG10)+46,0))</f>
        <v>#N/A</v>
      </c>
      <c r="BO10" s="15" t="str">
        <f>value(vlookup($A10,IMDpivot!$A$1:$BH$11,column()-column($BG10)+46,0))</f>
        <v>#N/A</v>
      </c>
      <c r="BP10" s="15" t="str">
        <f>value(vlookup($A10,IMDpivot!$A$1:$BH$11,column()-column($BG10)+46,0))</f>
        <v>#N/A</v>
      </c>
      <c r="BQ10" s="15" t="str">
        <f>value(vlookup($A10,IMDpivot!$A$1:$BH$11,column()-column($BG10)+46,0))</f>
        <v>#N/A</v>
      </c>
      <c r="BR10" s="15" t="str">
        <f>value(vlookup($A10,IMDpivot!$A$1:$BH$11,column()-column($BG10)+46,0))</f>
        <v>#N/A</v>
      </c>
      <c r="BS10" s="15" t="str">
        <f>value(vlookup($A10,IMDpivot!$A$1:$BH$11,column()-column($BG10)+46,0))</f>
        <v>#N/A</v>
      </c>
      <c r="BT10" s="15" t="str">
        <f>value(vlookup($A10,IMDpivot!$A$1:$BH$11,column()-column($BG10)+46,0))</f>
        <v>#N/A</v>
      </c>
      <c r="BU10" s="15" t="str">
        <f>value(vlookup($A10,IMDpivot!$A$1:$BH$11,column()-column($BG10)+46,0))</f>
        <v>#N/A</v>
      </c>
      <c r="BV10" s="10">
        <f>value(vlookup($A10,USNews!$A$1:$D$20,column()-column($BV10)+2,0))</f>
        <v>40</v>
      </c>
      <c r="BW10" s="11">
        <f>value(vlookup($A10,USNews!$A$1:$D$20,column()-column($BV10)+2,0))</f>
        <v>6.4</v>
      </c>
      <c r="BX10" s="11">
        <f>value(vlookup($A10,USNews!$A$1:$D$20,column()-column($BV10)+2,0))</f>
        <v>6.6</v>
      </c>
    </row>
    <row r="11">
      <c r="A11" s="2" t="s">
        <v>1291</v>
      </c>
      <c r="B11" s="2">
        <f>VLOOKUP($A11, NumbeoPivot!$A11:$J1000, column()-column($B11) + 2, FALSE)</f>
        <v>115.29</v>
      </c>
      <c r="C11" s="2">
        <f>VLOOKUP($A11, NumbeoPivot!$A11:$J1000, column()-column($B11) + 2, FALSE)</f>
        <v>59.19</v>
      </c>
      <c r="D11" s="2">
        <f>VLOOKUP($A11, NumbeoPivot!$A11:$J1000, column()-column($B11) + 2, FALSE)</f>
        <v>66.87</v>
      </c>
      <c r="E11" s="2">
        <f>VLOOKUP($A11, NumbeoPivot!$A11:$J1000, column()-column($B11) + 2, FALSE)</f>
        <v>97.08</v>
      </c>
      <c r="F11" s="2">
        <f>VLOOKUP($A11, NumbeoPivot!$A11:$J1000, column()-column($B11) + 2, FALSE)</f>
        <v>83.08</v>
      </c>
      <c r="G11" s="2">
        <f>VLOOKUP($A11, NumbeoPivot!$A11:$J1000, column()-column($B11) + 2, FALSE)</f>
        <v>8.74</v>
      </c>
      <c r="H11" s="2">
        <f>VLOOKUP($A11, NumbeoPivot!$A11:$J1000, column()-column($B11) + 2, FALSE)</f>
        <v>37.85</v>
      </c>
      <c r="I11" s="2">
        <f>VLOOKUP($A11, NumbeoPivot!$A11:$J1000, column()-column($B11) + 2, FALSE)</f>
        <v>42.2</v>
      </c>
      <c r="J11" s="2">
        <f>VLOOKUP($A11, NumbeoPivot!$A11:$J1000, column()-column($B11) + 2, FALSE)</f>
        <v>170.7</v>
      </c>
      <c r="K11" s="2" t="str">
        <f>int(vlookup(A11,IESE2014pivot!$B$1:$D$8,3,0))</f>
        <v>#N/A</v>
      </c>
      <c r="L11" s="2" t="str">
        <f>VALUE(vlookup(A11,IESE2014pivot!$B$1:$D$8,2,0))</f>
        <v>#N/A</v>
      </c>
      <c r="M11" s="2">
        <f>int(vlookup(A11,IESE2024pivot!$B$1:$D$20,3,0))</f>
        <v>47</v>
      </c>
      <c r="N11" s="2">
        <f>value(vlookup(A11,IESE2024pivot!$B$1:$D$20,2,0))</f>
        <v>59.83</v>
      </c>
      <c r="O11" s="13" t="str">
        <f>vlookup($A11,IMDpivot!$A$1:$BH$11,column()-column($O11)+2,0)</f>
        <v>#N/A</v>
      </c>
      <c r="P11" s="12" t="str">
        <f>vlookup($A11,IMDpivot!$A$1:$BH$11,column()-column($O11)+2,0)</f>
        <v>#N/A</v>
      </c>
      <c r="Q11" s="12" t="str">
        <f>vlookup($A11,IMDpivot!$A$1:$BH$11,column()-column($O11)+2,0)</f>
        <v>#N/A</v>
      </c>
      <c r="R11" s="12" t="str">
        <f>vlookup($A11,IMDpivot!$A$1:$BH$11,column()-column($O11)+2,0)</f>
        <v>#N/A</v>
      </c>
      <c r="S11" s="12" t="str">
        <f>vlookup($A11,IMDpivot!$A$1:$BH$11,column()-column($O11)+2,0)</f>
        <v>#N/A</v>
      </c>
      <c r="T11" s="14" t="str">
        <f>value(vlookup($A11,IMDpivot!$A$1:$BH$11,column()-column($O11)+2,0))</f>
        <v>#N/A</v>
      </c>
      <c r="U11" s="14" t="str">
        <f>value(vlookup($A11,IMDpivot!$A$1:$BH$11,column()-column($O11)+2,0))</f>
        <v>#N/A</v>
      </c>
      <c r="V11" s="14" t="str">
        <f>value(vlookup($A11,IMDpivot!$A$1:$BH$11,column()-column($O11)+2,0))</f>
        <v>#N/A</v>
      </c>
      <c r="W11" s="14" t="str">
        <f>value(vlookup($A11,IMDpivot!$A$1:$BH$11,column()-column($O11)+2,0))</f>
        <v>#N/A</v>
      </c>
      <c r="X11" s="14" t="str">
        <f>value(vlookup($A11,IMDpivot!$A$1:$BH$11,column()-column($O11)+2,0))</f>
        <v>#N/A</v>
      </c>
      <c r="Y11" s="14" t="str">
        <f>value(vlookup($A11,IMDpivot!$A$1:$BH$11,column()-column($O11)+2,0))</f>
        <v>#N/A</v>
      </c>
      <c r="Z11" s="14" t="str">
        <f>value(vlookup($A11,IMDpivot!$A$1:$BH$11,column()-column($O11)+2,0))</f>
        <v>#N/A</v>
      </c>
      <c r="AA11" s="14" t="str">
        <f>value(vlookup($A11,IMDpivot!$A$1:$BH$11,column()-column($O11)+2,0))</f>
        <v>#N/A</v>
      </c>
      <c r="AB11" s="14" t="str">
        <f>value(vlookup($A11,IMDpivot!$A$1:$BH$11,column()-column($O11)+2,0))</f>
        <v>#N/A</v>
      </c>
      <c r="AC11" s="14" t="str">
        <f>value(vlookup($A11,IMDpivot!$A$1:$BH$11,column()-column($O11)+2,0))</f>
        <v>#N/A</v>
      </c>
      <c r="AD11" s="14" t="str">
        <f>value(vlookup($A11,IMDpivot!$A$1:$BH$11,column()-column($O11)+2,0))</f>
        <v>#N/A</v>
      </c>
      <c r="AE11" s="14" t="str">
        <f>value(vlookup($A11,IMDpivot!$A$1:$BH$11,column()-column($O11)+2,0))</f>
        <v>#N/A</v>
      </c>
      <c r="AF11" s="14" t="str">
        <f>value(vlookup($A11,IMDpivot!$A$1:$BH$11,column()-column($O11)+2,0))</f>
        <v>#N/A</v>
      </c>
      <c r="AG11" s="14" t="str">
        <f>value(vlookup($A11,IMDpivot!$A$1:$BH$11,column()-column($O11)+2,0))</f>
        <v>#N/A</v>
      </c>
      <c r="AH11" s="14" t="str">
        <f>value(vlookup($A11,IMDpivot!$A$1:$BH$11,column()-column($O11)+2,0))</f>
        <v>#N/A</v>
      </c>
      <c r="AI11" s="14" t="str">
        <f>value(vlookup($A11,IMDpivot!$A$1:$BH$11,column()-column($O11)+2,0))</f>
        <v>#N/A</v>
      </c>
      <c r="AJ11" s="14" t="str">
        <f>value(vlookup($A11,IMDpivot!$A$1:$BH$11,column()-column($O11)+2,0))</f>
        <v>#N/A</v>
      </c>
      <c r="AK11" s="14" t="str">
        <f>value(vlookup($A11,IMDpivot!$A$1:$BH$11,column()-column($O11)+2,0))</f>
        <v>#N/A</v>
      </c>
      <c r="AL11" s="14" t="str">
        <f>value(vlookup($A11,IMDpivot!$A$1:$BH$11,column()-column($O11)+2,0))</f>
        <v>#N/A</v>
      </c>
      <c r="AM11" s="14" t="str">
        <f>value(vlookup($A11,IMDpivot!$A$1:$BH$11,column()-column($O11)+2,0))</f>
        <v>#N/A</v>
      </c>
      <c r="AN11" s="14" t="str">
        <f>value(vlookup($A11,IMDpivot!$A$1:$BH$11,column()-column($O11)+2,0))</f>
        <v>#N/A</v>
      </c>
      <c r="AO11" s="14" t="str">
        <f>value(vlookup($A11,IMDpivot!$A$1:$BH$11,column()-column($O11)+2,0))</f>
        <v>#N/A</v>
      </c>
      <c r="AP11" s="14" t="str">
        <f>value(vlookup($A11,IMDpivot!$A$1:$BH$11,column()-column($O11)+2,0))</f>
        <v>#N/A</v>
      </c>
      <c r="AQ11" s="14" t="str">
        <f>value(vlookup($A11,IMDpivot!$A$1:$BH$11,column()-column($O11)+2,0))</f>
        <v>#N/A</v>
      </c>
      <c r="AR11" s="14" t="str">
        <f>value(vlookup($A11,IMDpivot!$A$1:$BH$11,column()-column($O11)+2,0))</f>
        <v>#N/A</v>
      </c>
      <c r="AS11" s="14" t="str">
        <f>value(vlookup($A11,IMDpivot!$A$1:$BH$11,column()-column($O11)+2,0))</f>
        <v>#N/A</v>
      </c>
      <c r="AT11" s="14" t="str">
        <f>value(vlookup($A11,IMDpivot!$A$1:$BH$11,column()-column($O11)+2,0))</f>
        <v>#N/A</v>
      </c>
      <c r="AU11" s="14" t="str">
        <f>value(vlookup($A11,IMDpivot!$A$1:$BH$11,column()-column($O11)+2,0))</f>
        <v>#N/A</v>
      </c>
      <c r="AV11" s="14" t="str">
        <f>value(vlookup($A11,IMDpivot!$A$1:$BH$11,column()-column($O11)+2,0))</f>
        <v>#N/A</v>
      </c>
      <c r="AW11" s="14" t="str">
        <f>value(vlookup($A11,IMDpivot!$A$1:$BH$11,column()-column($O11)+2,0))</f>
        <v>#N/A</v>
      </c>
      <c r="AX11" s="14" t="str">
        <f>value(vlookup($A11,IMDpivot!$A$1:$BH$11,column()-column($O11)+2,0))</f>
        <v>#N/A</v>
      </c>
      <c r="AY11" s="14" t="str">
        <f>value(vlookup($A11,IMDpivot!$A$1:$BH$11,column()-column($O11)+2,0))</f>
        <v>#N/A</v>
      </c>
      <c r="AZ11" s="14" t="str">
        <f>value(vlookup($A11,IMDpivot!$A$1:$BH$11,column()-column($O11)+2,0))</f>
        <v>#N/A</v>
      </c>
      <c r="BA11" s="14" t="str">
        <f>value(vlookup($A11,IMDpivot!$A$1:$BH$11,column()-column($O11)+2,0))</f>
        <v>#N/A</v>
      </c>
      <c r="BB11" s="14" t="str">
        <f>value(vlookup($A11,IMDpivot!$A$1:$BH$11,column()-column($O11)+2,0))</f>
        <v>#N/A</v>
      </c>
      <c r="BC11" s="14" t="str">
        <f>value(vlookup($A11,IMDpivot!$A$1:$BH$11,column()-column($O11)+2,0))</f>
        <v>#N/A</v>
      </c>
      <c r="BD11" s="14" t="str">
        <f>value(vlookup($A11,IMDpivot!$A$1:$BH$11,column()-column($O11)+2,0))</f>
        <v>#N/A</v>
      </c>
      <c r="BE11" s="14" t="str">
        <f>value(vlookup($A11,IMDpivot!$A$1:$BH$11,column()-column($O11)+2,0))</f>
        <v>#N/A</v>
      </c>
      <c r="BF11" s="14" t="str">
        <f>value(vlookup($A11,IMDpivot!$A$1:$BH$11,column()-column($O11)+2,0))</f>
        <v>#N/A</v>
      </c>
      <c r="BG11" s="15" t="str">
        <f>value(vlookup($A11,IMDpivot!$A$1:$BH$11,column()-column($BG11)+46,0))</f>
        <v>#N/A</v>
      </c>
      <c r="BH11" s="15" t="str">
        <f>value(vlookup($A11,IMDpivot!$A$1:$BH$11,column()-column($BG11)+46,0))</f>
        <v>#N/A</v>
      </c>
      <c r="BI11" s="15" t="str">
        <f>value(vlookup($A11,IMDpivot!$A$1:$BH$11,column()-column($BG11)+46,0))</f>
        <v>#N/A</v>
      </c>
      <c r="BJ11" s="15" t="str">
        <f>value(vlookup($A11,IMDpivot!$A$1:$BH$11,column()-column($BG11)+46,0))</f>
        <v>#N/A</v>
      </c>
      <c r="BK11" s="15" t="str">
        <f>value(vlookup($A11,IMDpivot!$A$1:$BH$11,column()-column($BG11)+46,0))</f>
        <v>#N/A</v>
      </c>
      <c r="BL11" s="15" t="str">
        <f>value(vlookup($A11,IMDpivot!$A$1:$BH$11,column()-column($BG11)+46,0))</f>
        <v>#N/A</v>
      </c>
      <c r="BM11" s="15" t="str">
        <f>value(vlookup($A11,IMDpivot!$A$1:$BH$11,column()-column($BG11)+46,0))</f>
        <v>#N/A</v>
      </c>
      <c r="BN11" s="15" t="str">
        <f>value(vlookup($A11,IMDpivot!$A$1:$BH$11,column()-column($BG11)+46,0))</f>
        <v>#N/A</v>
      </c>
      <c r="BO11" s="15" t="str">
        <f>value(vlookup($A11,IMDpivot!$A$1:$BH$11,column()-column($BG11)+46,0))</f>
        <v>#N/A</v>
      </c>
      <c r="BP11" s="15" t="str">
        <f>value(vlookup($A11,IMDpivot!$A$1:$BH$11,column()-column($BG11)+46,0))</f>
        <v>#N/A</v>
      </c>
      <c r="BQ11" s="15" t="str">
        <f>value(vlookup($A11,IMDpivot!$A$1:$BH$11,column()-column($BG11)+46,0))</f>
        <v>#N/A</v>
      </c>
      <c r="BR11" s="15" t="str">
        <f>value(vlookup($A11,IMDpivot!$A$1:$BH$11,column()-column($BG11)+46,0))</f>
        <v>#N/A</v>
      </c>
      <c r="BS11" s="15" t="str">
        <f>value(vlookup($A11,IMDpivot!$A$1:$BH$11,column()-column($BG11)+46,0))</f>
        <v>#N/A</v>
      </c>
      <c r="BT11" s="15" t="str">
        <f>value(vlookup($A11,IMDpivot!$A$1:$BH$11,column()-column($BG11)+46,0))</f>
        <v>#N/A</v>
      </c>
      <c r="BU11" s="15" t="str">
        <f>value(vlookup($A11,IMDpivot!$A$1:$BH$11,column()-column($BG11)+46,0))</f>
        <v>#N/A</v>
      </c>
      <c r="BV11" s="10">
        <f>value(vlookup($A11,USNews!$A$1:$D$20,column()-column($BV11)+2,0))</f>
        <v>93</v>
      </c>
      <c r="BW11" s="11">
        <f>value(vlookup($A11,USNews!$A$1:$D$20,column()-column($BV11)+2,0))</f>
        <v>6.2</v>
      </c>
      <c r="BX11" s="11">
        <f>value(vlookup($A11,USNews!$A$1:$D$20,column()-column($BV11)+2,0))</f>
        <v>6.7</v>
      </c>
    </row>
    <row r="12">
      <c r="A12" s="2" t="s">
        <v>1292</v>
      </c>
      <c r="B12" s="2">
        <f>VLOOKUP($A12, NumbeoPivot!$A12:$J1000, column()-column($B12) + 2, FALSE)</f>
        <v>146.36</v>
      </c>
      <c r="C12" s="2">
        <f>VLOOKUP($A12, NumbeoPivot!$A12:$J1000, column()-column($B12) + 2, FALSE)</f>
        <v>36.51</v>
      </c>
      <c r="D12" s="2">
        <f>VLOOKUP($A12, NumbeoPivot!$A12:$J1000, column()-column($B12) + 2, FALSE)</f>
        <v>68.43</v>
      </c>
      <c r="E12" s="2">
        <f>VLOOKUP($A12, NumbeoPivot!$A12:$J1000, column()-column($B12) + 2, FALSE)</f>
        <v>85.53</v>
      </c>
      <c r="F12" s="2">
        <f>VLOOKUP($A12, NumbeoPivot!$A12:$J1000, column()-column($B12) + 2, FALSE)</f>
        <v>67.11</v>
      </c>
      <c r="G12" s="2">
        <f>VLOOKUP($A12, NumbeoPivot!$A12:$J1000, column()-column($B12) + 2, FALSE)</f>
        <v>4.2</v>
      </c>
      <c r="H12" s="2">
        <f>VLOOKUP($A12, NumbeoPivot!$A12:$J1000, column()-column($B12) + 2, FALSE)</f>
        <v>42.49</v>
      </c>
      <c r="I12" s="2">
        <f>VLOOKUP($A12, NumbeoPivot!$A12:$J1000, column()-column($B12) + 2, FALSE)</f>
        <v>56.82</v>
      </c>
      <c r="J12" s="2">
        <f>VLOOKUP($A12, NumbeoPivot!$A12:$J1000, column()-column($B12) + 2, FALSE)</f>
        <v>162.65</v>
      </c>
      <c r="K12" s="2">
        <f>int(vlookup(A12,IESE2014pivot!$B$1:$D$8,3,0))</f>
        <v>25</v>
      </c>
      <c r="L12" s="2">
        <f>VALUE(vlookup(A12,IESE2014pivot!$B$1:$D$8,2,0))</f>
        <v>58.81</v>
      </c>
      <c r="M12" s="2">
        <f>int(vlookup(A12,IESE2024pivot!$B$1:$D$20,3,0))</f>
        <v>48</v>
      </c>
      <c r="N12" s="2">
        <f>value(vlookup(A12,IESE2024pivot!$B$1:$D$20,2,0))</f>
        <v>59.73</v>
      </c>
      <c r="O12" s="13" t="str">
        <f>vlookup($A12,IMDpivot!$A$1:$BH$11,column()-column($O12)+2,0)</f>
        <v>#N/A</v>
      </c>
      <c r="P12" s="12" t="str">
        <f>vlookup($A12,IMDpivot!$A$1:$BH$11,column()-column($O12)+2,0)</f>
        <v>#N/A</v>
      </c>
      <c r="Q12" s="12" t="str">
        <f>vlookup($A12,IMDpivot!$A$1:$BH$11,column()-column($O12)+2,0)</f>
        <v>#N/A</v>
      </c>
      <c r="R12" s="12" t="str">
        <f>vlookup($A12,IMDpivot!$A$1:$BH$11,column()-column($O12)+2,0)</f>
        <v>#N/A</v>
      </c>
      <c r="S12" s="12" t="str">
        <f>vlookup($A12,IMDpivot!$A$1:$BH$11,column()-column($O12)+2,0)</f>
        <v>#N/A</v>
      </c>
      <c r="T12" s="14" t="str">
        <f>value(vlookup($A12,IMDpivot!$A$1:$BH$11,column()-column($O12)+2,0))</f>
        <v>#N/A</v>
      </c>
      <c r="U12" s="14" t="str">
        <f>value(vlookup($A12,IMDpivot!$A$1:$BH$11,column()-column($O12)+2,0))</f>
        <v>#N/A</v>
      </c>
      <c r="V12" s="14" t="str">
        <f>value(vlookup($A12,IMDpivot!$A$1:$BH$11,column()-column($O12)+2,0))</f>
        <v>#N/A</v>
      </c>
      <c r="W12" s="14" t="str">
        <f>value(vlookup($A12,IMDpivot!$A$1:$BH$11,column()-column($O12)+2,0))</f>
        <v>#N/A</v>
      </c>
      <c r="X12" s="14" t="str">
        <f>value(vlookup($A12,IMDpivot!$A$1:$BH$11,column()-column($O12)+2,0))</f>
        <v>#N/A</v>
      </c>
      <c r="Y12" s="14" t="str">
        <f>value(vlookup($A12,IMDpivot!$A$1:$BH$11,column()-column($O12)+2,0))</f>
        <v>#N/A</v>
      </c>
      <c r="Z12" s="14" t="str">
        <f>value(vlookup($A12,IMDpivot!$A$1:$BH$11,column()-column($O12)+2,0))</f>
        <v>#N/A</v>
      </c>
      <c r="AA12" s="14" t="str">
        <f>value(vlookup($A12,IMDpivot!$A$1:$BH$11,column()-column($O12)+2,0))</f>
        <v>#N/A</v>
      </c>
      <c r="AB12" s="14" t="str">
        <f>value(vlookup($A12,IMDpivot!$A$1:$BH$11,column()-column($O12)+2,0))</f>
        <v>#N/A</v>
      </c>
      <c r="AC12" s="14" t="str">
        <f>value(vlookup($A12,IMDpivot!$A$1:$BH$11,column()-column($O12)+2,0))</f>
        <v>#N/A</v>
      </c>
      <c r="AD12" s="14" t="str">
        <f>value(vlookup($A12,IMDpivot!$A$1:$BH$11,column()-column($O12)+2,0))</f>
        <v>#N/A</v>
      </c>
      <c r="AE12" s="14" t="str">
        <f>value(vlookup($A12,IMDpivot!$A$1:$BH$11,column()-column($O12)+2,0))</f>
        <v>#N/A</v>
      </c>
      <c r="AF12" s="14" t="str">
        <f>value(vlookup($A12,IMDpivot!$A$1:$BH$11,column()-column($O12)+2,0))</f>
        <v>#N/A</v>
      </c>
      <c r="AG12" s="14" t="str">
        <f>value(vlookup($A12,IMDpivot!$A$1:$BH$11,column()-column($O12)+2,0))</f>
        <v>#N/A</v>
      </c>
      <c r="AH12" s="14" t="str">
        <f>value(vlookup($A12,IMDpivot!$A$1:$BH$11,column()-column($O12)+2,0))</f>
        <v>#N/A</v>
      </c>
      <c r="AI12" s="14" t="str">
        <f>value(vlookup($A12,IMDpivot!$A$1:$BH$11,column()-column($O12)+2,0))</f>
        <v>#N/A</v>
      </c>
      <c r="AJ12" s="14" t="str">
        <f>value(vlookup($A12,IMDpivot!$A$1:$BH$11,column()-column($O12)+2,0))</f>
        <v>#N/A</v>
      </c>
      <c r="AK12" s="14" t="str">
        <f>value(vlookup($A12,IMDpivot!$A$1:$BH$11,column()-column($O12)+2,0))</f>
        <v>#N/A</v>
      </c>
      <c r="AL12" s="14" t="str">
        <f>value(vlookup($A12,IMDpivot!$A$1:$BH$11,column()-column($O12)+2,0))</f>
        <v>#N/A</v>
      </c>
      <c r="AM12" s="14" t="str">
        <f>value(vlookup($A12,IMDpivot!$A$1:$BH$11,column()-column($O12)+2,0))</f>
        <v>#N/A</v>
      </c>
      <c r="AN12" s="14" t="str">
        <f>value(vlookup($A12,IMDpivot!$A$1:$BH$11,column()-column($O12)+2,0))</f>
        <v>#N/A</v>
      </c>
      <c r="AO12" s="14" t="str">
        <f>value(vlookup($A12,IMDpivot!$A$1:$BH$11,column()-column($O12)+2,0))</f>
        <v>#N/A</v>
      </c>
      <c r="AP12" s="14" t="str">
        <f>value(vlookup($A12,IMDpivot!$A$1:$BH$11,column()-column($O12)+2,0))</f>
        <v>#N/A</v>
      </c>
      <c r="AQ12" s="14" t="str">
        <f>value(vlookup($A12,IMDpivot!$A$1:$BH$11,column()-column($O12)+2,0))</f>
        <v>#N/A</v>
      </c>
      <c r="AR12" s="14" t="str">
        <f>value(vlookup($A12,IMDpivot!$A$1:$BH$11,column()-column($O12)+2,0))</f>
        <v>#N/A</v>
      </c>
      <c r="AS12" s="14" t="str">
        <f>value(vlookup($A12,IMDpivot!$A$1:$BH$11,column()-column($O12)+2,0))</f>
        <v>#N/A</v>
      </c>
      <c r="AT12" s="14" t="str">
        <f>value(vlookup($A12,IMDpivot!$A$1:$BH$11,column()-column($O12)+2,0))</f>
        <v>#N/A</v>
      </c>
      <c r="AU12" s="14" t="str">
        <f>value(vlookup($A12,IMDpivot!$A$1:$BH$11,column()-column($O12)+2,0))</f>
        <v>#N/A</v>
      </c>
      <c r="AV12" s="14" t="str">
        <f>value(vlookup($A12,IMDpivot!$A$1:$BH$11,column()-column($O12)+2,0))</f>
        <v>#N/A</v>
      </c>
      <c r="AW12" s="14" t="str">
        <f>value(vlookup($A12,IMDpivot!$A$1:$BH$11,column()-column($O12)+2,0))</f>
        <v>#N/A</v>
      </c>
      <c r="AX12" s="14" t="str">
        <f>value(vlookup($A12,IMDpivot!$A$1:$BH$11,column()-column($O12)+2,0))</f>
        <v>#N/A</v>
      </c>
      <c r="AY12" s="14" t="str">
        <f>value(vlookup($A12,IMDpivot!$A$1:$BH$11,column()-column($O12)+2,0))</f>
        <v>#N/A</v>
      </c>
      <c r="AZ12" s="14" t="str">
        <f>value(vlookup($A12,IMDpivot!$A$1:$BH$11,column()-column($O12)+2,0))</f>
        <v>#N/A</v>
      </c>
      <c r="BA12" s="14" t="str">
        <f>value(vlookup($A12,IMDpivot!$A$1:$BH$11,column()-column($O12)+2,0))</f>
        <v>#N/A</v>
      </c>
      <c r="BB12" s="14" t="str">
        <f>value(vlookup($A12,IMDpivot!$A$1:$BH$11,column()-column($O12)+2,0))</f>
        <v>#N/A</v>
      </c>
      <c r="BC12" s="14" t="str">
        <f>value(vlookup($A12,IMDpivot!$A$1:$BH$11,column()-column($O12)+2,0))</f>
        <v>#N/A</v>
      </c>
      <c r="BD12" s="14" t="str">
        <f>value(vlookup($A12,IMDpivot!$A$1:$BH$11,column()-column($O12)+2,0))</f>
        <v>#N/A</v>
      </c>
      <c r="BE12" s="14" t="str">
        <f>value(vlookup($A12,IMDpivot!$A$1:$BH$11,column()-column($O12)+2,0))</f>
        <v>#N/A</v>
      </c>
      <c r="BF12" s="14" t="str">
        <f>value(vlookup($A12,IMDpivot!$A$1:$BH$11,column()-column($O12)+2,0))</f>
        <v>#N/A</v>
      </c>
      <c r="BG12" s="15" t="str">
        <f>value(vlookup($A12,IMDpivot!$A$1:$BH$11,column()-column($BG12)+46,0))</f>
        <v>#N/A</v>
      </c>
      <c r="BH12" s="15" t="str">
        <f>value(vlookup($A12,IMDpivot!$A$1:$BH$11,column()-column($BG12)+46,0))</f>
        <v>#N/A</v>
      </c>
      <c r="BI12" s="15" t="str">
        <f>value(vlookup($A12,IMDpivot!$A$1:$BH$11,column()-column($BG12)+46,0))</f>
        <v>#N/A</v>
      </c>
      <c r="BJ12" s="15" t="str">
        <f>value(vlookup($A12,IMDpivot!$A$1:$BH$11,column()-column($BG12)+46,0))</f>
        <v>#N/A</v>
      </c>
      <c r="BK12" s="15" t="str">
        <f>value(vlookup($A12,IMDpivot!$A$1:$BH$11,column()-column($BG12)+46,0))</f>
        <v>#N/A</v>
      </c>
      <c r="BL12" s="15" t="str">
        <f>value(vlookup($A12,IMDpivot!$A$1:$BH$11,column()-column($BG12)+46,0))</f>
        <v>#N/A</v>
      </c>
      <c r="BM12" s="15" t="str">
        <f>value(vlookup($A12,IMDpivot!$A$1:$BH$11,column()-column($BG12)+46,0))</f>
        <v>#N/A</v>
      </c>
      <c r="BN12" s="15" t="str">
        <f>value(vlookup($A12,IMDpivot!$A$1:$BH$11,column()-column($BG12)+46,0))</f>
        <v>#N/A</v>
      </c>
      <c r="BO12" s="15" t="str">
        <f>value(vlookup($A12,IMDpivot!$A$1:$BH$11,column()-column($BG12)+46,0))</f>
        <v>#N/A</v>
      </c>
      <c r="BP12" s="15" t="str">
        <f>value(vlookup($A12,IMDpivot!$A$1:$BH$11,column()-column($BG12)+46,0))</f>
        <v>#N/A</v>
      </c>
      <c r="BQ12" s="15" t="str">
        <f>value(vlookup($A12,IMDpivot!$A$1:$BH$11,column()-column($BG12)+46,0))</f>
        <v>#N/A</v>
      </c>
      <c r="BR12" s="15" t="str">
        <f>value(vlookup($A12,IMDpivot!$A$1:$BH$11,column()-column($BG12)+46,0))</f>
        <v>#N/A</v>
      </c>
      <c r="BS12" s="15" t="str">
        <f>value(vlookup($A12,IMDpivot!$A$1:$BH$11,column()-column($BG12)+46,0))</f>
        <v>#N/A</v>
      </c>
      <c r="BT12" s="15" t="str">
        <f>value(vlookup($A12,IMDpivot!$A$1:$BH$11,column()-column($BG12)+46,0))</f>
        <v>#N/A</v>
      </c>
      <c r="BU12" s="15" t="str">
        <f>value(vlookup($A12,IMDpivot!$A$1:$BH$11,column()-column($BG12)+46,0))</f>
        <v>#N/A</v>
      </c>
      <c r="BV12" s="10">
        <f>value(vlookup($A12,USNews!$A$1:$D$20,column()-column($BV12)+2,0))</f>
        <v>140</v>
      </c>
      <c r="BW12" s="11">
        <f>value(vlookup($A12,USNews!$A$1:$D$20,column()-column($BV12)+2,0))</f>
        <v>5.6</v>
      </c>
      <c r="BX12" s="11">
        <f>value(vlookup($A12,USNews!$A$1:$D$20,column()-column($BV12)+2,0))</f>
        <v>5</v>
      </c>
    </row>
    <row r="13">
      <c r="A13" s="2" t="s">
        <v>1293</v>
      </c>
      <c r="B13" s="2">
        <f>VLOOKUP($A13, NumbeoPivot!$A13:$J1000, column()-column($B13) + 2, FALSE)</f>
        <v>97.17</v>
      </c>
      <c r="C13" s="2">
        <f>VLOOKUP($A13, NumbeoPivot!$A13:$J1000, column()-column($B13) + 2, FALSE)</f>
        <v>46.69</v>
      </c>
      <c r="D13" s="2">
        <f>VLOOKUP($A13, NumbeoPivot!$A13:$J1000, column()-column($B13) + 2, FALSE)</f>
        <v>62.78</v>
      </c>
      <c r="E13" s="2">
        <f>VLOOKUP($A13, NumbeoPivot!$A13:$J1000, column()-column($B13) + 2, FALSE)</f>
        <v>85.69</v>
      </c>
      <c r="F13" s="2">
        <f>VLOOKUP($A13, NumbeoPivot!$A13:$J1000, column()-column($B13) + 2, FALSE)</f>
        <v>76.17</v>
      </c>
      <c r="G13" s="2">
        <f>VLOOKUP($A13, NumbeoPivot!$A13:$J1000, column()-column($B13) + 2, FALSE)</f>
        <v>5.8</v>
      </c>
      <c r="H13" s="2">
        <f>VLOOKUP($A13, NumbeoPivot!$A13:$J1000, column()-column($B13) + 2, FALSE)</f>
        <v>42.91</v>
      </c>
      <c r="I13" s="2">
        <f>VLOOKUP($A13, NumbeoPivot!$A13:$J1000, column()-column($B13) + 2, FALSE)</f>
        <v>40.69</v>
      </c>
      <c r="J13" s="2">
        <f>VLOOKUP($A13, NumbeoPivot!$A13:$J1000, column()-column($B13) + 2, FALSE)</f>
        <v>153.89</v>
      </c>
      <c r="K13" s="2" t="str">
        <f>int(vlookup(A13,IESE2014pivot!$B$1:$D$8,3,0))</f>
        <v>#N/A</v>
      </c>
      <c r="L13" s="2" t="str">
        <f>VALUE(vlookup(A13,IESE2014pivot!$B$1:$D$8,2,0))</f>
        <v>#N/A</v>
      </c>
      <c r="M13" s="2">
        <f>int(vlookup(A13,IESE2024pivot!$B$1:$D$20,3,0))</f>
        <v>49</v>
      </c>
      <c r="N13" s="2">
        <f>value(vlookup(A13,IESE2024pivot!$B$1:$D$20,2,0))</f>
        <v>59.46</v>
      </c>
      <c r="O13" s="13" t="str">
        <f>vlookup($A13,IMDpivot!$A$1:$BH$11,column()-column($O13)+2,0)</f>
        <v>#N/A</v>
      </c>
      <c r="P13" s="12" t="str">
        <f>vlookup($A13,IMDpivot!$A$1:$BH$11,column()-column($O13)+2,0)</f>
        <v>#N/A</v>
      </c>
      <c r="Q13" s="12" t="str">
        <f>vlookup($A13,IMDpivot!$A$1:$BH$11,column()-column($O13)+2,0)</f>
        <v>#N/A</v>
      </c>
      <c r="R13" s="12" t="str">
        <f>vlookup($A13,IMDpivot!$A$1:$BH$11,column()-column($O13)+2,0)</f>
        <v>#N/A</v>
      </c>
      <c r="S13" s="12" t="str">
        <f>vlookup($A13,IMDpivot!$A$1:$BH$11,column()-column($O13)+2,0)</f>
        <v>#N/A</v>
      </c>
      <c r="T13" s="14" t="str">
        <f>value(vlookup($A13,IMDpivot!$A$1:$BH$11,column()-column($O13)+2,0))</f>
        <v>#N/A</v>
      </c>
      <c r="U13" s="14" t="str">
        <f>value(vlookup($A13,IMDpivot!$A$1:$BH$11,column()-column($O13)+2,0))</f>
        <v>#N/A</v>
      </c>
      <c r="V13" s="14" t="str">
        <f>value(vlookup($A13,IMDpivot!$A$1:$BH$11,column()-column($O13)+2,0))</f>
        <v>#N/A</v>
      </c>
      <c r="W13" s="14" t="str">
        <f>value(vlookup($A13,IMDpivot!$A$1:$BH$11,column()-column($O13)+2,0))</f>
        <v>#N/A</v>
      </c>
      <c r="X13" s="14" t="str">
        <f>value(vlookup($A13,IMDpivot!$A$1:$BH$11,column()-column($O13)+2,0))</f>
        <v>#N/A</v>
      </c>
      <c r="Y13" s="14" t="str">
        <f>value(vlookup($A13,IMDpivot!$A$1:$BH$11,column()-column($O13)+2,0))</f>
        <v>#N/A</v>
      </c>
      <c r="Z13" s="14" t="str">
        <f>value(vlookup($A13,IMDpivot!$A$1:$BH$11,column()-column($O13)+2,0))</f>
        <v>#N/A</v>
      </c>
      <c r="AA13" s="14" t="str">
        <f>value(vlookup($A13,IMDpivot!$A$1:$BH$11,column()-column($O13)+2,0))</f>
        <v>#N/A</v>
      </c>
      <c r="AB13" s="14" t="str">
        <f>value(vlookup($A13,IMDpivot!$A$1:$BH$11,column()-column($O13)+2,0))</f>
        <v>#N/A</v>
      </c>
      <c r="AC13" s="14" t="str">
        <f>value(vlookup($A13,IMDpivot!$A$1:$BH$11,column()-column($O13)+2,0))</f>
        <v>#N/A</v>
      </c>
      <c r="AD13" s="14" t="str">
        <f>value(vlookup($A13,IMDpivot!$A$1:$BH$11,column()-column($O13)+2,0))</f>
        <v>#N/A</v>
      </c>
      <c r="AE13" s="14" t="str">
        <f>value(vlookup($A13,IMDpivot!$A$1:$BH$11,column()-column($O13)+2,0))</f>
        <v>#N/A</v>
      </c>
      <c r="AF13" s="14" t="str">
        <f>value(vlookup($A13,IMDpivot!$A$1:$BH$11,column()-column($O13)+2,0))</f>
        <v>#N/A</v>
      </c>
      <c r="AG13" s="14" t="str">
        <f>value(vlookup($A13,IMDpivot!$A$1:$BH$11,column()-column($O13)+2,0))</f>
        <v>#N/A</v>
      </c>
      <c r="AH13" s="14" t="str">
        <f>value(vlookup($A13,IMDpivot!$A$1:$BH$11,column()-column($O13)+2,0))</f>
        <v>#N/A</v>
      </c>
      <c r="AI13" s="14" t="str">
        <f>value(vlookup($A13,IMDpivot!$A$1:$BH$11,column()-column($O13)+2,0))</f>
        <v>#N/A</v>
      </c>
      <c r="AJ13" s="14" t="str">
        <f>value(vlookup($A13,IMDpivot!$A$1:$BH$11,column()-column($O13)+2,0))</f>
        <v>#N/A</v>
      </c>
      <c r="AK13" s="14" t="str">
        <f>value(vlookup($A13,IMDpivot!$A$1:$BH$11,column()-column($O13)+2,0))</f>
        <v>#N/A</v>
      </c>
      <c r="AL13" s="14" t="str">
        <f>value(vlookup($A13,IMDpivot!$A$1:$BH$11,column()-column($O13)+2,0))</f>
        <v>#N/A</v>
      </c>
      <c r="AM13" s="14" t="str">
        <f>value(vlookup($A13,IMDpivot!$A$1:$BH$11,column()-column($O13)+2,0))</f>
        <v>#N/A</v>
      </c>
      <c r="AN13" s="14" t="str">
        <f>value(vlookup($A13,IMDpivot!$A$1:$BH$11,column()-column($O13)+2,0))</f>
        <v>#N/A</v>
      </c>
      <c r="AO13" s="14" t="str">
        <f>value(vlookup($A13,IMDpivot!$A$1:$BH$11,column()-column($O13)+2,0))</f>
        <v>#N/A</v>
      </c>
      <c r="AP13" s="14" t="str">
        <f>value(vlookup($A13,IMDpivot!$A$1:$BH$11,column()-column($O13)+2,0))</f>
        <v>#N/A</v>
      </c>
      <c r="AQ13" s="14" t="str">
        <f>value(vlookup($A13,IMDpivot!$A$1:$BH$11,column()-column($O13)+2,0))</f>
        <v>#N/A</v>
      </c>
      <c r="AR13" s="14" t="str">
        <f>value(vlookup($A13,IMDpivot!$A$1:$BH$11,column()-column($O13)+2,0))</f>
        <v>#N/A</v>
      </c>
      <c r="AS13" s="14" t="str">
        <f>value(vlookup($A13,IMDpivot!$A$1:$BH$11,column()-column($O13)+2,0))</f>
        <v>#N/A</v>
      </c>
      <c r="AT13" s="14" t="str">
        <f>value(vlookup($A13,IMDpivot!$A$1:$BH$11,column()-column($O13)+2,0))</f>
        <v>#N/A</v>
      </c>
      <c r="AU13" s="14" t="str">
        <f>value(vlookup($A13,IMDpivot!$A$1:$BH$11,column()-column($O13)+2,0))</f>
        <v>#N/A</v>
      </c>
      <c r="AV13" s="14" t="str">
        <f>value(vlookup($A13,IMDpivot!$A$1:$BH$11,column()-column($O13)+2,0))</f>
        <v>#N/A</v>
      </c>
      <c r="AW13" s="14" t="str">
        <f>value(vlookup($A13,IMDpivot!$A$1:$BH$11,column()-column($O13)+2,0))</f>
        <v>#N/A</v>
      </c>
      <c r="AX13" s="14" t="str">
        <f>value(vlookup($A13,IMDpivot!$A$1:$BH$11,column()-column($O13)+2,0))</f>
        <v>#N/A</v>
      </c>
      <c r="AY13" s="14" t="str">
        <f>value(vlookup($A13,IMDpivot!$A$1:$BH$11,column()-column($O13)+2,0))</f>
        <v>#N/A</v>
      </c>
      <c r="AZ13" s="14" t="str">
        <f>value(vlookup($A13,IMDpivot!$A$1:$BH$11,column()-column($O13)+2,0))</f>
        <v>#N/A</v>
      </c>
      <c r="BA13" s="14" t="str">
        <f>value(vlookup($A13,IMDpivot!$A$1:$BH$11,column()-column($O13)+2,0))</f>
        <v>#N/A</v>
      </c>
      <c r="BB13" s="14" t="str">
        <f>value(vlookup($A13,IMDpivot!$A$1:$BH$11,column()-column($O13)+2,0))</f>
        <v>#N/A</v>
      </c>
      <c r="BC13" s="14" t="str">
        <f>value(vlookup($A13,IMDpivot!$A$1:$BH$11,column()-column($O13)+2,0))</f>
        <v>#N/A</v>
      </c>
      <c r="BD13" s="14" t="str">
        <f>value(vlookup($A13,IMDpivot!$A$1:$BH$11,column()-column($O13)+2,0))</f>
        <v>#N/A</v>
      </c>
      <c r="BE13" s="14" t="str">
        <f>value(vlookup($A13,IMDpivot!$A$1:$BH$11,column()-column($O13)+2,0))</f>
        <v>#N/A</v>
      </c>
      <c r="BF13" s="14" t="str">
        <f>value(vlookup($A13,IMDpivot!$A$1:$BH$11,column()-column($O13)+2,0))</f>
        <v>#N/A</v>
      </c>
      <c r="BG13" s="15" t="str">
        <f>value(vlookup($A13,IMDpivot!$A$1:$BH$11,column()-column($BG13)+46,0))</f>
        <v>#N/A</v>
      </c>
      <c r="BH13" s="15" t="str">
        <f>value(vlookup($A13,IMDpivot!$A$1:$BH$11,column()-column($BG13)+46,0))</f>
        <v>#N/A</v>
      </c>
      <c r="BI13" s="15" t="str">
        <f>value(vlookup($A13,IMDpivot!$A$1:$BH$11,column()-column($BG13)+46,0))</f>
        <v>#N/A</v>
      </c>
      <c r="BJ13" s="15" t="str">
        <f>value(vlookup($A13,IMDpivot!$A$1:$BH$11,column()-column($BG13)+46,0))</f>
        <v>#N/A</v>
      </c>
      <c r="BK13" s="15" t="str">
        <f>value(vlookup($A13,IMDpivot!$A$1:$BH$11,column()-column($BG13)+46,0))</f>
        <v>#N/A</v>
      </c>
      <c r="BL13" s="15" t="str">
        <f>value(vlookup($A13,IMDpivot!$A$1:$BH$11,column()-column($BG13)+46,0))</f>
        <v>#N/A</v>
      </c>
      <c r="BM13" s="15" t="str">
        <f>value(vlookup($A13,IMDpivot!$A$1:$BH$11,column()-column($BG13)+46,0))</f>
        <v>#N/A</v>
      </c>
      <c r="BN13" s="15" t="str">
        <f>value(vlookup($A13,IMDpivot!$A$1:$BH$11,column()-column($BG13)+46,0))</f>
        <v>#N/A</v>
      </c>
      <c r="BO13" s="15" t="str">
        <f>value(vlookup($A13,IMDpivot!$A$1:$BH$11,column()-column($BG13)+46,0))</f>
        <v>#N/A</v>
      </c>
      <c r="BP13" s="15" t="str">
        <f>value(vlookup($A13,IMDpivot!$A$1:$BH$11,column()-column($BG13)+46,0))</f>
        <v>#N/A</v>
      </c>
      <c r="BQ13" s="15" t="str">
        <f>value(vlookup($A13,IMDpivot!$A$1:$BH$11,column()-column($BG13)+46,0))</f>
        <v>#N/A</v>
      </c>
      <c r="BR13" s="15" t="str">
        <f>value(vlookup($A13,IMDpivot!$A$1:$BH$11,column()-column($BG13)+46,0))</f>
        <v>#N/A</v>
      </c>
      <c r="BS13" s="15" t="str">
        <f>value(vlookup($A13,IMDpivot!$A$1:$BH$11,column()-column($BG13)+46,0))</f>
        <v>#N/A</v>
      </c>
      <c r="BT13" s="15" t="str">
        <f>value(vlookup($A13,IMDpivot!$A$1:$BH$11,column()-column($BG13)+46,0))</f>
        <v>#N/A</v>
      </c>
      <c r="BU13" s="15" t="str">
        <f>value(vlookup($A13,IMDpivot!$A$1:$BH$11,column()-column($BG13)+46,0))</f>
        <v>#N/A</v>
      </c>
      <c r="BV13" s="10">
        <f>value(vlookup($A13,USNews!$A$1:$D$20,column()-column($BV13)+2,0))</f>
        <v>138</v>
      </c>
      <c r="BW13" s="11">
        <f>value(vlookup($A13,USNews!$A$1:$D$20,column()-column($BV13)+2,0))</f>
        <v>5.6</v>
      </c>
      <c r="BX13" s="11">
        <f>value(vlookup($A13,USNews!$A$1:$D$20,column()-column($BV13)+2,0))</f>
        <v>6.2</v>
      </c>
    </row>
    <row r="14">
      <c r="A14" s="2" t="s">
        <v>633</v>
      </c>
      <c r="B14" s="2">
        <f>VLOOKUP($A14, NumbeoPivot!$A14:$J1000, column()-column($B14) + 2, FALSE)</f>
        <v>126.78</v>
      </c>
      <c r="C14" s="2">
        <f>VLOOKUP($A14, NumbeoPivot!$A14:$J1000, column()-column($B14) + 2, FALSE)</f>
        <v>53.11</v>
      </c>
      <c r="D14" s="2">
        <f>VLOOKUP($A14, NumbeoPivot!$A14:$J1000, column()-column($B14) + 2, FALSE)</f>
        <v>69.25</v>
      </c>
      <c r="E14" s="2">
        <f>VLOOKUP($A14, NumbeoPivot!$A14:$J1000, column()-column($B14) + 2, FALSE)</f>
        <v>56.28</v>
      </c>
      <c r="F14" s="2">
        <f>VLOOKUP($A14, NumbeoPivot!$A14:$J1000, column()-column($B14) + 2, FALSE)</f>
        <v>79.07</v>
      </c>
      <c r="G14" s="2">
        <f>VLOOKUP($A14, NumbeoPivot!$A14:$J1000, column()-column($B14) + 2, FALSE)</f>
        <v>4.1</v>
      </c>
      <c r="H14" s="2">
        <f>VLOOKUP($A14, NumbeoPivot!$A14:$J1000, column()-column($B14) + 2, FALSE)</f>
        <v>36.62</v>
      </c>
      <c r="I14" s="2">
        <f>VLOOKUP($A14, NumbeoPivot!$A14:$J1000, column()-column($B14) + 2, FALSE)</f>
        <v>44.83</v>
      </c>
      <c r="J14" s="2">
        <f>VLOOKUP($A14, NumbeoPivot!$A14:$J1000, column()-column($B14) + 2, FALSE)</f>
        <v>163.53</v>
      </c>
      <c r="K14" s="2" t="str">
        <f>int(vlookup(A14,IESE2014pivot!$B$1:$D$8,3,0))</f>
        <v>#N/A</v>
      </c>
      <c r="L14" s="2" t="str">
        <f>VALUE(vlookup(A14,IESE2014pivot!$B$1:$D$8,2,0))</f>
        <v>#N/A</v>
      </c>
      <c r="M14" s="2">
        <f>int(vlookup(A14,IESE2024pivot!$B$1:$D$20,3,0))</f>
        <v>51</v>
      </c>
      <c r="N14" s="2">
        <f>value(vlookup(A14,IESE2024pivot!$B$1:$D$20,2,0))</f>
        <v>59.16</v>
      </c>
      <c r="O14" s="13">
        <f>vlookup($A14,IMDpivot!$A$1:$BH$11,column()-column($O14)+2,0)</f>
        <v>0.942</v>
      </c>
      <c r="P14" s="12">
        <f>vlookup($A14,IMDpivot!$A$1:$BH$11,column()-column($O14)+2,0)</f>
        <v>27</v>
      </c>
      <c r="Q14" s="12">
        <f>vlookup($A14,IMDpivot!$A$1:$BH$11,column()-column($O14)+2,0)</f>
        <v>31</v>
      </c>
      <c r="R14" s="12">
        <f>vlookup($A14,IMDpivot!$A$1:$BH$11,column()-column($O14)+2,0)</f>
        <v>34</v>
      </c>
      <c r="S14" s="12">
        <f>vlookup($A14,IMDpivot!$A$1:$BH$11,column()-column($O14)+2,0)</f>
        <v>53</v>
      </c>
      <c r="T14" s="14">
        <f>value(vlookup($A14,IMDpivot!$A$1:$BH$11,column()-column($O14)+2,0))</f>
        <v>49.6</v>
      </c>
      <c r="U14" s="14">
        <f>value(vlookup($A14,IMDpivot!$A$1:$BH$11,column()-column($O14)+2,0))</f>
        <v>62</v>
      </c>
      <c r="V14" s="14">
        <f>value(vlookup($A14,IMDpivot!$A$1:$BH$11,column()-column($O14)+2,0))</f>
        <v>36.1</v>
      </c>
      <c r="W14" s="14">
        <f>value(vlookup($A14,IMDpivot!$A$1:$BH$11,column()-column($O14)+2,0))</f>
        <v>30.2</v>
      </c>
      <c r="X14" s="14">
        <f>value(vlookup($A14,IMDpivot!$A$1:$BH$11,column()-column($O14)+2,0))</f>
        <v>61.7</v>
      </c>
      <c r="Y14" s="14">
        <f>value(vlookup($A14,IMDpivot!$A$1:$BH$11,column()-column($O14)+2,0))</f>
        <v>17.2</v>
      </c>
      <c r="Z14" s="14">
        <f>value(vlookup($A14,IMDpivot!$A$1:$BH$11,column()-column($O14)+2,0))</f>
        <v>20.8</v>
      </c>
      <c r="AA14" s="14">
        <f>value(vlookup($A14,IMDpivot!$A$1:$BH$11,column()-column($O14)+2,0))</f>
        <v>49.1</v>
      </c>
      <c r="AB14" s="14">
        <f>value(vlookup($A14,IMDpivot!$A$1:$BH$11,column()-column($O14)+2,0))</f>
        <v>66.8</v>
      </c>
      <c r="AC14" s="14">
        <f>value(vlookup($A14,IMDpivot!$A$1:$BH$11,column()-column($O14)+2,0))</f>
        <v>78.9</v>
      </c>
      <c r="AD14" s="14">
        <f>value(vlookup($A14,IMDpivot!$A$1:$BH$11,column()-column($O14)+2,0))</f>
        <v>69</v>
      </c>
      <c r="AE14" s="14">
        <f>value(vlookup($A14,IMDpivot!$A$1:$BH$11,column()-column($O14)+2,0))</f>
        <v>57.8</v>
      </c>
      <c r="AF14" s="14">
        <f>value(vlookup($A14,IMDpivot!$A$1:$BH$11,column()-column($O14)+2,0))</f>
        <v>61.8</v>
      </c>
      <c r="AG14" s="14">
        <f>value(vlookup($A14,IMDpivot!$A$1:$BH$11,column()-column($O14)+2,0))</f>
        <v>64.2</v>
      </c>
      <c r="AH14" s="14">
        <f>value(vlookup($A14,IMDpivot!$A$1:$BH$11,column()-column($O14)+2,0))</f>
        <v>58.4</v>
      </c>
      <c r="AI14" s="14">
        <f>value(vlookup($A14,IMDpivot!$A$1:$BH$11,column()-column($O14)+2,0))</f>
        <v>59.2</v>
      </c>
      <c r="AJ14" s="14">
        <f>value(vlookup($A14,IMDpivot!$A$1:$BH$11,column()-column($O14)+2,0))</f>
        <v>42.1</v>
      </c>
      <c r="AK14" s="14">
        <f>value(vlookup($A14,IMDpivot!$A$1:$BH$11,column()-column($O14)+2,0))</f>
        <v>53.6</v>
      </c>
      <c r="AL14" s="14">
        <f>value(vlookup($A14,IMDpivot!$A$1:$BH$11,column()-column($O14)+2,0))</f>
        <v>62.4</v>
      </c>
      <c r="AM14" s="14">
        <f>value(vlookup($A14,IMDpivot!$A$1:$BH$11,column()-column($O14)+2,0))</f>
        <v>40.9</v>
      </c>
      <c r="AN14" s="14">
        <f>value(vlookup($A14,IMDpivot!$A$1:$BH$11,column()-column($O14)+2,0))</f>
        <v>59.8</v>
      </c>
      <c r="AO14" s="14">
        <f>value(vlookup($A14,IMDpivot!$A$1:$BH$11,column()-column($O14)+2,0))</f>
        <v>42.1</v>
      </c>
      <c r="AP14" s="14">
        <f>value(vlookup($A14,IMDpivot!$A$1:$BH$11,column()-column($O14)+2,0))</f>
        <v>38</v>
      </c>
      <c r="AQ14" s="14">
        <f>value(vlookup($A14,IMDpivot!$A$1:$BH$11,column()-column($O14)+2,0))</f>
        <v>43.8</v>
      </c>
      <c r="AR14" s="14">
        <f>value(vlookup($A14,IMDpivot!$A$1:$BH$11,column()-column($O14)+2,0))</f>
        <v>66.3</v>
      </c>
      <c r="AS14" s="14">
        <f>value(vlookup($A14,IMDpivot!$A$1:$BH$11,column()-column($O14)+2,0))</f>
        <v>41.2</v>
      </c>
      <c r="AT14" s="14">
        <f>value(vlookup($A14,IMDpivot!$A$1:$BH$11,column()-column($O14)+2,0))</f>
        <v>38</v>
      </c>
      <c r="AU14" s="14">
        <f>value(vlookup($A14,IMDpivot!$A$1:$BH$11,column()-column($O14)+2,0))</f>
        <v>37.6</v>
      </c>
      <c r="AV14" s="14">
        <f>value(vlookup($A14,IMDpivot!$A$1:$BH$11,column()-column($O14)+2,0))</f>
        <v>56.2</v>
      </c>
      <c r="AW14" s="14">
        <f>value(vlookup($A14,IMDpivot!$A$1:$BH$11,column()-column($O14)+2,0))</f>
        <v>56</v>
      </c>
      <c r="AX14" s="14">
        <f>value(vlookup($A14,IMDpivot!$A$1:$BH$11,column()-column($O14)+2,0))</f>
        <v>75.4</v>
      </c>
      <c r="AY14" s="14">
        <f>value(vlookup($A14,IMDpivot!$A$1:$BH$11,column()-column($O14)+2,0))</f>
        <v>69.8</v>
      </c>
      <c r="AZ14" s="14">
        <f>value(vlookup($A14,IMDpivot!$A$1:$BH$11,column()-column($O14)+2,0))</f>
        <v>43.8</v>
      </c>
      <c r="BA14" s="14">
        <f>value(vlookup($A14,IMDpivot!$A$1:$BH$11,column()-column($O14)+2,0))</f>
        <v>44.8</v>
      </c>
      <c r="BB14" s="14">
        <f>value(vlookup($A14,IMDpivot!$A$1:$BH$11,column()-column($O14)+2,0))</f>
        <v>63.4</v>
      </c>
      <c r="BC14" s="14">
        <f>value(vlookup($A14,IMDpivot!$A$1:$BH$11,column()-column($O14)+2,0))</f>
        <v>38.8</v>
      </c>
      <c r="BD14" s="14">
        <f>value(vlookup($A14,IMDpivot!$A$1:$BH$11,column()-column($O14)+2,0))</f>
        <v>54.2</v>
      </c>
      <c r="BE14" s="14">
        <f>value(vlookup($A14,IMDpivot!$A$1:$BH$11,column()-column($O14)+2,0))</f>
        <v>42.7</v>
      </c>
      <c r="BF14" s="14">
        <f>value(vlookup($A14,IMDpivot!$A$1:$BH$11,column()-column($O14)+2,0))</f>
        <v>54.4</v>
      </c>
      <c r="BG14" s="15">
        <f>value(vlookup($A14,IMDpivot!$A$1:$BH$11,column()-column($BG14)+46,0))</f>
        <v>83.5</v>
      </c>
      <c r="BH14" s="15">
        <f>value(vlookup($A14,IMDpivot!$A$1:$BH$11,column()-column($BG14)+46,0))</f>
        <v>42.6</v>
      </c>
      <c r="BI14" s="15">
        <f>value(vlookup($A14,IMDpivot!$A$1:$BH$11,column()-column($BG14)+46,0))</f>
        <v>16.1</v>
      </c>
      <c r="BJ14" s="15">
        <f>value(vlookup($A14,IMDpivot!$A$1:$BH$11,column()-column($BG14)+46,0))</f>
        <v>7.8</v>
      </c>
      <c r="BK14" s="15">
        <f>value(vlookup($A14,IMDpivot!$A$1:$BH$11,column()-column($BG14)+46,0))</f>
        <v>19.2</v>
      </c>
      <c r="BL14" s="15">
        <f>value(vlookup($A14,IMDpivot!$A$1:$BH$11,column()-column($BG14)+46,0))</f>
        <v>23.2</v>
      </c>
      <c r="BM14" s="15">
        <f>value(vlookup($A14,IMDpivot!$A$1:$BH$11,column()-column($BG14)+46,0))</f>
        <v>12.8</v>
      </c>
      <c r="BN14" s="15">
        <f>value(vlookup($A14,IMDpivot!$A$1:$BH$11,column()-column($BG14)+46,0))</f>
        <v>28.8</v>
      </c>
      <c r="BO14" s="15">
        <f>value(vlookup($A14,IMDpivot!$A$1:$BH$11,column()-column($BG14)+46,0))</f>
        <v>22.1</v>
      </c>
      <c r="BP14" s="15">
        <f>value(vlookup($A14,IMDpivot!$A$1:$BH$11,column()-column($BG14)+46,0))</f>
        <v>15.4</v>
      </c>
      <c r="BQ14" s="15">
        <f>value(vlookup($A14,IMDpivot!$A$1:$BH$11,column()-column($BG14)+46,0))</f>
        <v>57.8</v>
      </c>
      <c r="BR14" s="15">
        <f>value(vlookup($A14,IMDpivot!$A$1:$BH$11,column()-column($BG14)+46,0))</f>
        <v>33.5</v>
      </c>
      <c r="BS14" s="15">
        <f>value(vlookup($A14,IMDpivot!$A$1:$BH$11,column()-column($BG14)+46,0))</f>
        <v>39.7</v>
      </c>
      <c r="BT14" s="15">
        <f>value(vlookup($A14,IMDpivot!$A$1:$BH$11,column()-column($BG14)+46,0))</f>
        <v>14</v>
      </c>
      <c r="BU14" s="15">
        <f>value(vlookup($A14,IMDpivot!$A$1:$BH$11,column()-column($BG14)+46,0))</f>
        <v>31.7</v>
      </c>
      <c r="BV14" s="10">
        <f>value(vlookup($A14,USNews!$A$1:$D$20,column()-column($BV14)+2,0))</f>
        <v>99</v>
      </c>
      <c r="BW14" s="11">
        <f>value(vlookup($A14,USNews!$A$1:$D$20,column()-column($BV14)+2,0))</f>
        <v>6.1</v>
      </c>
      <c r="BX14" s="11">
        <f>value(vlookup($A14,USNews!$A$1:$D$20,column()-column($BV14)+2,0))</f>
        <v>6.5</v>
      </c>
    </row>
    <row r="15">
      <c r="A15" s="2" t="s">
        <v>637</v>
      </c>
      <c r="B15" s="2">
        <f>VLOOKUP($A15, NumbeoPivot!$A15:$J1000, column()-column($B15) + 2, FALSE)</f>
        <v>115.87</v>
      </c>
      <c r="C15" s="2">
        <f>VLOOKUP($A15, NumbeoPivot!$A15:$J1000, column()-column($B15) + 2, FALSE)</f>
        <v>34.22</v>
      </c>
      <c r="D15" s="2">
        <f>VLOOKUP($A15, NumbeoPivot!$A15:$J1000, column()-column($B15) + 2, FALSE)</f>
        <v>70.19</v>
      </c>
      <c r="E15" s="2">
        <f>VLOOKUP($A15, NumbeoPivot!$A15:$J1000, column()-column($B15) + 2, FALSE)</f>
        <v>77.98</v>
      </c>
      <c r="F15" s="2">
        <f>VLOOKUP($A15, NumbeoPivot!$A15:$J1000, column()-column($B15) + 2, FALSE)</f>
        <v>77.52</v>
      </c>
      <c r="G15" s="2">
        <f>VLOOKUP($A15, NumbeoPivot!$A15:$J1000, column()-column($B15) + 2, FALSE)</f>
        <v>3.74</v>
      </c>
      <c r="H15" s="2">
        <f>VLOOKUP($A15, NumbeoPivot!$A15:$J1000, column()-column($B15) + 2, FALSE)</f>
        <v>40.41</v>
      </c>
      <c r="I15" s="2">
        <f>VLOOKUP($A15, NumbeoPivot!$A15:$J1000, column()-column($B15) + 2, FALSE)</f>
        <v>48.48</v>
      </c>
      <c r="J15" s="2">
        <f>VLOOKUP($A15, NumbeoPivot!$A15:$J1000, column()-column($B15) + 2, FALSE)</f>
        <v>153.52</v>
      </c>
      <c r="K15" s="2">
        <f>int(vlookup(A15,IESE2014pivot!$B$1:$D$8,3,0))</f>
        <v>11</v>
      </c>
      <c r="L15" s="2">
        <f>VALUE(vlookup(A15,IESE2014pivot!$B$1:$D$8,2,0))</f>
        <v>67.06</v>
      </c>
      <c r="M15" s="2">
        <f>int(vlookup(A15,IESE2024pivot!$B$1:$D$20,3,0))</f>
        <v>61</v>
      </c>
      <c r="N15" s="2">
        <f>value(vlookup(A15,IESE2024pivot!$B$1:$D$20,2,0))</f>
        <v>57.81</v>
      </c>
      <c r="O15" s="13">
        <f>vlookup($A15,IMDpivot!$A$1:$BH$11,column()-column($O15)+2,0)</f>
        <v>0.923</v>
      </c>
      <c r="P15" s="12">
        <f>vlookup($A15,IMDpivot!$A$1:$BH$11,column()-column($O15)+2,0)</f>
        <v>71</v>
      </c>
      <c r="Q15" s="12">
        <f>vlookup($A15,IMDpivot!$A$1:$BH$11,column()-column($O15)+2,0)</f>
        <v>79</v>
      </c>
      <c r="R15" s="12">
        <f>vlookup($A15,IMDpivot!$A$1:$BH$11,column()-column($O15)+2,0)</f>
        <v>85</v>
      </c>
      <c r="S15" s="12">
        <f>vlookup($A15,IMDpivot!$A$1:$BH$11,column()-column($O15)+2,0)</f>
        <v>92</v>
      </c>
      <c r="T15" s="14">
        <f>value(vlookup($A15,IMDpivot!$A$1:$BH$11,column()-column($O15)+2,0))</f>
        <v>45</v>
      </c>
      <c r="U15" s="14">
        <f>value(vlookup($A15,IMDpivot!$A$1:$BH$11,column()-column($O15)+2,0))</f>
        <v>54</v>
      </c>
      <c r="V15" s="14">
        <f>value(vlookup($A15,IMDpivot!$A$1:$BH$11,column()-column($O15)+2,0))</f>
        <v>23.6</v>
      </c>
      <c r="W15" s="14">
        <f>value(vlookup($A15,IMDpivot!$A$1:$BH$11,column()-column($O15)+2,0))</f>
        <v>29.9</v>
      </c>
      <c r="X15" s="14">
        <f>value(vlookup($A15,IMDpivot!$A$1:$BH$11,column()-column($O15)+2,0))</f>
        <v>60.7</v>
      </c>
      <c r="Y15" s="14">
        <f>value(vlookup($A15,IMDpivot!$A$1:$BH$11,column()-column($O15)+2,0))</f>
        <v>32.1</v>
      </c>
      <c r="Z15" s="14">
        <f>value(vlookup($A15,IMDpivot!$A$1:$BH$11,column()-column($O15)+2,0))</f>
        <v>22</v>
      </c>
      <c r="AA15" s="14">
        <f>value(vlookup($A15,IMDpivot!$A$1:$BH$11,column()-column($O15)+2,0))</f>
        <v>49.8</v>
      </c>
      <c r="AB15" s="14">
        <f>value(vlookup($A15,IMDpivot!$A$1:$BH$11,column()-column($O15)+2,0))</f>
        <v>51.4</v>
      </c>
      <c r="AC15" s="14">
        <f>value(vlookup($A15,IMDpivot!$A$1:$BH$11,column()-column($O15)+2,0))</f>
        <v>74.8</v>
      </c>
      <c r="AD15" s="14">
        <f>value(vlookup($A15,IMDpivot!$A$1:$BH$11,column()-column($O15)+2,0))</f>
        <v>58.3</v>
      </c>
      <c r="AE15" s="14">
        <f>value(vlookup($A15,IMDpivot!$A$1:$BH$11,column()-column($O15)+2,0))</f>
        <v>38.6</v>
      </c>
      <c r="AF15" s="14">
        <f>value(vlookup($A15,IMDpivot!$A$1:$BH$11,column()-column($O15)+2,0))</f>
        <v>50.1</v>
      </c>
      <c r="AG15" s="14">
        <f>value(vlookup($A15,IMDpivot!$A$1:$BH$11,column()-column($O15)+2,0))</f>
        <v>54.4</v>
      </c>
      <c r="AH15" s="14">
        <f>value(vlookup($A15,IMDpivot!$A$1:$BH$11,column()-column($O15)+2,0))</f>
        <v>57.7</v>
      </c>
      <c r="AI15" s="14">
        <f>value(vlookup($A15,IMDpivot!$A$1:$BH$11,column()-column($O15)+2,0))</f>
        <v>55</v>
      </c>
      <c r="AJ15" s="14">
        <f>value(vlookup($A15,IMDpivot!$A$1:$BH$11,column()-column($O15)+2,0))</f>
        <v>34.2</v>
      </c>
      <c r="AK15" s="14">
        <f>value(vlookup($A15,IMDpivot!$A$1:$BH$11,column()-column($O15)+2,0))</f>
        <v>45.2</v>
      </c>
      <c r="AL15" s="14">
        <f>value(vlookup($A15,IMDpivot!$A$1:$BH$11,column()-column($O15)+2,0))</f>
        <v>51.3</v>
      </c>
      <c r="AM15" s="14">
        <f>value(vlookup($A15,IMDpivot!$A$1:$BH$11,column()-column($O15)+2,0))</f>
        <v>39.7</v>
      </c>
      <c r="AN15" s="14">
        <f>value(vlookup($A15,IMDpivot!$A$1:$BH$11,column()-column($O15)+2,0))</f>
        <v>56.7</v>
      </c>
      <c r="AO15" s="14">
        <f>value(vlookup($A15,IMDpivot!$A$1:$BH$11,column()-column($O15)+2,0))</f>
        <v>47.1</v>
      </c>
      <c r="AP15" s="14">
        <f>value(vlookup($A15,IMDpivot!$A$1:$BH$11,column()-column($O15)+2,0))</f>
        <v>46.5</v>
      </c>
      <c r="AQ15" s="14">
        <f>value(vlookup($A15,IMDpivot!$A$1:$BH$11,column()-column($O15)+2,0))</f>
        <v>35.2</v>
      </c>
      <c r="AR15" s="14">
        <f>value(vlookup($A15,IMDpivot!$A$1:$BH$11,column()-column($O15)+2,0))</f>
        <v>60.3</v>
      </c>
      <c r="AS15" s="14">
        <f>value(vlookup($A15,IMDpivot!$A$1:$BH$11,column()-column($O15)+2,0))</f>
        <v>43.8</v>
      </c>
      <c r="AT15" s="14">
        <f>value(vlookup($A15,IMDpivot!$A$1:$BH$11,column()-column($O15)+2,0))</f>
        <v>46.7</v>
      </c>
      <c r="AU15" s="14">
        <f>value(vlookup($A15,IMDpivot!$A$1:$BH$11,column()-column($O15)+2,0))</f>
        <v>44.1</v>
      </c>
      <c r="AV15" s="14">
        <f>value(vlookup($A15,IMDpivot!$A$1:$BH$11,column()-column($O15)+2,0))</f>
        <v>57.6</v>
      </c>
      <c r="AW15" s="14">
        <f>value(vlookup($A15,IMDpivot!$A$1:$BH$11,column()-column($O15)+2,0))</f>
        <v>54.2</v>
      </c>
      <c r="AX15" s="14">
        <f>value(vlookup($A15,IMDpivot!$A$1:$BH$11,column()-column($O15)+2,0))</f>
        <v>73.3</v>
      </c>
      <c r="AY15" s="14">
        <f>value(vlookup($A15,IMDpivot!$A$1:$BH$11,column()-column($O15)+2,0))</f>
        <v>65.4</v>
      </c>
      <c r="AZ15" s="14">
        <f>value(vlookup($A15,IMDpivot!$A$1:$BH$11,column()-column($O15)+2,0))</f>
        <v>43.9</v>
      </c>
      <c r="BA15" s="14">
        <f>value(vlookup($A15,IMDpivot!$A$1:$BH$11,column()-column($O15)+2,0))</f>
        <v>44.3</v>
      </c>
      <c r="BB15" s="14">
        <f>value(vlookup($A15,IMDpivot!$A$1:$BH$11,column()-column($O15)+2,0))</f>
        <v>61.4</v>
      </c>
      <c r="BC15" s="14">
        <f>value(vlookup($A15,IMDpivot!$A$1:$BH$11,column()-column($O15)+2,0))</f>
        <v>36.9</v>
      </c>
      <c r="BD15" s="14">
        <f>value(vlookup($A15,IMDpivot!$A$1:$BH$11,column()-column($O15)+2,0))</f>
        <v>51.9</v>
      </c>
      <c r="BE15" s="14">
        <f>value(vlookup($A15,IMDpivot!$A$1:$BH$11,column()-column($O15)+2,0))</f>
        <v>43.5</v>
      </c>
      <c r="BF15" s="14">
        <f>value(vlookup($A15,IMDpivot!$A$1:$BH$11,column()-column($O15)+2,0))</f>
        <v>52.4</v>
      </c>
      <c r="BG15" s="15">
        <f>value(vlookup($A15,IMDpivot!$A$1:$BH$11,column()-column($BG15)+46,0))</f>
        <v>65.9</v>
      </c>
      <c r="BH15" s="15">
        <f>value(vlookup($A15,IMDpivot!$A$1:$BH$11,column()-column($BG15)+46,0))</f>
        <v>25.1</v>
      </c>
      <c r="BI15" s="15">
        <f>value(vlookup($A15,IMDpivot!$A$1:$BH$11,column()-column($BG15)+46,0))</f>
        <v>22.5</v>
      </c>
      <c r="BJ15" s="15">
        <f>value(vlookup($A15,IMDpivot!$A$1:$BH$11,column()-column($BG15)+46,0))</f>
        <v>11</v>
      </c>
      <c r="BK15" s="15">
        <f>value(vlookup($A15,IMDpivot!$A$1:$BH$11,column()-column($BG15)+46,0))</f>
        <v>33.4</v>
      </c>
      <c r="BL15" s="15">
        <f>value(vlookup($A15,IMDpivot!$A$1:$BH$11,column()-column($BG15)+46,0))</f>
        <v>26.8</v>
      </c>
      <c r="BM15" s="15">
        <f>value(vlookup($A15,IMDpivot!$A$1:$BH$11,column()-column($BG15)+46,0))</f>
        <v>21.8</v>
      </c>
      <c r="BN15" s="15">
        <f>value(vlookup($A15,IMDpivot!$A$1:$BH$11,column()-column($BG15)+46,0))</f>
        <v>33.9</v>
      </c>
      <c r="BO15" s="15">
        <f>value(vlookup($A15,IMDpivot!$A$1:$BH$11,column()-column($BG15)+46,0))</f>
        <v>19.9</v>
      </c>
      <c r="BP15" s="15">
        <f>value(vlookup($A15,IMDpivot!$A$1:$BH$11,column()-column($BG15)+46,0))</f>
        <v>17.4</v>
      </c>
      <c r="BQ15" s="15">
        <f>value(vlookup($A15,IMDpivot!$A$1:$BH$11,column()-column($BG15)+46,0))</f>
        <v>37.8</v>
      </c>
      <c r="BR15" s="15">
        <f>value(vlookup($A15,IMDpivot!$A$1:$BH$11,column()-column($BG15)+46,0))</f>
        <v>45.9</v>
      </c>
      <c r="BS15" s="15">
        <f>value(vlookup($A15,IMDpivot!$A$1:$BH$11,column()-column($BG15)+46,0))</f>
        <v>62.5</v>
      </c>
      <c r="BT15" s="15">
        <f>value(vlookup($A15,IMDpivot!$A$1:$BH$11,column()-column($BG15)+46,0))</f>
        <v>8.4</v>
      </c>
      <c r="BU15" s="15">
        <f>value(vlookup($A15,IMDpivot!$A$1:$BH$11,column()-column($BG15)+46,0))</f>
        <v>34.9</v>
      </c>
      <c r="BV15" s="10">
        <f>value(vlookup($A15,USNews!$A$1:$D$20,column()-column($BV15)+2,0))</f>
        <v>119</v>
      </c>
      <c r="BW15" s="11">
        <f>value(vlookup($A15,USNews!$A$1:$D$20,column()-column($BV15)+2,0))</f>
        <v>5.9</v>
      </c>
      <c r="BX15" s="11">
        <f>value(vlookup($A15,USNews!$A$1:$D$20,column()-column($BV15)+2,0))</f>
        <v>6.3</v>
      </c>
    </row>
    <row r="16">
      <c r="A16" s="2" t="s">
        <v>638</v>
      </c>
      <c r="B16" s="2">
        <f>VLOOKUP($A16, NumbeoPivot!$A16:$J1000, column()-column($B16) + 2, FALSE)</f>
        <v>138.52</v>
      </c>
      <c r="C16" s="2">
        <f>VLOOKUP($A16, NumbeoPivot!$A16:$J1000, column()-column($B16) + 2, FALSE)</f>
        <v>46.44</v>
      </c>
      <c r="D16" s="2">
        <f>VLOOKUP($A16, NumbeoPivot!$A16:$J1000, column()-column($B16) + 2, FALSE)</f>
        <v>67.45</v>
      </c>
      <c r="E16" s="2">
        <f>VLOOKUP($A16, NumbeoPivot!$A16:$J1000, column()-column($B16) + 2, FALSE)</f>
        <v>53.76</v>
      </c>
      <c r="F16" s="2">
        <f>VLOOKUP($A16, NumbeoPivot!$A16:$J1000, column()-column($B16) + 2, FALSE)</f>
        <v>69.25</v>
      </c>
      <c r="G16" s="2">
        <f>VLOOKUP($A16, NumbeoPivot!$A16:$J1000, column()-column($B16) + 2, FALSE)</f>
        <v>3.38</v>
      </c>
      <c r="H16" s="2">
        <f>VLOOKUP($A16, NumbeoPivot!$A16:$J1000, column()-column($B16) + 2, FALSE)</f>
        <v>33.94</v>
      </c>
      <c r="I16" s="2">
        <f>VLOOKUP($A16, NumbeoPivot!$A16:$J1000, column()-column($B16) + 2, FALSE)</f>
        <v>56.97</v>
      </c>
      <c r="J16" s="2">
        <f>VLOOKUP($A16, NumbeoPivot!$A16:$J1000, column()-column($B16) + 2, FALSE)</f>
        <v>158.27</v>
      </c>
      <c r="K16" s="2" t="str">
        <f>int(vlookup(A16,IESE2014pivot!$B$1:$D$8,3,0))</f>
        <v>#N/A</v>
      </c>
      <c r="L16" s="2" t="str">
        <f>VALUE(vlookup(A16,IESE2014pivot!$B$1:$D$8,2,0))</f>
        <v>#N/A</v>
      </c>
      <c r="M16" s="2">
        <f>int(vlookup(A16,IESE2024pivot!$B$1:$D$20,3,0))</f>
        <v>70</v>
      </c>
      <c r="N16" s="2">
        <f>value(vlookup(A16,IESE2024pivot!$B$1:$D$20,2,0))</f>
        <v>55.75</v>
      </c>
      <c r="O16" s="13">
        <f>vlookup($A16,IMDpivot!$A$1:$BH$11,column()-column($O16)+2,0)</f>
        <v>0.908</v>
      </c>
      <c r="P16" s="12" t="str">
        <f>vlookup($A16,IMDpivot!$A$1:$BH$11,column()-column($O16)+2,0)</f>
        <v/>
      </c>
      <c r="Q16" s="12">
        <f>vlookup($A16,IMDpivot!$A$1:$BH$11,column()-column($O16)+2,0)</f>
        <v>72</v>
      </c>
      <c r="R16" s="12">
        <f>vlookup($A16,IMDpivot!$A$1:$BH$11,column()-column($O16)+2,0)</f>
        <v>77</v>
      </c>
      <c r="S16" s="12">
        <f>vlookup($A16,IMDpivot!$A$1:$BH$11,column()-column($O16)+2,0)</f>
        <v>93</v>
      </c>
      <c r="T16" s="14">
        <f>value(vlookup($A16,IMDpivot!$A$1:$BH$11,column()-column($O16)+2,0))</f>
        <v>51.8</v>
      </c>
      <c r="U16" s="14">
        <f>value(vlookup($A16,IMDpivot!$A$1:$BH$11,column()-column($O16)+2,0))</f>
        <v>63.2</v>
      </c>
      <c r="V16" s="14">
        <f>value(vlookup($A16,IMDpivot!$A$1:$BH$11,column()-column($O16)+2,0))</f>
        <v>38.8</v>
      </c>
      <c r="W16" s="14">
        <f>value(vlookup($A16,IMDpivot!$A$1:$BH$11,column()-column($O16)+2,0))</f>
        <v>30.6</v>
      </c>
      <c r="X16" s="14">
        <f>value(vlookup($A16,IMDpivot!$A$1:$BH$11,column()-column($O16)+2,0))</f>
        <v>65.9</v>
      </c>
      <c r="Y16" s="14">
        <f>value(vlookup($A16,IMDpivot!$A$1:$BH$11,column()-column($O16)+2,0))</f>
        <v>27.6</v>
      </c>
      <c r="Z16" s="14">
        <f>value(vlookup($A16,IMDpivot!$A$1:$BH$11,column()-column($O16)+2,0))</f>
        <v>21.5</v>
      </c>
      <c r="AA16" s="14">
        <f>value(vlookup($A16,IMDpivot!$A$1:$BH$11,column()-column($O16)+2,0))</f>
        <v>44.6</v>
      </c>
      <c r="AB16" s="14">
        <f>value(vlookup($A16,IMDpivot!$A$1:$BH$11,column()-column($O16)+2,0))</f>
        <v>52.7</v>
      </c>
      <c r="AC16" s="14">
        <f>value(vlookup($A16,IMDpivot!$A$1:$BH$11,column()-column($O16)+2,0))</f>
        <v>72.8</v>
      </c>
      <c r="AD16" s="14">
        <f>value(vlookup($A16,IMDpivot!$A$1:$BH$11,column()-column($O16)+2,0))</f>
        <v>69.5</v>
      </c>
      <c r="AE16" s="14">
        <f>value(vlookup($A16,IMDpivot!$A$1:$BH$11,column()-column($O16)+2,0))</f>
        <v>57.3</v>
      </c>
      <c r="AF16" s="14">
        <f>value(vlookup($A16,IMDpivot!$A$1:$BH$11,column()-column($O16)+2,0))</f>
        <v>59.3</v>
      </c>
      <c r="AG16" s="14">
        <f>value(vlookup($A16,IMDpivot!$A$1:$BH$11,column()-column($O16)+2,0))</f>
        <v>64.6</v>
      </c>
      <c r="AH16" s="14">
        <f>value(vlookup($A16,IMDpivot!$A$1:$BH$11,column()-column($O16)+2,0))</f>
        <v>57.2</v>
      </c>
      <c r="AI16" s="14">
        <f>value(vlookup($A16,IMDpivot!$A$1:$BH$11,column()-column($O16)+2,0))</f>
        <v>59.7</v>
      </c>
      <c r="AJ16" s="14">
        <f>value(vlookup($A16,IMDpivot!$A$1:$BH$11,column()-column($O16)+2,0))</f>
        <v>37.9</v>
      </c>
      <c r="AK16" s="14">
        <f>value(vlookup($A16,IMDpivot!$A$1:$BH$11,column()-column($O16)+2,0))</f>
        <v>47.2</v>
      </c>
      <c r="AL16" s="14">
        <f>value(vlookup($A16,IMDpivot!$A$1:$BH$11,column()-column($O16)+2,0))</f>
        <v>56.6</v>
      </c>
      <c r="AM16" s="14">
        <f>value(vlookup($A16,IMDpivot!$A$1:$BH$11,column()-column($O16)+2,0))</f>
        <v>43.8</v>
      </c>
      <c r="AN16" s="14">
        <f>value(vlookup($A16,IMDpivot!$A$1:$BH$11,column()-column($O16)+2,0))</f>
        <v>61.1</v>
      </c>
      <c r="AO16" s="14">
        <f>value(vlookup($A16,IMDpivot!$A$1:$BH$11,column()-column($O16)+2,0))</f>
        <v>45.2</v>
      </c>
      <c r="AP16" s="14">
        <f>value(vlookup($A16,IMDpivot!$A$1:$BH$11,column()-column($O16)+2,0))</f>
        <v>40</v>
      </c>
      <c r="AQ16" s="14">
        <f>value(vlookup($A16,IMDpivot!$A$1:$BH$11,column()-column($O16)+2,0))</f>
        <v>45.5</v>
      </c>
      <c r="AR16" s="14">
        <f>value(vlookup($A16,IMDpivot!$A$1:$BH$11,column()-column($O16)+2,0))</f>
        <v>64.1</v>
      </c>
      <c r="AS16" s="14">
        <f>value(vlookup($A16,IMDpivot!$A$1:$BH$11,column()-column($O16)+2,0))</f>
        <v>39.7</v>
      </c>
      <c r="AT16" s="14">
        <f>value(vlookup($A16,IMDpivot!$A$1:$BH$11,column()-column($O16)+2,0))</f>
        <v>32.7</v>
      </c>
      <c r="AU16" s="14">
        <f>value(vlookup($A16,IMDpivot!$A$1:$BH$11,column()-column($O16)+2,0))</f>
        <v>30.6</v>
      </c>
      <c r="AV16" s="14">
        <f>value(vlookup($A16,IMDpivot!$A$1:$BH$11,column()-column($O16)+2,0))</f>
        <v>48.2</v>
      </c>
      <c r="AW16" s="14">
        <f>value(vlookup($A16,IMDpivot!$A$1:$BH$11,column()-column($O16)+2,0))</f>
        <v>58.2</v>
      </c>
      <c r="AX16" s="14">
        <f>value(vlookup($A16,IMDpivot!$A$1:$BH$11,column()-column($O16)+2,0))</f>
        <v>76</v>
      </c>
      <c r="AY16" s="14">
        <f>value(vlookup($A16,IMDpivot!$A$1:$BH$11,column()-column($O16)+2,0))</f>
        <v>71.3</v>
      </c>
      <c r="AZ16" s="14">
        <f>value(vlookup($A16,IMDpivot!$A$1:$BH$11,column()-column($O16)+2,0))</f>
        <v>41.6</v>
      </c>
      <c r="BA16" s="14">
        <f>value(vlookup($A16,IMDpivot!$A$1:$BH$11,column()-column($O16)+2,0))</f>
        <v>42.9</v>
      </c>
      <c r="BB16" s="14">
        <f>value(vlookup($A16,IMDpivot!$A$1:$BH$11,column()-column($O16)+2,0))</f>
        <v>66.6</v>
      </c>
      <c r="BC16" s="14">
        <f>value(vlookup($A16,IMDpivot!$A$1:$BH$11,column()-column($O16)+2,0))</f>
        <v>33</v>
      </c>
      <c r="BD16" s="14">
        <f>value(vlookup($A16,IMDpivot!$A$1:$BH$11,column()-column($O16)+2,0))</f>
        <v>46.8</v>
      </c>
      <c r="BE16" s="14">
        <f>value(vlookup($A16,IMDpivot!$A$1:$BH$11,column()-column($O16)+2,0))</f>
        <v>39.1</v>
      </c>
      <c r="BF16" s="14">
        <f>value(vlookup($A16,IMDpivot!$A$1:$BH$11,column()-column($O16)+2,0))</f>
        <v>54</v>
      </c>
      <c r="BG16" s="15">
        <f>value(vlookup($A16,IMDpivot!$A$1:$BH$11,column()-column($BG16)+46,0))</f>
        <v>77.8</v>
      </c>
      <c r="BH16" s="15">
        <f>value(vlookup($A16,IMDpivot!$A$1:$BH$11,column()-column($BG16)+46,0))</f>
        <v>45.2</v>
      </c>
      <c r="BI16" s="15">
        <f>value(vlookup($A16,IMDpivot!$A$1:$BH$11,column()-column($BG16)+46,0))</f>
        <v>26.5</v>
      </c>
      <c r="BJ16" s="15">
        <f>value(vlookup($A16,IMDpivot!$A$1:$BH$11,column()-column($BG16)+46,0))</f>
        <v>12</v>
      </c>
      <c r="BK16" s="15">
        <f>value(vlookup($A16,IMDpivot!$A$1:$BH$11,column()-column($BG16)+46,0))</f>
        <v>25.7</v>
      </c>
      <c r="BL16" s="15">
        <f>value(vlookup($A16,IMDpivot!$A$1:$BH$11,column()-column($BG16)+46,0))</f>
        <v>26.6</v>
      </c>
      <c r="BM16" s="15">
        <f>value(vlookup($A16,IMDpivot!$A$1:$BH$11,column()-column($BG16)+46,0))</f>
        <v>9.7</v>
      </c>
      <c r="BN16" s="15">
        <f>value(vlookup($A16,IMDpivot!$A$1:$BH$11,column()-column($BG16)+46,0))</f>
        <v>33.9</v>
      </c>
      <c r="BO16" s="15">
        <f>value(vlookup($A16,IMDpivot!$A$1:$BH$11,column()-column($BG16)+46,0))</f>
        <v>18.9</v>
      </c>
      <c r="BP16" s="15">
        <f>value(vlookup($A16,IMDpivot!$A$1:$BH$11,column()-column($BG16)+46,0))</f>
        <v>20.3</v>
      </c>
      <c r="BQ16" s="15">
        <f>value(vlookup($A16,IMDpivot!$A$1:$BH$11,column()-column($BG16)+46,0))</f>
        <v>47.2</v>
      </c>
      <c r="BR16" s="15">
        <f>value(vlookup($A16,IMDpivot!$A$1:$BH$11,column()-column($BG16)+46,0))</f>
        <v>38.3</v>
      </c>
      <c r="BS16" s="15">
        <f>value(vlookup($A16,IMDpivot!$A$1:$BH$11,column()-column($BG16)+46,0))</f>
        <v>37.2</v>
      </c>
      <c r="BT16" s="15">
        <f>value(vlookup($A16,IMDpivot!$A$1:$BH$11,column()-column($BG16)+46,0))</f>
        <v>8.3</v>
      </c>
      <c r="BU16" s="15">
        <f>value(vlookup($A16,IMDpivot!$A$1:$BH$11,column()-column($BG16)+46,0))</f>
        <v>38.1</v>
      </c>
      <c r="BV16" s="10">
        <f>value(vlookup($A16,USNews!$A$1:$D$20,column()-column($BV16)+2,0))</f>
        <v>110</v>
      </c>
      <c r="BW16" s="11">
        <f>value(vlookup($A16,USNews!$A$1:$D$20,column()-column($BV16)+2,0))</f>
        <v>6.1</v>
      </c>
      <c r="BX16" s="11">
        <f>value(vlookup($A16,USNews!$A$1:$D$20,column()-column($BV16)+2,0))</f>
        <v>6</v>
      </c>
    </row>
    <row r="17">
      <c r="A17" s="2" t="s">
        <v>1294</v>
      </c>
      <c r="B17" s="2">
        <f>VLOOKUP($A17, NumbeoPivot!$A17:$J1000, column()-column($B17) + 2, FALSE)</f>
        <v>128.04</v>
      </c>
      <c r="C17" s="2">
        <f>VLOOKUP($A17, NumbeoPivot!$A17:$J1000, column()-column($B17) + 2, FALSE)</f>
        <v>24.93</v>
      </c>
      <c r="D17" s="2">
        <f>VLOOKUP($A17, NumbeoPivot!$A17:$J1000, column()-column($B17) + 2, FALSE)</f>
        <v>74.38</v>
      </c>
      <c r="E17" s="2">
        <f>VLOOKUP($A17, NumbeoPivot!$A17:$J1000, column()-column($B17) + 2, FALSE)</f>
        <v>81.24</v>
      </c>
      <c r="F17" s="2">
        <f>VLOOKUP($A17, NumbeoPivot!$A17:$J1000, column()-column($B17) + 2, FALSE)</f>
        <v>74.41</v>
      </c>
      <c r="G17" s="2">
        <f>VLOOKUP($A17, NumbeoPivot!$A17:$J1000, column()-column($B17) + 2, FALSE)</f>
        <v>2.11</v>
      </c>
      <c r="H17" s="2">
        <f>VLOOKUP($A17, NumbeoPivot!$A17:$J1000, column()-column($B17) + 2, FALSE)</f>
        <v>31.47</v>
      </c>
      <c r="I17" s="2">
        <f>VLOOKUP($A17, NumbeoPivot!$A17:$J1000, column()-column($B17) + 2, FALSE)</f>
        <v>52.01</v>
      </c>
      <c r="J17" s="2">
        <f>VLOOKUP($A17, NumbeoPivot!$A17:$J1000, column()-column($B17) + 2, FALSE)</f>
        <v>160.55</v>
      </c>
      <c r="K17" s="2">
        <f>int(vlookup(A17,IESE2014pivot!$B$1:$D$8,3,0))</f>
        <v>20</v>
      </c>
      <c r="L17" s="2">
        <f>VALUE(vlookup(A17,IESE2014pivot!$B$1:$D$8,2,0))</f>
        <v>61.95</v>
      </c>
      <c r="M17" s="2">
        <f>int(vlookup(A17,IESE2024pivot!$B$1:$D$20,3,0))</f>
        <v>73</v>
      </c>
      <c r="N17" s="2">
        <f>value(vlookup(A17,IESE2024pivot!$B$1:$D$20,2,0))</f>
        <v>54.73</v>
      </c>
      <c r="O17" s="13" t="str">
        <f>vlookup($A17,IMDpivot!$A$1:$BH$11,column()-column($O17)+2,0)</f>
        <v>#N/A</v>
      </c>
      <c r="P17" s="12" t="str">
        <f>vlookup($A17,IMDpivot!$A$1:$BH$11,column()-column($O17)+2,0)</f>
        <v>#N/A</v>
      </c>
      <c r="Q17" s="12" t="str">
        <f>vlookup($A17,IMDpivot!$A$1:$BH$11,column()-column($O17)+2,0)</f>
        <v>#N/A</v>
      </c>
      <c r="R17" s="12" t="str">
        <f>vlookup($A17,IMDpivot!$A$1:$BH$11,column()-column($O17)+2,0)</f>
        <v>#N/A</v>
      </c>
      <c r="S17" s="12" t="str">
        <f>vlookup($A17,IMDpivot!$A$1:$BH$11,column()-column($O17)+2,0)</f>
        <v>#N/A</v>
      </c>
      <c r="T17" s="14" t="str">
        <f>value(vlookup($A17,IMDpivot!$A$1:$BH$11,column()-column($O17)+2,0))</f>
        <v>#N/A</v>
      </c>
      <c r="U17" s="14" t="str">
        <f>value(vlookup($A17,IMDpivot!$A$1:$BH$11,column()-column($O17)+2,0))</f>
        <v>#N/A</v>
      </c>
      <c r="V17" s="14" t="str">
        <f>value(vlookup($A17,IMDpivot!$A$1:$BH$11,column()-column($O17)+2,0))</f>
        <v>#N/A</v>
      </c>
      <c r="W17" s="14" t="str">
        <f>value(vlookup($A17,IMDpivot!$A$1:$BH$11,column()-column($O17)+2,0))</f>
        <v>#N/A</v>
      </c>
      <c r="X17" s="14" t="str">
        <f>value(vlookup($A17,IMDpivot!$A$1:$BH$11,column()-column($O17)+2,0))</f>
        <v>#N/A</v>
      </c>
      <c r="Y17" s="14" t="str">
        <f>value(vlookup($A17,IMDpivot!$A$1:$BH$11,column()-column($O17)+2,0))</f>
        <v>#N/A</v>
      </c>
      <c r="Z17" s="14" t="str">
        <f>value(vlookup($A17,IMDpivot!$A$1:$BH$11,column()-column($O17)+2,0))</f>
        <v>#N/A</v>
      </c>
      <c r="AA17" s="14" t="str">
        <f>value(vlookup($A17,IMDpivot!$A$1:$BH$11,column()-column($O17)+2,0))</f>
        <v>#N/A</v>
      </c>
      <c r="AB17" s="14" t="str">
        <f>value(vlookup($A17,IMDpivot!$A$1:$BH$11,column()-column($O17)+2,0))</f>
        <v>#N/A</v>
      </c>
      <c r="AC17" s="14" t="str">
        <f>value(vlookup($A17,IMDpivot!$A$1:$BH$11,column()-column($O17)+2,0))</f>
        <v>#N/A</v>
      </c>
      <c r="AD17" s="14" t="str">
        <f>value(vlookup($A17,IMDpivot!$A$1:$BH$11,column()-column($O17)+2,0))</f>
        <v>#N/A</v>
      </c>
      <c r="AE17" s="14" t="str">
        <f>value(vlookup($A17,IMDpivot!$A$1:$BH$11,column()-column($O17)+2,0))</f>
        <v>#N/A</v>
      </c>
      <c r="AF17" s="14" t="str">
        <f>value(vlookup($A17,IMDpivot!$A$1:$BH$11,column()-column($O17)+2,0))</f>
        <v>#N/A</v>
      </c>
      <c r="AG17" s="14" t="str">
        <f>value(vlookup($A17,IMDpivot!$A$1:$BH$11,column()-column($O17)+2,0))</f>
        <v>#N/A</v>
      </c>
      <c r="AH17" s="14" t="str">
        <f>value(vlookup($A17,IMDpivot!$A$1:$BH$11,column()-column($O17)+2,0))</f>
        <v>#N/A</v>
      </c>
      <c r="AI17" s="14" t="str">
        <f>value(vlookup($A17,IMDpivot!$A$1:$BH$11,column()-column($O17)+2,0))</f>
        <v>#N/A</v>
      </c>
      <c r="AJ17" s="14" t="str">
        <f>value(vlookup($A17,IMDpivot!$A$1:$BH$11,column()-column($O17)+2,0))</f>
        <v>#N/A</v>
      </c>
      <c r="AK17" s="14" t="str">
        <f>value(vlookup($A17,IMDpivot!$A$1:$BH$11,column()-column($O17)+2,0))</f>
        <v>#N/A</v>
      </c>
      <c r="AL17" s="14" t="str">
        <f>value(vlookup($A17,IMDpivot!$A$1:$BH$11,column()-column($O17)+2,0))</f>
        <v>#N/A</v>
      </c>
      <c r="AM17" s="14" t="str">
        <f>value(vlookup($A17,IMDpivot!$A$1:$BH$11,column()-column($O17)+2,0))</f>
        <v>#N/A</v>
      </c>
      <c r="AN17" s="14" t="str">
        <f>value(vlookup($A17,IMDpivot!$A$1:$BH$11,column()-column($O17)+2,0))</f>
        <v>#N/A</v>
      </c>
      <c r="AO17" s="14" t="str">
        <f>value(vlookup($A17,IMDpivot!$A$1:$BH$11,column()-column($O17)+2,0))</f>
        <v>#N/A</v>
      </c>
      <c r="AP17" s="14" t="str">
        <f>value(vlookup($A17,IMDpivot!$A$1:$BH$11,column()-column($O17)+2,0))</f>
        <v>#N/A</v>
      </c>
      <c r="AQ17" s="14" t="str">
        <f>value(vlookup($A17,IMDpivot!$A$1:$BH$11,column()-column($O17)+2,0))</f>
        <v>#N/A</v>
      </c>
      <c r="AR17" s="14" t="str">
        <f>value(vlookup($A17,IMDpivot!$A$1:$BH$11,column()-column($O17)+2,0))</f>
        <v>#N/A</v>
      </c>
      <c r="AS17" s="14" t="str">
        <f>value(vlookup($A17,IMDpivot!$A$1:$BH$11,column()-column($O17)+2,0))</f>
        <v>#N/A</v>
      </c>
      <c r="AT17" s="14" t="str">
        <f>value(vlookup($A17,IMDpivot!$A$1:$BH$11,column()-column($O17)+2,0))</f>
        <v>#N/A</v>
      </c>
      <c r="AU17" s="14" t="str">
        <f>value(vlookup($A17,IMDpivot!$A$1:$BH$11,column()-column($O17)+2,0))</f>
        <v>#N/A</v>
      </c>
      <c r="AV17" s="14" t="str">
        <f>value(vlookup($A17,IMDpivot!$A$1:$BH$11,column()-column($O17)+2,0))</f>
        <v>#N/A</v>
      </c>
      <c r="AW17" s="14" t="str">
        <f>value(vlookup($A17,IMDpivot!$A$1:$BH$11,column()-column($O17)+2,0))</f>
        <v>#N/A</v>
      </c>
      <c r="AX17" s="14" t="str">
        <f>value(vlookup($A17,IMDpivot!$A$1:$BH$11,column()-column($O17)+2,0))</f>
        <v>#N/A</v>
      </c>
      <c r="AY17" s="14" t="str">
        <f>value(vlookup($A17,IMDpivot!$A$1:$BH$11,column()-column($O17)+2,0))</f>
        <v>#N/A</v>
      </c>
      <c r="AZ17" s="14" t="str">
        <f>value(vlookup($A17,IMDpivot!$A$1:$BH$11,column()-column($O17)+2,0))</f>
        <v>#N/A</v>
      </c>
      <c r="BA17" s="14" t="str">
        <f>value(vlookup($A17,IMDpivot!$A$1:$BH$11,column()-column($O17)+2,0))</f>
        <v>#N/A</v>
      </c>
      <c r="BB17" s="14" t="str">
        <f>value(vlookup($A17,IMDpivot!$A$1:$BH$11,column()-column($O17)+2,0))</f>
        <v>#N/A</v>
      </c>
      <c r="BC17" s="14" t="str">
        <f>value(vlookup($A17,IMDpivot!$A$1:$BH$11,column()-column($O17)+2,0))</f>
        <v>#N/A</v>
      </c>
      <c r="BD17" s="14" t="str">
        <f>value(vlookup($A17,IMDpivot!$A$1:$BH$11,column()-column($O17)+2,0))</f>
        <v>#N/A</v>
      </c>
      <c r="BE17" s="14" t="str">
        <f>value(vlookup($A17,IMDpivot!$A$1:$BH$11,column()-column($O17)+2,0))</f>
        <v>#N/A</v>
      </c>
      <c r="BF17" s="14" t="str">
        <f>value(vlookup($A17,IMDpivot!$A$1:$BH$11,column()-column($O17)+2,0))</f>
        <v>#N/A</v>
      </c>
      <c r="BG17" s="15" t="str">
        <f>value(vlookup($A17,IMDpivot!$A$1:$BH$11,column()-column($BG17)+46,0))</f>
        <v>#N/A</v>
      </c>
      <c r="BH17" s="15" t="str">
        <f>value(vlookup($A17,IMDpivot!$A$1:$BH$11,column()-column($BG17)+46,0))</f>
        <v>#N/A</v>
      </c>
      <c r="BI17" s="15" t="str">
        <f>value(vlookup($A17,IMDpivot!$A$1:$BH$11,column()-column($BG17)+46,0))</f>
        <v>#N/A</v>
      </c>
      <c r="BJ17" s="15" t="str">
        <f>value(vlookup($A17,IMDpivot!$A$1:$BH$11,column()-column($BG17)+46,0))</f>
        <v>#N/A</v>
      </c>
      <c r="BK17" s="15" t="str">
        <f>value(vlookup($A17,IMDpivot!$A$1:$BH$11,column()-column($BG17)+46,0))</f>
        <v>#N/A</v>
      </c>
      <c r="BL17" s="15" t="str">
        <f>value(vlookup($A17,IMDpivot!$A$1:$BH$11,column()-column($BG17)+46,0))</f>
        <v>#N/A</v>
      </c>
      <c r="BM17" s="15" t="str">
        <f>value(vlookup($A17,IMDpivot!$A$1:$BH$11,column()-column($BG17)+46,0))</f>
        <v>#N/A</v>
      </c>
      <c r="BN17" s="15" t="str">
        <f>value(vlookup($A17,IMDpivot!$A$1:$BH$11,column()-column($BG17)+46,0))</f>
        <v>#N/A</v>
      </c>
      <c r="BO17" s="15" t="str">
        <f>value(vlookup($A17,IMDpivot!$A$1:$BH$11,column()-column($BG17)+46,0))</f>
        <v>#N/A</v>
      </c>
      <c r="BP17" s="15" t="str">
        <f>value(vlookup($A17,IMDpivot!$A$1:$BH$11,column()-column($BG17)+46,0))</f>
        <v>#N/A</v>
      </c>
      <c r="BQ17" s="15" t="str">
        <f>value(vlookup($A17,IMDpivot!$A$1:$BH$11,column()-column($BG17)+46,0))</f>
        <v>#N/A</v>
      </c>
      <c r="BR17" s="15" t="str">
        <f>value(vlookup($A17,IMDpivot!$A$1:$BH$11,column()-column($BG17)+46,0))</f>
        <v>#N/A</v>
      </c>
      <c r="BS17" s="15" t="str">
        <f>value(vlookup($A17,IMDpivot!$A$1:$BH$11,column()-column($BG17)+46,0))</f>
        <v>#N/A</v>
      </c>
      <c r="BT17" s="15" t="str">
        <f>value(vlookup($A17,IMDpivot!$A$1:$BH$11,column()-column($BG17)+46,0))</f>
        <v>#N/A</v>
      </c>
      <c r="BU17" s="15" t="str">
        <f>value(vlookup($A17,IMDpivot!$A$1:$BH$11,column()-column($BG17)+46,0))</f>
        <v>#N/A</v>
      </c>
      <c r="BV17" s="10">
        <f>value(vlookup($A17,USNews!$A$1:$D$20,column()-column($BV17)+2,0))</f>
        <v>116</v>
      </c>
      <c r="BW17" s="11">
        <f>value(vlookup($A17,USNews!$A$1:$D$20,column()-column($BV17)+2,0))</f>
        <v>6</v>
      </c>
      <c r="BX17" s="11">
        <f>value(vlookup($A17,USNews!$A$1:$D$20,column()-column($BV17)+2,0))</f>
        <v>6.6</v>
      </c>
    </row>
    <row r="18">
      <c r="A18" s="2" t="s">
        <v>1295</v>
      </c>
      <c r="B18" s="2">
        <f>VLOOKUP($A18, NumbeoPivot!$A18:$J1000, column()-column($B18) + 2, FALSE)</f>
        <v>115.93</v>
      </c>
      <c r="C18" s="2">
        <f>VLOOKUP($A18, NumbeoPivot!$A18:$J1000, column()-column($B18) + 2, FALSE)</f>
        <v>51.73</v>
      </c>
      <c r="D18" s="2">
        <f>VLOOKUP($A18, NumbeoPivot!$A18:$J1000, column()-column($B18) + 2, FALSE)</f>
        <v>67.63</v>
      </c>
      <c r="E18" s="2">
        <f>VLOOKUP($A18, NumbeoPivot!$A18:$J1000, column()-column($B18) + 2, FALSE)</f>
        <v>80.58</v>
      </c>
      <c r="F18" s="2">
        <f>VLOOKUP($A18, NumbeoPivot!$A18:$J1000, column()-column($B18) + 2, FALSE)</f>
        <v>67.04</v>
      </c>
      <c r="G18" s="2">
        <f>VLOOKUP($A18, NumbeoPivot!$A18:$J1000, column()-column($B18) + 2, FALSE)</f>
        <v>6.67</v>
      </c>
      <c r="H18" s="2">
        <f>VLOOKUP($A18, NumbeoPivot!$A18:$J1000, column()-column($B18) + 2, FALSE)</f>
        <v>33.52</v>
      </c>
      <c r="I18" s="2">
        <f>VLOOKUP($A18, NumbeoPivot!$A18:$J1000, column()-column($B18) + 2, FALSE)</f>
        <v>43.86</v>
      </c>
      <c r="J18" s="2">
        <f>VLOOKUP($A18, NumbeoPivot!$A18:$J1000, column()-column($B18) + 2, FALSE)</f>
        <v>166.77</v>
      </c>
      <c r="K18" s="2" t="str">
        <f>int(vlookup(A18,IESE2014pivot!$B$1:$D$8,3,0))</f>
        <v>#N/A</v>
      </c>
      <c r="L18" s="2" t="str">
        <f>VALUE(vlookup(A18,IESE2014pivot!$B$1:$D$8,2,0))</f>
        <v>#N/A</v>
      </c>
      <c r="M18" s="2">
        <f>int(vlookup(A18,IESE2024pivot!$B$1:$D$20,3,0))</f>
        <v>74</v>
      </c>
      <c r="N18" s="2">
        <f>value(vlookup(A18,IESE2024pivot!$B$1:$D$20,2,0))</f>
        <v>54.61</v>
      </c>
      <c r="O18" s="13" t="str">
        <f>vlookup($A18,IMDpivot!$A$1:$BH$11,column()-column($O18)+2,0)</f>
        <v>#N/A</v>
      </c>
      <c r="P18" s="12" t="str">
        <f>vlookup($A18,IMDpivot!$A$1:$BH$11,column()-column($O18)+2,0)</f>
        <v>#N/A</v>
      </c>
      <c r="Q18" s="12" t="str">
        <f>vlookup($A18,IMDpivot!$A$1:$BH$11,column()-column($O18)+2,0)</f>
        <v>#N/A</v>
      </c>
      <c r="R18" s="12" t="str">
        <f>vlookup($A18,IMDpivot!$A$1:$BH$11,column()-column($O18)+2,0)</f>
        <v>#N/A</v>
      </c>
      <c r="S18" s="12" t="str">
        <f>vlookup($A18,IMDpivot!$A$1:$BH$11,column()-column($O18)+2,0)</f>
        <v>#N/A</v>
      </c>
      <c r="T18" s="14" t="str">
        <f>value(vlookup($A18,IMDpivot!$A$1:$BH$11,column()-column($O18)+2,0))</f>
        <v>#N/A</v>
      </c>
      <c r="U18" s="14" t="str">
        <f>value(vlookup($A18,IMDpivot!$A$1:$BH$11,column()-column($O18)+2,0))</f>
        <v>#N/A</v>
      </c>
      <c r="V18" s="14" t="str">
        <f>value(vlookup($A18,IMDpivot!$A$1:$BH$11,column()-column($O18)+2,0))</f>
        <v>#N/A</v>
      </c>
      <c r="W18" s="14" t="str">
        <f>value(vlookup($A18,IMDpivot!$A$1:$BH$11,column()-column($O18)+2,0))</f>
        <v>#N/A</v>
      </c>
      <c r="X18" s="14" t="str">
        <f>value(vlookup($A18,IMDpivot!$A$1:$BH$11,column()-column($O18)+2,0))</f>
        <v>#N/A</v>
      </c>
      <c r="Y18" s="14" t="str">
        <f>value(vlookup($A18,IMDpivot!$A$1:$BH$11,column()-column($O18)+2,0))</f>
        <v>#N/A</v>
      </c>
      <c r="Z18" s="14" t="str">
        <f>value(vlookup($A18,IMDpivot!$A$1:$BH$11,column()-column($O18)+2,0))</f>
        <v>#N/A</v>
      </c>
      <c r="AA18" s="14" t="str">
        <f>value(vlookup($A18,IMDpivot!$A$1:$BH$11,column()-column($O18)+2,0))</f>
        <v>#N/A</v>
      </c>
      <c r="AB18" s="14" t="str">
        <f>value(vlookup($A18,IMDpivot!$A$1:$BH$11,column()-column($O18)+2,0))</f>
        <v>#N/A</v>
      </c>
      <c r="AC18" s="14" t="str">
        <f>value(vlookup($A18,IMDpivot!$A$1:$BH$11,column()-column($O18)+2,0))</f>
        <v>#N/A</v>
      </c>
      <c r="AD18" s="14" t="str">
        <f>value(vlookup($A18,IMDpivot!$A$1:$BH$11,column()-column($O18)+2,0))</f>
        <v>#N/A</v>
      </c>
      <c r="AE18" s="14" t="str">
        <f>value(vlookup($A18,IMDpivot!$A$1:$BH$11,column()-column($O18)+2,0))</f>
        <v>#N/A</v>
      </c>
      <c r="AF18" s="14" t="str">
        <f>value(vlookup($A18,IMDpivot!$A$1:$BH$11,column()-column($O18)+2,0))</f>
        <v>#N/A</v>
      </c>
      <c r="AG18" s="14" t="str">
        <f>value(vlookup($A18,IMDpivot!$A$1:$BH$11,column()-column($O18)+2,0))</f>
        <v>#N/A</v>
      </c>
      <c r="AH18" s="14" t="str">
        <f>value(vlookup($A18,IMDpivot!$A$1:$BH$11,column()-column($O18)+2,0))</f>
        <v>#N/A</v>
      </c>
      <c r="AI18" s="14" t="str">
        <f>value(vlookup($A18,IMDpivot!$A$1:$BH$11,column()-column($O18)+2,0))</f>
        <v>#N/A</v>
      </c>
      <c r="AJ18" s="14" t="str">
        <f>value(vlookup($A18,IMDpivot!$A$1:$BH$11,column()-column($O18)+2,0))</f>
        <v>#N/A</v>
      </c>
      <c r="AK18" s="14" t="str">
        <f>value(vlookup($A18,IMDpivot!$A$1:$BH$11,column()-column($O18)+2,0))</f>
        <v>#N/A</v>
      </c>
      <c r="AL18" s="14" t="str">
        <f>value(vlookup($A18,IMDpivot!$A$1:$BH$11,column()-column($O18)+2,0))</f>
        <v>#N/A</v>
      </c>
      <c r="AM18" s="14" t="str">
        <f>value(vlookup($A18,IMDpivot!$A$1:$BH$11,column()-column($O18)+2,0))</f>
        <v>#N/A</v>
      </c>
      <c r="AN18" s="14" t="str">
        <f>value(vlookup($A18,IMDpivot!$A$1:$BH$11,column()-column($O18)+2,0))</f>
        <v>#N/A</v>
      </c>
      <c r="AO18" s="14" t="str">
        <f>value(vlookup($A18,IMDpivot!$A$1:$BH$11,column()-column($O18)+2,0))</f>
        <v>#N/A</v>
      </c>
      <c r="AP18" s="14" t="str">
        <f>value(vlookup($A18,IMDpivot!$A$1:$BH$11,column()-column($O18)+2,0))</f>
        <v>#N/A</v>
      </c>
      <c r="AQ18" s="14" t="str">
        <f>value(vlookup($A18,IMDpivot!$A$1:$BH$11,column()-column($O18)+2,0))</f>
        <v>#N/A</v>
      </c>
      <c r="AR18" s="14" t="str">
        <f>value(vlookup($A18,IMDpivot!$A$1:$BH$11,column()-column($O18)+2,0))</f>
        <v>#N/A</v>
      </c>
      <c r="AS18" s="14" t="str">
        <f>value(vlookup($A18,IMDpivot!$A$1:$BH$11,column()-column($O18)+2,0))</f>
        <v>#N/A</v>
      </c>
      <c r="AT18" s="14" t="str">
        <f>value(vlookup($A18,IMDpivot!$A$1:$BH$11,column()-column($O18)+2,0))</f>
        <v>#N/A</v>
      </c>
      <c r="AU18" s="14" t="str">
        <f>value(vlookup($A18,IMDpivot!$A$1:$BH$11,column()-column($O18)+2,0))</f>
        <v>#N/A</v>
      </c>
      <c r="AV18" s="14" t="str">
        <f>value(vlookup($A18,IMDpivot!$A$1:$BH$11,column()-column($O18)+2,0))</f>
        <v>#N/A</v>
      </c>
      <c r="AW18" s="14" t="str">
        <f>value(vlookup($A18,IMDpivot!$A$1:$BH$11,column()-column($O18)+2,0))</f>
        <v>#N/A</v>
      </c>
      <c r="AX18" s="14" t="str">
        <f>value(vlookup($A18,IMDpivot!$A$1:$BH$11,column()-column($O18)+2,0))</f>
        <v>#N/A</v>
      </c>
      <c r="AY18" s="14" t="str">
        <f>value(vlookup($A18,IMDpivot!$A$1:$BH$11,column()-column($O18)+2,0))</f>
        <v>#N/A</v>
      </c>
      <c r="AZ18" s="14" t="str">
        <f>value(vlookup($A18,IMDpivot!$A$1:$BH$11,column()-column($O18)+2,0))</f>
        <v>#N/A</v>
      </c>
      <c r="BA18" s="14" t="str">
        <f>value(vlookup($A18,IMDpivot!$A$1:$BH$11,column()-column($O18)+2,0))</f>
        <v>#N/A</v>
      </c>
      <c r="BB18" s="14" t="str">
        <f>value(vlookup($A18,IMDpivot!$A$1:$BH$11,column()-column($O18)+2,0))</f>
        <v>#N/A</v>
      </c>
      <c r="BC18" s="14" t="str">
        <f>value(vlookup($A18,IMDpivot!$A$1:$BH$11,column()-column($O18)+2,0))</f>
        <v>#N/A</v>
      </c>
      <c r="BD18" s="14" t="str">
        <f>value(vlookup($A18,IMDpivot!$A$1:$BH$11,column()-column($O18)+2,0))</f>
        <v>#N/A</v>
      </c>
      <c r="BE18" s="14" t="str">
        <f>value(vlookup($A18,IMDpivot!$A$1:$BH$11,column()-column($O18)+2,0))</f>
        <v>#N/A</v>
      </c>
      <c r="BF18" s="14" t="str">
        <f>value(vlookup($A18,IMDpivot!$A$1:$BH$11,column()-column($O18)+2,0))</f>
        <v>#N/A</v>
      </c>
      <c r="BG18" s="15" t="str">
        <f>value(vlookup($A18,IMDpivot!$A$1:$BH$11,column()-column($BG18)+46,0))</f>
        <v>#N/A</v>
      </c>
      <c r="BH18" s="15" t="str">
        <f>value(vlookup($A18,IMDpivot!$A$1:$BH$11,column()-column($BG18)+46,0))</f>
        <v>#N/A</v>
      </c>
      <c r="BI18" s="15" t="str">
        <f>value(vlookup($A18,IMDpivot!$A$1:$BH$11,column()-column($BG18)+46,0))</f>
        <v>#N/A</v>
      </c>
      <c r="BJ18" s="15" t="str">
        <f>value(vlookup($A18,IMDpivot!$A$1:$BH$11,column()-column($BG18)+46,0))</f>
        <v>#N/A</v>
      </c>
      <c r="BK18" s="15" t="str">
        <f>value(vlookup($A18,IMDpivot!$A$1:$BH$11,column()-column($BG18)+46,0))</f>
        <v>#N/A</v>
      </c>
      <c r="BL18" s="15" t="str">
        <f>value(vlookup($A18,IMDpivot!$A$1:$BH$11,column()-column($BG18)+46,0))</f>
        <v>#N/A</v>
      </c>
      <c r="BM18" s="15" t="str">
        <f>value(vlookup($A18,IMDpivot!$A$1:$BH$11,column()-column($BG18)+46,0))</f>
        <v>#N/A</v>
      </c>
      <c r="BN18" s="15" t="str">
        <f>value(vlookup($A18,IMDpivot!$A$1:$BH$11,column()-column($BG18)+46,0))</f>
        <v>#N/A</v>
      </c>
      <c r="BO18" s="15" t="str">
        <f>value(vlookup($A18,IMDpivot!$A$1:$BH$11,column()-column($BG18)+46,0))</f>
        <v>#N/A</v>
      </c>
      <c r="BP18" s="15" t="str">
        <f>value(vlookup($A18,IMDpivot!$A$1:$BH$11,column()-column($BG18)+46,0))</f>
        <v>#N/A</v>
      </c>
      <c r="BQ18" s="15" t="str">
        <f>value(vlookup($A18,IMDpivot!$A$1:$BH$11,column()-column($BG18)+46,0))</f>
        <v>#N/A</v>
      </c>
      <c r="BR18" s="15" t="str">
        <f>value(vlookup($A18,IMDpivot!$A$1:$BH$11,column()-column($BG18)+46,0))</f>
        <v>#N/A</v>
      </c>
      <c r="BS18" s="15" t="str">
        <f>value(vlookup($A18,IMDpivot!$A$1:$BH$11,column()-column($BG18)+46,0))</f>
        <v>#N/A</v>
      </c>
      <c r="BT18" s="15" t="str">
        <f>value(vlookup($A18,IMDpivot!$A$1:$BH$11,column()-column($BG18)+46,0))</f>
        <v>#N/A</v>
      </c>
      <c r="BU18" s="15" t="str">
        <f>value(vlookup($A18,IMDpivot!$A$1:$BH$11,column()-column($BG18)+46,0))</f>
        <v>#N/A</v>
      </c>
      <c r="BV18" s="10">
        <f>value(vlookup($A18,USNews!$A$1:$D$20,column()-column($BV18)+2,0))</f>
        <v>103</v>
      </c>
      <c r="BW18" s="11">
        <f>value(vlookup($A18,USNews!$A$1:$D$20,column()-column($BV18)+2,0))</f>
        <v>6.1</v>
      </c>
      <c r="BX18" s="11">
        <f>value(vlookup($A18,USNews!$A$1:$D$20,column()-column($BV18)+2,0))</f>
        <v>6.6</v>
      </c>
    </row>
    <row r="19">
      <c r="A19" s="2" t="s">
        <v>1296</v>
      </c>
      <c r="B19" s="2">
        <f>VLOOKUP($A19, NumbeoPivot!$A19:$J1000, column()-column($B19) + 2, FALSE)</f>
        <v>122.98</v>
      </c>
      <c r="C19" s="2">
        <f>VLOOKUP($A19, NumbeoPivot!$A19:$J1000, column()-column($B19) + 2, FALSE)</f>
        <v>25.67</v>
      </c>
      <c r="D19" s="2">
        <f>VLOOKUP($A19, NumbeoPivot!$A19:$J1000, column()-column($B19) + 2, FALSE)</f>
        <v>63.15</v>
      </c>
      <c r="E19" s="2">
        <f>VLOOKUP($A19, NumbeoPivot!$A19:$J1000, column()-column($B19) + 2, FALSE)</f>
        <v>66.03</v>
      </c>
      <c r="F19" s="2">
        <f>VLOOKUP($A19, NumbeoPivot!$A19:$J1000, column()-column($B19) + 2, FALSE)</f>
        <v>71.77</v>
      </c>
      <c r="G19" s="2">
        <f>VLOOKUP($A19, NumbeoPivot!$A19:$J1000, column()-column($B19) + 2, FALSE)</f>
        <v>1.23</v>
      </c>
      <c r="H19" s="2">
        <f>VLOOKUP($A19, NumbeoPivot!$A19:$J1000, column()-column($B19) + 2, FALSE)</f>
        <v>44.19</v>
      </c>
      <c r="I19" s="2">
        <f>VLOOKUP($A19, NumbeoPivot!$A19:$J1000, column()-column($B19) + 2, FALSE)</f>
        <v>60.73</v>
      </c>
      <c r="J19" s="2">
        <f>VLOOKUP($A19, NumbeoPivot!$A19:$J1000, column()-column($B19) + 2, FALSE)</f>
        <v>138.3</v>
      </c>
      <c r="K19" s="2" t="str">
        <f>int(vlookup(A19,IESE2014pivot!$B$1:$D$8,3,0))</f>
        <v>#N/A</v>
      </c>
      <c r="L19" s="2" t="str">
        <f>VALUE(vlookup(A19,IESE2014pivot!$B$1:$D$8,2,0))</f>
        <v>#N/A</v>
      </c>
      <c r="M19" s="2">
        <f>int(vlookup(A19,IESE2024pivot!$B$1:$D$20,3,0))</f>
        <v>75</v>
      </c>
      <c r="N19" s="2">
        <f>value(vlookup(A19,IESE2024pivot!$B$1:$D$20,2,0))</f>
        <v>54.53</v>
      </c>
      <c r="O19" s="13" t="str">
        <f>vlookup($A19,IMDpivot!$A$1:$BH$11,column()-column($O19)+2,0)</f>
        <v>#N/A</v>
      </c>
      <c r="P19" s="12" t="str">
        <f>vlookup($A19,IMDpivot!$A$1:$BH$11,column()-column($O19)+2,0)</f>
        <v>#N/A</v>
      </c>
      <c r="Q19" s="12" t="str">
        <f>vlookup($A19,IMDpivot!$A$1:$BH$11,column()-column($O19)+2,0)</f>
        <v>#N/A</v>
      </c>
      <c r="R19" s="12" t="str">
        <f>vlookup($A19,IMDpivot!$A$1:$BH$11,column()-column($O19)+2,0)</f>
        <v>#N/A</v>
      </c>
      <c r="S19" s="12" t="str">
        <f>vlookup($A19,IMDpivot!$A$1:$BH$11,column()-column($O19)+2,0)</f>
        <v>#N/A</v>
      </c>
      <c r="T19" s="14" t="str">
        <f>value(vlookup($A19,IMDpivot!$A$1:$BH$11,column()-column($O19)+2,0))</f>
        <v>#N/A</v>
      </c>
      <c r="U19" s="14" t="str">
        <f>value(vlookup($A19,IMDpivot!$A$1:$BH$11,column()-column($O19)+2,0))</f>
        <v>#N/A</v>
      </c>
      <c r="V19" s="14" t="str">
        <f>value(vlookup($A19,IMDpivot!$A$1:$BH$11,column()-column($O19)+2,0))</f>
        <v>#N/A</v>
      </c>
      <c r="W19" s="14" t="str">
        <f>value(vlookup($A19,IMDpivot!$A$1:$BH$11,column()-column($O19)+2,0))</f>
        <v>#N/A</v>
      </c>
      <c r="X19" s="14" t="str">
        <f>value(vlookup($A19,IMDpivot!$A$1:$BH$11,column()-column($O19)+2,0))</f>
        <v>#N/A</v>
      </c>
      <c r="Y19" s="14" t="str">
        <f>value(vlookup($A19,IMDpivot!$A$1:$BH$11,column()-column($O19)+2,0))</f>
        <v>#N/A</v>
      </c>
      <c r="Z19" s="14" t="str">
        <f>value(vlookup($A19,IMDpivot!$A$1:$BH$11,column()-column($O19)+2,0))</f>
        <v>#N/A</v>
      </c>
      <c r="AA19" s="14" t="str">
        <f>value(vlookup($A19,IMDpivot!$A$1:$BH$11,column()-column($O19)+2,0))</f>
        <v>#N/A</v>
      </c>
      <c r="AB19" s="14" t="str">
        <f>value(vlookup($A19,IMDpivot!$A$1:$BH$11,column()-column($O19)+2,0))</f>
        <v>#N/A</v>
      </c>
      <c r="AC19" s="14" t="str">
        <f>value(vlookup($A19,IMDpivot!$A$1:$BH$11,column()-column($O19)+2,0))</f>
        <v>#N/A</v>
      </c>
      <c r="AD19" s="14" t="str">
        <f>value(vlookup($A19,IMDpivot!$A$1:$BH$11,column()-column($O19)+2,0))</f>
        <v>#N/A</v>
      </c>
      <c r="AE19" s="14" t="str">
        <f>value(vlookup($A19,IMDpivot!$A$1:$BH$11,column()-column($O19)+2,0))</f>
        <v>#N/A</v>
      </c>
      <c r="AF19" s="14" t="str">
        <f>value(vlookup($A19,IMDpivot!$A$1:$BH$11,column()-column($O19)+2,0))</f>
        <v>#N/A</v>
      </c>
      <c r="AG19" s="14" t="str">
        <f>value(vlookup($A19,IMDpivot!$A$1:$BH$11,column()-column($O19)+2,0))</f>
        <v>#N/A</v>
      </c>
      <c r="AH19" s="14" t="str">
        <f>value(vlookup($A19,IMDpivot!$A$1:$BH$11,column()-column($O19)+2,0))</f>
        <v>#N/A</v>
      </c>
      <c r="AI19" s="14" t="str">
        <f>value(vlookup($A19,IMDpivot!$A$1:$BH$11,column()-column($O19)+2,0))</f>
        <v>#N/A</v>
      </c>
      <c r="AJ19" s="14" t="str">
        <f>value(vlookup($A19,IMDpivot!$A$1:$BH$11,column()-column($O19)+2,0))</f>
        <v>#N/A</v>
      </c>
      <c r="AK19" s="14" t="str">
        <f>value(vlookup($A19,IMDpivot!$A$1:$BH$11,column()-column($O19)+2,0))</f>
        <v>#N/A</v>
      </c>
      <c r="AL19" s="14" t="str">
        <f>value(vlookup($A19,IMDpivot!$A$1:$BH$11,column()-column($O19)+2,0))</f>
        <v>#N/A</v>
      </c>
      <c r="AM19" s="14" t="str">
        <f>value(vlookup($A19,IMDpivot!$A$1:$BH$11,column()-column($O19)+2,0))</f>
        <v>#N/A</v>
      </c>
      <c r="AN19" s="14" t="str">
        <f>value(vlookup($A19,IMDpivot!$A$1:$BH$11,column()-column($O19)+2,0))</f>
        <v>#N/A</v>
      </c>
      <c r="AO19" s="14" t="str">
        <f>value(vlookup($A19,IMDpivot!$A$1:$BH$11,column()-column($O19)+2,0))</f>
        <v>#N/A</v>
      </c>
      <c r="AP19" s="14" t="str">
        <f>value(vlookup($A19,IMDpivot!$A$1:$BH$11,column()-column($O19)+2,0))</f>
        <v>#N/A</v>
      </c>
      <c r="AQ19" s="14" t="str">
        <f>value(vlookup($A19,IMDpivot!$A$1:$BH$11,column()-column($O19)+2,0))</f>
        <v>#N/A</v>
      </c>
      <c r="AR19" s="14" t="str">
        <f>value(vlookup($A19,IMDpivot!$A$1:$BH$11,column()-column($O19)+2,0))</f>
        <v>#N/A</v>
      </c>
      <c r="AS19" s="14" t="str">
        <f>value(vlookup($A19,IMDpivot!$A$1:$BH$11,column()-column($O19)+2,0))</f>
        <v>#N/A</v>
      </c>
      <c r="AT19" s="14" t="str">
        <f>value(vlookup($A19,IMDpivot!$A$1:$BH$11,column()-column($O19)+2,0))</f>
        <v>#N/A</v>
      </c>
      <c r="AU19" s="14" t="str">
        <f>value(vlookup($A19,IMDpivot!$A$1:$BH$11,column()-column($O19)+2,0))</f>
        <v>#N/A</v>
      </c>
      <c r="AV19" s="14" t="str">
        <f>value(vlookup($A19,IMDpivot!$A$1:$BH$11,column()-column($O19)+2,0))</f>
        <v>#N/A</v>
      </c>
      <c r="AW19" s="14" t="str">
        <f>value(vlookup($A19,IMDpivot!$A$1:$BH$11,column()-column($O19)+2,0))</f>
        <v>#N/A</v>
      </c>
      <c r="AX19" s="14" t="str">
        <f>value(vlookup($A19,IMDpivot!$A$1:$BH$11,column()-column($O19)+2,0))</f>
        <v>#N/A</v>
      </c>
      <c r="AY19" s="14" t="str">
        <f>value(vlookup($A19,IMDpivot!$A$1:$BH$11,column()-column($O19)+2,0))</f>
        <v>#N/A</v>
      </c>
      <c r="AZ19" s="14" t="str">
        <f>value(vlookup($A19,IMDpivot!$A$1:$BH$11,column()-column($O19)+2,0))</f>
        <v>#N/A</v>
      </c>
      <c r="BA19" s="14" t="str">
        <f>value(vlookup($A19,IMDpivot!$A$1:$BH$11,column()-column($O19)+2,0))</f>
        <v>#N/A</v>
      </c>
      <c r="BB19" s="14" t="str">
        <f>value(vlookup($A19,IMDpivot!$A$1:$BH$11,column()-column($O19)+2,0))</f>
        <v>#N/A</v>
      </c>
      <c r="BC19" s="14" t="str">
        <f>value(vlookup($A19,IMDpivot!$A$1:$BH$11,column()-column($O19)+2,0))</f>
        <v>#N/A</v>
      </c>
      <c r="BD19" s="14" t="str">
        <f>value(vlookup($A19,IMDpivot!$A$1:$BH$11,column()-column($O19)+2,0))</f>
        <v>#N/A</v>
      </c>
      <c r="BE19" s="14" t="str">
        <f>value(vlookup($A19,IMDpivot!$A$1:$BH$11,column()-column($O19)+2,0))</f>
        <v>#N/A</v>
      </c>
      <c r="BF19" s="14" t="str">
        <f>value(vlookup($A19,IMDpivot!$A$1:$BH$11,column()-column($O19)+2,0))</f>
        <v>#N/A</v>
      </c>
      <c r="BG19" s="15" t="str">
        <f>value(vlookup($A19,IMDpivot!$A$1:$BH$11,column()-column($BG19)+46,0))</f>
        <v>#N/A</v>
      </c>
      <c r="BH19" s="15" t="str">
        <f>value(vlookup($A19,IMDpivot!$A$1:$BH$11,column()-column($BG19)+46,0))</f>
        <v>#N/A</v>
      </c>
      <c r="BI19" s="15" t="str">
        <f>value(vlookup($A19,IMDpivot!$A$1:$BH$11,column()-column($BG19)+46,0))</f>
        <v>#N/A</v>
      </c>
      <c r="BJ19" s="15" t="str">
        <f>value(vlookup($A19,IMDpivot!$A$1:$BH$11,column()-column($BG19)+46,0))</f>
        <v>#N/A</v>
      </c>
      <c r="BK19" s="15" t="str">
        <f>value(vlookup($A19,IMDpivot!$A$1:$BH$11,column()-column($BG19)+46,0))</f>
        <v>#N/A</v>
      </c>
      <c r="BL19" s="15" t="str">
        <f>value(vlookup($A19,IMDpivot!$A$1:$BH$11,column()-column($BG19)+46,0))</f>
        <v>#N/A</v>
      </c>
      <c r="BM19" s="15" t="str">
        <f>value(vlookup($A19,IMDpivot!$A$1:$BH$11,column()-column($BG19)+46,0))</f>
        <v>#N/A</v>
      </c>
      <c r="BN19" s="15" t="str">
        <f>value(vlookup($A19,IMDpivot!$A$1:$BH$11,column()-column($BG19)+46,0))</f>
        <v>#N/A</v>
      </c>
      <c r="BO19" s="15" t="str">
        <f>value(vlookup($A19,IMDpivot!$A$1:$BH$11,column()-column($BG19)+46,0))</f>
        <v>#N/A</v>
      </c>
      <c r="BP19" s="15" t="str">
        <f>value(vlookup($A19,IMDpivot!$A$1:$BH$11,column()-column($BG19)+46,0))</f>
        <v>#N/A</v>
      </c>
      <c r="BQ19" s="15" t="str">
        <f>value(vlookup($A19,IMDpivot!$A$1:$BH$11,column()-column($BG19)+46,0))</f>
        <v>#N/A</v>
      </c>
      <c r="BR19" s="15" t="str">
        <f>value(vlookup($A19,IMDpivot!$A$1:$BH$11,column()-column($BG19)+46,0))</f>
        <v>#N/A</v>
      </c>
      <c r="BS19" s="15" t="str">
        <f>value(vlookup($A19,IMDpivot!$A$1:$BH$11,column()-column($BG19)+46,0))</f>
        <v>#N/A</v>
      </c>
      <c r="BT19" s="15" t="str">
        <f>value(vlookup($A19,IMDpivot!$A$1:$BH$11,column()-column($BG19)+46,0))</f>
        <v>#N/A</v>
      </c>
      <c r="BU19" s="15" t="str">
        <f>value(vlookup($A19,IMDpivot!$A$1:$BH$11,column()-column($BG19)+46,0))</f>
        <v>#N/A</v>
      </c>
      <c r="BV19" s="10">
        <f>value(vlookup($A19,USNews!$A$1:$D$20,column()-column($BV19)+2,0))</f>
        <v>114</v>
      </c>
      <c r="BW19" s="11">
        <f>value(vlookup($A19,USNews!$A$1:$D$20,column()-column($BV19)+2,0))</f>
        <v>6</v>
      </c>
      <c r="BX19" s="11">
        <f>value(vlookup($A19,USNews!$A$1:$D$20,column()-column($BV19)+2,0))</f>
        <v>6.1</v>
      </c>
    </row>
    <row r="20">
      <c r="A20" s="2" t="s">
        <v>1297</v>
      </c>
      <c r="B20" s="2">
        <f>VLOOKUP($A20, NumbeoPivot!$A20:$J1000, column()-column($B20) + 2, FALSE)</f>
        <v>122.23</v>
      </c>
      <c r="C20" s="2">
        <f>VLOOKUP($A20, NumbeoPivot!$A20:$J1000, column()-column($B20) + 2, FALSE)</f>
        <v>44.45</v>
      </c>
      <c r="D20" s="2">
        <f>VLOOKUP($A20, NumbeoPivot!$A20:$J1000, column()-column($B20) + 2, FALSE)</f>
        <v>54.36</v>
      </c>
      <c r="E20" s="2">
        <f>VLOOKUP($A20, NumbeoPivot!$A20:$J1000, column()-column($B20) + 2, FALSE)</f>
        <v>57.4</v>
      </c>
      <c r="F20" s="2">
        <f>VLOOKUP($A20, NumbeoPivot!$A20:$J1000, column()-column($B20) + 2, FALSE)</f>
        <v>69.32</v>
      </c>
      <c r="G20" s="2">
        <f>VLOOKUP($A20, NumbeoPivot!$A20:$J1000, column()-column($B20) + 2, FALSE)</f>
        <v>3.49</v>
      </c>
      <c r="H20" s="2">
        <f>VLOOKUP($A20, NumbeoPivot!$A20:$J1000, column()-column($B20) + 2, FALSE)</f>
        <v>27.7</v>
      </c>
      <c r="I20" s="2">
        <f>VLOOKUP($A20, NumbeoPivot!$A20:$J1000, column()-column($B20) + 2, FALSE)</f>
        <v>51.99</v>
      </c>
      <c r="J20" s="2">
        <f>VLOOKUP($A20, NumbeoPivot!$A20:$J1000, column()-column($B20) + 2, FALSE)</f>
        <v>153.06</v>
      </c>
      <c r="K20" s="2" t="str">
        <f>int(vlookup(A20,IESE2014pivot!$B$1:$D$8,3,0))</f>
        <v>#N/A</v>
      </c>
      <c r="L20" s="2" t="str">
        <f>VALUE(vlookup(A20,IESE2014pivot!$B$1:$D$8,2,0))</f>
        <v>#N/A</v>
      </c>
      <c r="M20" s="2">
        <f>int(vlookup(A20,IESE2024pivot!$B$1:$D$20,3,0))</f>
        <v>78</v>
      </c>
      <c r="N20" s="2">
        <f>value(vlookup(A20,IESE2024pivot!$B$1:$D$20,2,0))</f>
        <v>53.91</v>
      </c>
      <c r="O20" s="13" t="str">
        <f>vlookup($A20,IMDpivot!$A$1:$BH$11,column()-column($O20)+2,0)</f>
        <v>#N/A</v>
      </c>
      <c r="P20" s="12" t="str">
        <f>vlookup($A20,IMDpivot!$A$1:$BH$11,column()-column($O20)+2,0)</f>
        <v>#N/A</v>
      </c>
      <c r="Q20" s="12" t="str">
        <f>vlookup($A20,IMDpivot!$A$1:$BH$11,column()-column($O20)+2,0)</f>
        <v>#N/A</v>
      </c>
      <c r="R20" s="12" t="str">
        <f>vlookup($A20,IMDpivot!$A$1:$BH$11,column()-column($O20)+2,0)</f>
        <v>#N/A</v>
      </c>
      <c r="S20" s="12" t="str">
        <f>vlookup($A20,IMDpivot!$A$1:$BH$11,column()-column($O20)+2,0)</f>
        <v>#N/A</v>
      </c>
      <c r="T20" s="14" t="str">
        <f>value(vlookup($A20,IMDpivot!$A$1:$BH$11,column()-column($O20)+2,0))</f>
        <v>#N/A</v>
      </c>
      <c r="U20" s="14" t="str">
        <f>value(vlookup($A20,IMDpivot!$A$1:$BH$11,column()-column($O20)+2,0))</f>
        <v>#N/A</v>
      </c>
      <c r="V20" s="14" t="str">
        <f>value(vlookup($A20,IMDpivot!$A$1:$BH$11,column()-column($O20)+2,0))</f>
        <v>#N/A</v>
      </c>
      <c r="W20" s="14" t="str">
        <f>value(vlookup($A20,IMDpivot!$A$1:$BH$11,column()-column($O20)+2,0))</f>
        <v>#N/A</v>
      </c>
      <c r="X20" s="14" t="str">
        <f>value(vlookup($A20,IMDpivot!$A$1:$BH$11,column()-column($O20)+2,0))</f>
        <v>#N/A</v>
      </c>
      <c r="Y20" s="14" t="str">
        <f>value(vlookup($A20,IMDpivot!$A$1:$BH$11,column()-column($O20)+2,0))</f>
        <v>#N/A</v>
      </c>
      <c r="Z20" s="14" t="str">
        <f>value(vlookup($A20,IMDpivot!$A$1:$BH$11,column()-column($O20)+2,0))</f>
        <v>#N/A</v>
      </c>
      <c r="AA20" s="14" t="str">
        <f>value(vlookup($A20,IMDpivot!$A$1:$BH$11,column()-column($O20)+2,0))</f>
        <v>#N/A</v>
      </c>
      <c r="AB20" s="14" t="str">
        <f>value(vlookup($A20,IMDpivot!$A$1:$BH$11,column()-column($O20)+2,0))</f>
        <v>#N/A</v>
      </c>
      <c r="AC20" s="14" t="str">
        <f>value(vlookup($A20,IMDpivot!$A$1:$BH$11,column()-column($O20)+2,0))</f>
        <v>#N/A</v>
      </c>
      <c r="AD20" s="14" t="str">
        <f>value(vlookup($A20,IMDpivot!$A$1:$BH$11,column()-column($O20)+2,0))</f>
        <v>#N/A</v>
      </c>
      <c r="AE20" s="14" t="str">
        <f>value(vlookup($A20,IMDpivot!$A$1:$BH$11,column()-column($O20)+2,0))</f>
        <v>#N/A</v>
      </c>
      <c r="AF20" s="14" t="str">
        <f>value(vlookup($A20,IMDpivot!$A$1:$BH$11,column()-column($O20)+2,0))</f>
        <v>#N/A</v>
      </c>
      <c r="AG20" s="14" t="str">
        <f>value(vlookup($A20,IMDpivot!$A$1:$BH$11,column()-column($O20)+2,0))</f>
        <v>#N/A</v>
      </c>
      <c r="AH20" s="14" t="str">
        <f>value(vlookup($A20,IMDpivot!$A$1:$BH$11,column()-column($O20)+2,0))</f>
        <v>#N/A</v>
      </c>
      <c r="AI20" s="14" t="str">
        <f>value(vlookup($A20,IMDpivot!$A$1:$BH$11,column()-column($O20)+2,0))</f>
        <v>#N/A</v>
      </c>
      <c r="AJ20" s="14" t="str">
        <f>value(vlookup($A20,IMDpivot!$A$1:$BH$11,column()-column($O20)+2,0))</f>
        <v>#N/A</v>
      </c>
      <c r="AK20" s="14" t="str">
        <f>value(vlookup($A20,IMDpivot!$A$1:$BH$11,column()-column($O20)+2,0))</f>
        <v>#N/A</v>
      </c>
      <c r="AL20" s="14" t="str">
        <f>value(vlookup($A20,IMDpivot!$A$1:$BH$11,column()-column($O20)+2,0))</f>
        <v>#N/A</v>
      </c>
      <c r="AM20" s="14" t="str">
        <f>value(vlookup($A20,IMDpivot!$A$1:$BH$11,column()-column($O20)+2,0))</f>
        <v>#N/A</v>
      </c>
      <c r="AN20" s="14" t="str">
        <f>value(vlookup($A20,IMDpivot!$A$1:$BH$11,column()-column($O20)+2,0))</f>
        <v>#N/A</v>
      </c>
      <c r="AO20" s="14" t="str">
        <f>value(vlookup($A20,IMDpivot!$A$1:$BH$11,column()-column($O20)+2,0))</f>
        <v>#N/A</v>
      </c>
      <c r="AP20" s="14" t="str">
        <f>value(vlookup($A20,IMDpivot!$A$1:$BH$11,column()-column($O20)+2,0))</f>
        <v>#N/A</v>
      </c>
      <c r="AQ20" s="14" t="str">
        <f>value(vlookup($A20,IMDpivot!$A$1:$BH$11,column()-column($O20)+2,0))</f>
        <v>#N/A</v>
      </c>
      <c r="AR20" s="14" t="str">
        <f>value(vlookup($A20,IMDpivot!$A$1:$BH$11,column()-column($O20)+2,0))</f>
        <v>#N/A</v>
      </c>
      <c r="AS20" s="14" t="str">
        <f>value(vlookup($A20,IMDpivot!$A$1:$BH$11,column()-column($O20)+2,0))</f>
        <v>#N/A</v>
      </c>
      <c r="AT20" s="14" t="str">
        <f>value(vlookup($A20,IMDpivot!$A$1:$BH$11,column()-column($O20)+2,0))</f>
        <v>#N/A</v>
      </c>
      <c r="AU20" s="14" t="str">
        <f>value(vlookup($A20,IMDpivot!$A$1:$BH$11,column()-column($O20)+2,0))</f>
        <v>#N/A</v>
      </c>
      <c r="AV20" s="14" t="str">
        <f>value(vlookup($A20,IMDpivot!$A$1:$BH$11,column()-column($O20)+2,0))</f>
        <v>#N/A</v>
      </c>
      <c r="AW20" s="14" t="str">
        <f>value(vlookup($A20,IMDpivot!$A$1:$BH$11,column()-column($O20)+2,0))</f>
        <v>#N/A</v>
      </c>
      <c r="AX20" s="14" t="str">
        <f>value(vlookup($A20,IMDpivot!$A$1:$BH$11,column()-column($O20)+2,0))</f>
        <v>#N/A</v>
      </c>
      <c r="AY20" s="14" t="str">
        <f>value(vlookup($A20,IMDpivot!$A$1:$BH$11,column()-column($O20)+2,0))</f>
        <v>#N/A</v>
      </c>
      <c r="AZ20" s="14" t="str">
        <f>value(vlookup($A20,IMDpivot!$A$1:$BH$11,column()-column($O20)+2,0))</f>
        <v>#N/A</v>
      </c>
      <c r="BA20" s="14" t="str">
        <f>value(vlookup($A20,IMDpivot!$A$1:$BH$11,column()-column($O20)+2,0))</f>
        <v>#N/A</v>
      </c>
      <c r="BB20" s="14" t="str">
        <f>value(vlookup($A20,IMDpivot!$A$1:$BH$11,column()-column($O20)+2,0))</f>
        <v>#N/A</v>
      </c>
      <c r="BC20" s="14" t="str">
        <f>value(vlookup($A20,IMDpivot!$A$1:$BH$11,column()-column($O20)+2,0))</f>
        <v>#N/A</v>
      </c>
      <c r="BD20" s="14" t="str">
        <f>value(vlookup($A20,IMDpivot!$A$1:$BH$11,column()-column($O20)+2,0))</f>
        <v>#N/A</v>
      </c>
      <c r="BE20" s="14" t="str">
        <f>value(vlookup($A20,IMDpivot!$A$1:$BH$11,column()-column($O20)+2,0))</f>
        <v>#N/A</v>
      </c>
      <c r="BF20" s="14" t="str">
        <f>value(vlookup($A20,IMDpivot!$A$1:$BH$11,column()-column($O20)+2,0))</f>
        <v>#N/A</v>
      </c>
      <c r="BG20" s="15" t="str">
        <f>value(vlookup($A20,IMDpivot!$A$1:$BH$11,column()-column($BG20)+46,0))</f>
        <v>#N/A</v>
      </c>
      <c r="BH20" s="15" t="str">
        <f>value(vlookup($A20,IMDpivot!$A$1:$BH$11,column()-column($BG20)+46,0))</f>
        <v>#N/A</v>
      </c>
      <c r="BI20" s="15" t="str">
        <f>value(vlookup($A20,IMDpivot!$A$1:$BH$11,column()-column($BG20)+46,0))</f>
        <v>#N/A</v>
      </c>
      <c r="BJ20" s="15" t="str">
        <f>value(vlookup($A20,IMDpivot!$A$1:$BH$11,column()-column($BG20)+46,0))</f>
        <v>#N/A</v>
      </c>
      <c r="BK20" s="15" t="str">
        <f>value(vlookup($A20,IMDpivot!$A$1:$BH$11,column()-column($BG20)+46,0))</f>
        <v>#N/A</v>
      </c>
      <c r="BL20" s="15" t="str">
        <f>value(vlookup($A20,IMDpivot!$A$1:$BH$11,column()-column($BG20)+46,0))</f>
        <v>#N/A</v>
      </c>
      <c r="BM20" s="15" t="str">
        <f>value(vlookup($A20,IMDpivot!$A$1:$BH$11,column()-column($BG20)+46,0))</f>
        <v>#N/A</v>
      </c>
      <c r="BN20" s="15" t="str">
        <f>value(vlookup($A20,IMDpivot!$A$1:$BH$11,column()-column($BG20)+46,0))</f>
        <v>#N/A</v>
      </c>
      <c r="BO20" s="15" t="str">
        <f>value(vlookup($A20,IMDpivot!$A$1:$BH$11,column()-column($BG20)+46,0))</f>
        <v>#N/A</v>
      </c>
      <c r="BP20" s="15" t="str">
        <f>value(vlookup($A20,IMDpivot!$A$1:$BH$11,column()-column($BG20)+46,0))</f>
        <v>#N/A</v>
      </c>
      <c r="BQ20" s="15" t="str">
        <f>value(vlookup($A20,IMDpivot!$A$1:$BH$11,column()-column($BG20)+46,0))</f>
        <v>#N/A</v>
      </c>
      <c r="BR20" s="15" t="str">
        <f>value(vlookup($A20,IMDpivot!$A$1:$BH$11,column()-column($BG20)+46,0))</f>
        <v>#N/A</v>
      </c>
      <c r="BS20" s="15" t="str">
        <f>value(vlookup($A20,IMDpivot!$A$1:$BH$11,column()-column($BG20)+46,0))</f>
        <v>#N/A</v>
      </c>
      <c r="BT20" s="15" t="str">
        <f>value(vlookup($A20,IMDpivot!$A$1:$BH$11,column()-column($BG20)+46,0))</f>
        <v>#N/A</v>
      </c>
      <c r="BU20" s="15" t="str">
        <f>value(vlookup($A20,IMDpivot!$A$1:$BH$11,column()-column($BG20)+46,0))</f>
        <v>#N/A</v>
      </c>
      <c r="BV20" s="10">
        <f>value(vlookup($A20,USNews!$A$1:$D$20,column()-column($BV20)+2,0))</f>
        <v>136</v>
      </c>
      <c r="BW20" s="11">
        <f>value(vlookup($A20,USNews!$A$1:$D$20,column()-column($BV20)+2,0))</f>
        <v>5.7</v>
      </c>
      <c r="BX20" s="11">
        <f>value(vlookup($A20,USNews!$A$1:$D$20,column()-column($BV20)+2,0))</f>
        <v>5.9</v>
      </c>
    </row>
    <row r="21">
      <c r="BV21" s="12"/>
    </row>
    <row r="22">
      <c r="BV22" s="12"/>
    </row>
    <row r="23">
      <c r="BV23" s="12"/>
    </row>
    <row r="24">
      <c r="BV24" s="12"/>
    </row>
    <row r="25">
      <c r="BV25" s="12"/>
    </row>
    <row r="26">
      <c r="BV26" s="12"/>
    </row>
    <row r="27">
      <c r="BV27" s="12"/>
    </row>
    <row r="28">
      <c r="BV28" s="12"/>
    </row>
    <row r="29">
      <c r="BV29" s="12"/>
    </row>
    <row r="30">
      <c r="BV30" s="12"/>
    </row>
    <row r="31">
      <c r="BV31" s="12"/>
    </row>
    <row r="32">
      <c r="BV32" s="12"/>
    </row>
    <row r="33">
      <c r="BV33" s="12"/>
    </row>
    <row r="34">
      <c r="BV34" s="12"/>
    </row>
    <row r="35">
      <c r="BV35" s="12"/>
    </row>
    <row r="36">
      <c r="BV36" s="12"/>
    </row>
    <row r="37">
      <c r="BV37" s="12"/>
    </row>
    <row r="38">
      <c r="BV38" s="12"/>
    </row>
    <row r="39">
      <c r="BV39" s="12"/>
    </row>
    <row r="40">
      <c r="BV40" s="12"/>
    </row>
    <row r="41">
      <c r="BV41" s="12"/>
    </row>
    <row r="42">
      <c r="BV42" s="12"/>
    </row>
    <row r="43">
      <c r="BV43" s="12"/>
    </row>
    <row r="44">
      <c r="BV44" s="12"/>
    </row>
    <row r="45">
      <c r="BV45" s="12"/>
    </row>
    <row r="46">
      <c r="BV46" s="12"/>
    </row>
    <row r="47">
      <c r="BV47" s="12"/>
    </row>
    <row r="48">
      <c r="BV48" s="12"/>
    </row>
    <row r="49">
      <c r="BV49" s="12"/>
    </row>
    <row r="50">
      <c r="BV50" s="12"/>
    </row>
    <row r="51">
      <c r="BV51" s="12"/>
    </row>
    <row r="52">
      <c r="BV52" s="12"/>
    </row>
    <row r="53">
      <c r="BV53" s="12"/>
    </row>
    <row r="54">
      <c r="BV54" s="12"/>
    </row>
    <row r="55">
      <c r="BV55" s="12"/>
    </row>
    <row r="56">
      <c r="BV56" s="12"/>
    </row>
    <row r="57">
      <c r="BV57" s="12"/>
    </row>
    <row r="58">
      <c r="BV58" s="12"/>
    </row>
    <row r="59">
      <c r="BV59" s="12"/>
    </row>
    <row r="60">
      <c r="BV60" s="12"/>
    </row>
    <row r="61">
      <c r="BV61" s="12"/>
    </row>
    <row r="62">
      <c r="BV62" s="12"/>
    </row>
    <row r="63">
      <c r="BV63" s="12"/>
    </row>
    <row r="64">
      <c r="BV64" s="12"/>
    </row>
    <row r="65">
      <c r="BV65" s="12"/>
    </row>
    <row r="66">
      <c r="BV66" s="12"/>
    </row>
    <row r="67">
      <c r="BV67" s="12"/>
    </row>
    <row r="68">
      <c r="BV68" s="12"/>
    </row>
    <row r="69">
      <c r="BV69" s="12"/>
    </row>
    <row r="70">
      <c r="BV70" s="12"/>
    </row>
    <row r="71">
      <c r="BV71" s="12"/>
    </row>
    <row r="72">
      <c r="BV72" s="12"/>
    </row>
    <row r="73">
      <c r="BV73" s="12"/>
    </row>
    <row r="74">
      <c r="BV74" s="12"/>
    </row>
    <row r="75">
      <c r="BV75" s="12"/>
    </row>
    <row r="76">
      <c r="BV76" s="12"/>
    </row>
    <row r="77">
      <c r="BV77" s="12"/>
    </row>
    <row r="78">
      <c r="BV78" s="12"/>
    </row>
    <row r="79">
      <c r="BV79" s="12"/>
    </row>
    <row r="80">
      <c r="BV80" s="12"/>
    </row>
    <row r="81">
      <c r="BV81" s="12"/>
    </row>
    <row r="82">
      <c r="BV82" s="12"/>
    </row>
    <row r="83">
      <c r="BV83" s="12"/>
    </row>
    <row r="84">
      <c r="BV84" s="12"/>
    </row>
    <row r="85">
      <c r="BV85" s="12"/>
    </row>
    <row r="86">
      <c r="BV86" s="12"/>
    </row>
    <row r="87">
      <c r="BV87" s="12"/>
    </row>
    <row r="88">
      <c r="BV88" s="12"/>
    </row>
    <row r="89">
      <c r="BV89" s="12"/>
    </row>
    <row r="90">
      <c r="BV90" s="12"/>
    </row>
    <row r="91">
      <c r="BV91" s="12"/>
    </row>
    <row r="92">
      <c r="BV92" s="12"/>
    </row>
    <row r="93">
      <c r="BV93" s="12"/>
    </row>
    <row r="94">
      <c r="BV94" s="12"/>
    </row>
    <row r="95">
      <c r="BV95" s="12"/>
    </row>
    <row r="96">
      <c r="BV96" s="12"/>
    </row>
    <row r="97">
      <c r="BV97" s="12"/>
    </row>
    <row r="98">
      <c r="BV98" s="12"/>
    </row>
    <row r="99">
      <c r="BV99" s="12"/>
    </row>
    <row r="100">
      <c r="BV100" s="12"/>
    </row>
    <row r="101">
      <c r="BV101" s="12"/>
    </row>
    <row r="102">
      <c r="BV102" s="12"/>
    </row>
    <row r="103">
      <c r="BV103" s="12"/>
    </row>
    <row r="104">
      <c r="BV104" s="12"/>
    </row>
    <row r="105">
      <c r="BV105" s="12"/>
    </row>
    <row r="106">
      <c r="BV106" s="12"/>
    </row>
    <row r="107">
      <c r="BV107" s="12"/>
    </row>
    <row r="108">
      <c r="BV108" s="12"/>
    </row>
    <row r="109">
      <c r="BV109" s="12"/>
    </row>
    <row r="110">
      <c r="BV110" s="12"/>
    </row>
    <row r="111">
      <c r="BV111" s="12"/>
    </row>
    <row r="112">
      <c r="BV112" s="12"/>
    </row>
    <row r="113">
      <c r="BV113" s="12"/>
    </row>
    <row r="114">
      <c r="BV114" s="12"/>
    </row>
    <row r="115">
      <c r="BV115" s="12"/>
    </row>
    <row r="116">
      <c r="BV116" s="12"/>
    </row>
    <row r="117">
      <c r="BV117" s="12"/>
    </row>
    <row r="118">
      <c r="BV118" s="12"/>
    </row>
    <row r="119">
      <c r="BV119" s="12"/>
    </row>
    <row r="120">
      <c r="BV120" s="12"/>
    </row>
    <row r="121">
      <c r="BV121" s="12"/>
    </row>
    <row r="122">
      <c r="BV122" s="12"/>
    </row>
    <row r="123">
      <c r="BV123" s="12"/>
    </row>
    <row r="124">
      <c r="BV124" s="12"/>
    </row>
    <row r="125">
      <c r="BV125" s="12"/>
    </row>
    <row r="126">
      <c r="BV126" s="12"/>
    </row>
    <row r="127">
      <c r="BV127" s="12"/>
    </row>
    <row r="128">
      <c r="BV128" s="12"/>
    </row>
    <row r="129">
      <c r="BV129" s="12"/>
    </row>
    <row r="130">
      <c r="BV130" s="12"/>
    </row>
    <row r="131">
      <c r="BV131" s="12"/>
    </row>
    <row r="132">
      <c r="BV132" s="12"/>
    </row>
    <row r="133">
      <c r="BV133" s="12"/>
    </row>
    <row r="134">
      <c r="BV134" s="12"/>
    </row>
    <row r="135">
      <c r="BV135" s="12"/>
    </row>
    <row r="136">
      <c r="BV136" s="12"/>
    </row>
    <row r="137">
      <c r="BV137" s="12"/>
    </row>
    <row r="138">
      <c r="BV138" s="12"/>
    </row>
    <row r="139">
      <c r="BV139" s="12"/>
    </row>
    <row r="140">
      <c r="BV140" s="12"/>
    </row>
    <row r="141">
      <c r="BV141" s="12"/>
    </row>
    <row r="142">
      <c r="BV142" s="12"/>
    </row>
    <row r="143">
      <c r="BV143" s="12"/>
    </row>
    <row r="144">
      <c r="BV144" s="12"/>
    </row>
    <row r="145">
      <c r="BV145" s="12"/>
    </row>
    <row r="146">
      <c r="BV146" s="12"/>
    </row>
    <row r="147">
      <c r="BV147" s="12"/>
    </row>
    <row r="148">
      <c r="BV148" s="12"/>
    </row>
    <row r="149">
      <c r="BV149" s="12"/>
    </row>
    <row r="150">
      <c r="BV150" s="12"/>
    </row>
    <row r="151">
      <c r="BV151" s="12"/>
    </row>
    <row r="152">
      <c r="BV152" s="12"/>
    </row>
    <row r="153">
      <c r="BV153" s="12"/>
    </row>
    <row r="154">
      <c r="BV154" s="12"/>
    </row>
    <row r="155">
      <c r="BV155" s="12"/>
    </row>
    <row r="156">
      <c r="BV156" s="12"/>
    </row>
    <row r="157">
      <c r="BV157" s="12"/>
    </row>
    <row r="158">
      <c r="BV158" s="12"/>
    </row>
    <row r="159">
      <c r="BV159" s="12"/>
    </row>
    <row r="160">
      <c r="BV160" s="12"/>
    </row>
    <row r="161">
      <c r="BV161" s="12"/>
    </row>
    <row r="162">
      <c r="BV162" s="12"/>
    </row>
    <row r="163">
      <c r="BV163" s="12"/>
    </row>
    <row r="164">
      <c r="BV164" s="12"/>
    </row>
    <row r="165">
      <c r="BV165" s="12"/>
    </row>
    <row r="166">
      <c r="BV166" s="12"/>
    </row>
    <row r="167">
      <c r="BV167" s="12"/>
    </row>
    <row r="168">
      <c r="BV168" s="12"/>
    </row>
    <row r="169">
      <c r="BV169" s="12"/>
    </row>
    <row r="170">
      <c r="BV170" s="12"/>
    </row>
    <row r="171">
      <c r="BV171" s="12"/>
    </row>
    <row r="172">
      <c r="BV172" s="12"/>
    </row>
    <row r="173">
      <c r="BV173" s="12"/>
    </row>
    <row r="174">
      <c r="BV174" s="12"/>
    </row>
    <row r="175">
      <c r="BV175" s="12"/>
    </row>
    <row r="176">
      <c r="BV176" s="12"/>
    </row>
    <row r="177">
      <c r="BV177" s="12"/>
    </row>
    <row r="178">
      <c r="BV178" s="12"/>
    </row>
    <row r="179">
      <c r="BV179" s="12"/>
    </row>
    <row r="180">
      <c r="BV180" s="12"/>
    </row>
    <row r="181">
      <c r="BV181" s="12"/>
    </row>
    <row r="182">
      <c r="BV182" s="12"/>
    </row>
    <row r="183">
      <c r="BV183" s="12"/>
    </row>
    <row r="184">
      <c r="BV184" s="12"/>
    </row>
    <row r="185">
      <c r="BV185" s="12"/>
    </row>
    <row r="186">
      <c r="BV186" s="12"/>
    </row>
    <row r="187">
      <c r="BV187" s="12"/>
    </row>
    <row r="188">
      <c r="BV188" s="12"/>
    </row>
    <row r="189">
      <c r="BV189" s="12"/>
    </row>
    <row r="190">
      <c r="BV190" s="12"/>
    </row>
    <row r="191">
      <c r="BV191" s="12"/>
    </row>
    <row r="192">
      <c r="BV192" s="12"/>
    </row>
    <row r="193">
      <c r="BV193" s="12"/>
    </row>
    <row r="194">
      <c r="BV194" s="12"/>
    </row>
    <row r="195">
      <c r="BV195" s="12"/>
    </row>
    <row r="196">
      <c r="BV196" s="12"/>
    </row>
    <row r="197">
      <c r="BV197" s="12"/>
    </row>
    <row r="198">
      <c r="BV198" s="12"/>
    </row>
    <row r="199">
      <c r="BV199" s="12"/>
    </row>
    <row r="200">
      <c r="BV200" s="12"/>
    </row>
    <row r="201">
      <c r="BV201" s="12"/>
    </row>
    <row r="202">
      <c r="BV202" s="12"/>
    </row>
    <row r="203">
      <c r="BV203" s="12"/>
    </row>
    <row r="204">
      <c r="BV204" s="12"/>
    </row>
    <row r="205">
      <c r="BV205" s="12"/>
    </row>
    <row r="206">
      <c r="BV206" s="12"/>
    </row>
    <row r="207">
      <c r="BV207" s="12"/>
    </row>
    <row r="208">
      <c r="BV208" s="12"/>
    </row>
    <row r="209">
      <c r="BV209" s="12"/>
    </row>
    <row r="210">
      <c r="BV210" s="12"/>
    </row>
    <row r="211">
      <c r="BV211" s="12"/>
    </row>
    <row r="212">
      <c r="BV212" s="12"/>
    </row>
    <row r="213">
      <c r="BV213" s="12"/>
    </row>
    <row r="214">
      <c r="BV214" s="12"/>
    </row>
    <row r="215">
      <c r="BV215" s="12"/>
    </row>
    <row r="216">
      <c r="BV216" s="12"/>
    </row>
    <row r="217">
      <c r="BV217" s="12"/>
    </row>
    <row r="218">
      <c r="BV218" s="12"/>
    </row>
    <row r="219">
      <c r="BV219" s="12"/>
    </row>
    <row r="220">
      <c r="BV220" s="12"/>
    </row>
    <row r="221">
      <c r="BV221" s="12"/>
    </row>
    <row r="222">
      <c r="BV222" s="12"/>
    </row>
    <row r="223">
      <c r="BV223" s="12"/>
    </row>
    <row r="224">
      <c r="BV224" s="12"/>
    </row>
    <row r="225">
      <c r="BV225" s="12"/>
    </row>
    <row r="226">
      <c r="BV226" s="12"/>
    </row>
    <row r="227">
      <c r="BV227" s="12"/>
    </row>
    <row r="228">
      <c r="BV228" s="12"/>
    </row>
    <row r="229">
      <c r="BV229" s="12"/>
    </row>
    <row r="230">
      <c r="BV230" s="12"/>
    </row>
    <row r="231">
      <c r="BV231" s="12"/>
    </row>
    <row r="232">
      <c r="BV232" s="12"/>
    </row>
    <row r="233">
      <c r="BV233" s="12"/>
    </row>
    <row r="234">
      <c r="BV234" s="12"/>
    </row>
    <row r="235">
      <c r="BV235" s="12"/>
    </row>
    <row r="236">
      <c r="BV236" s="12"/>
    </row>
    <row r="237">
      <c r="BV237" s="12"/>
    </row>
    <row r="238">
      <c r="BV238" s="12"/>
    </row>
    <row r="239">
      <c r="BV239" s="12"/>
    </row>
    <row r="240">
      <c r="BV240" s="12"/>
    </row>
    <row r="241">
      <c r="BV241" s="12"/>
    </row>
    <row r="242">
      <c r="BV242" s="12"/>
    </row>
    <row r="243">
      <c r="BV243" s="12"/>
    </row>
    <row r="244">
      <c r="BV244" s="12"/>
    </row>
    <row r="245">
      <c r="BV245" s="12"/>
    </row>
    <row r="246">
      <c r="BV246" s="12"/>
    </row>
    <row r="247">
      <c r="BV247" s="12"/>
    </row>
    <row r="248">
      <c r="BV248" s="12"/>
    </row>
    <row r="249">
      <c r="BV249" s="12"/>
    </row>
    <row r="250">
      <c r="BV250" s="12"/>
    </row>
    <row r="251">
      <c r="BV251" s="12"/>
    </row>
    <row r="252">
      <c r="BV252" s="12"/>
    </row>
    <row r="253">
      <c r="BV253" s="12"/>
    </row>
    <row r="254">
      <c r="BV254" s="12"/>
    </row>
    <row r="255">
      <c r="BV255" s="12"/>
    </row>
    <row r="256">
      <c r="BV256" s="12"/>
    </row>
    <row r="257">
      <c r="BV257" s="12"/>
    </row>
    <row r="258">
      <c r="BV258" s="12"/>
    </row>
    <row r="259">
      <c r="BV259" s="12"/>
    </row>
    <row r="260">
      <c r="BV260" s="12"/>
    </row>
    <row r="261">
      <c r="BV261" s="12"/>
    </row>
    <row r="262">
      <c r="BV262" s="12"/>
    </row>
    <row r="263">
      <c r="BV263" s="12"/>
    </row>
    <row r="264">
      <c r="BV264" s="12"/>
    </row>
    <row r="265">
      <c r="BV265" s="12"/>
    </row>
    <row r="266">
      <c r="BV266" s="12"/>
    </row>
    <row r="267">
      <c r="BV267" s="12"/>
    </row>
    <row r="268">
      <c r="BV268" s="12"/>
    </row>
    <row r="269">
      <c r="BV269" s="12"/>
    </row>
    <row r="270">
      <c r="BV270" s="12"/>
    </row>
    <row r="271">
      <c r="BV271" s="12"/>
    </row>
    <row r="272">
      <c r="BV272" s="12"/>
    </row>
    <row r="273">
      <c r="BV273" s="12"/>
    </row>
    <row r="274">
      <c r="BV274" s="12"/>
    </row>
    <row r="275">
      <c r="BV275" s="12"/>
    </row>
    <row r="276">
      <c r="BV276" s="12"/>
    </row>
    <row r="277">
      <c r="BV277" s="12"/>
    </row>
    <row r="278">
      <c r="BV278" s="12"/>
    </row>
    <row r="279">
      <c r="BV279" s="12"/>
    </row>
    <row r="280">
      <c r="BV280" s="12"/>
    </row>
    <row r="281">
      <c r="BV281" s="12"/>
    </row>
    <row r="282">
      <c r="BV282" s="12"/>
    </row>
    <row r="283">
      <c r="BV283" s="12"/>
    </row>
    <row r="284">
      <c r="BV284" s="12"/>
    </row>
    <row r="285">
      <c r="BV285" s="12"/>
    </row>
    <row r="286">
      <c r="BV286" s="12"/>
    </row>
    <row r="287">
      <c r="BV287" s="12"/>
    </row>
    <row r="288">
      <c r="BV288" s="12"/>
    </row>
    <row r="289">
      <c r="BV289" s="12"/>
    </row>
    <row r="290">
      <c r="BV290" s="12"/>
    </row>
    <row r="291">
      <c r="BV291" s="12"/>
    </row>
    <row r="292">
      <c r="BV292" s="12"/>
    </row>
    <row r="293">
      <c r="BV293" s="12"/>
    </row>
    <row r="294">
      <c r="BV294" s="12"/>
    </row>
    <row r="295">
      <c r="BV295" s="12"/>
    </row>
    <row r="296">
      <c r="BV296" s="12"/>
    </row>
    <row r="297">
      <c r="BV297" s="12"/>
    </row>
    <row r="298">
      <c r="BV298" s="12"/>
    </row>
    <row r="299">
      <c r="BV299" s="12"/>
    </row>
    <row r="300">
      <c r="BV300" s="12"/>
    </row>
    <row r="301">
      <c r="BV301" s="12"/>
    </row>
    <row r="302">
      <c r="BV302" s="12"/>
    </row>
    <row r="303">
      <c r="BV303" s="12"/>
    </row>
    <row r="304">
      <c r="BV304" s="12"/>
    </row>
    <row r="305">
      <c r="BV305" s="12"/>
    </row>
    <row r="306">
      <c r="BV306" s="12"/>
    </row>
    <row r="307">
      <c r="BV307" s="12"/>
    </row>
    <row r="308">
      <c r="BV308" s="12"/>
    </row>
    <row r="309">
      <c r="BV309" s="12"/>
    </row>
    <row r="310">
      <c r="BV310" s="12"/>
    </row>
    <row r="311">
      <c r="BV311" s="12"/>
    </row>
    <row r="312">
      <c r="BV312" s="12"/>
    </row>
    <row r="313">
      <c r="BV313" s="12"/>
    </row>
    <row r="314">
      <c r="BV314" s="12"/>
    </row>
    <row r="315">
      <c r="BV315" s="12"/>
    </row>
    <row r="316">
      <c r="BV316" s="12"/>
    </row>
    <row r="317">
      <c r="BV317" s="12"/>
    </row>
    <row r="318">
      <c r="BV318" s="12"/>
    </row>
    <row r="319">
      <c r="BV319" s="12"/>
    </row>
    <row r="320">
      <c r="BV320" s="12"/>
    </row>
    <row r="321">
      <c r="BV321" s="12"/>
    </row>
    <row r="322">
      <c r="BV322" s="12"/>
    </row>
    <row r="323">
      <c r="BV323" s="12"/>
    </row>
    <row r="324">
      <c r="BV324" s="12"/>
    </row>
    <row r="325">
      <c r="BV325" s="12"/>
    </row>
    <row r="326">
      <c r="BV326" s="12"/>
    </row>
    <row r="327">
      <c r="BV327" s="12"/>
    </row>
    <row r="328">
      <c r="BV328" s="12"/>
    </row>
    <row r="329">
      <c r="BV329" s="12"/>
    </row>
    <row r="330">
      <c r="BV330" s="12"/>
    </row>
    <row r="331">
      <c r="BV331" s="12"/>
    </row>
    <row r="332">
      <c r="BV332" s="12"/>
    </row>
    <row r="333">
      <c r="BV333" s="12"/>
    </row>
    <row r="334">
      <c r="BV334" s="12"/>
    </row>
    <row r="335">
      <c r="BV335" s="12"/>
    </row>
    <row r="336">
      <c r="BV336" s="12"/>
    </row>
    <row r="337">
      <c r="BV337" s="12"/>
    </row>
    <row r="338">
      <c r="BV338" s="12"/>
    </row>
    <row r="339">
      <c r="BV339" s="12"/>
    </row>
    <row r="340">
      <c r="BV340" s="12"/>
    </row>
    <row r="341">
      <c r="BV341" s="12"/>
    </row>
    <row r="342">
      <c r="BV342" s="12"/>
    </row>
    <row r="343">
      <c r="BV343" s="12"/>
    </row>
    <row r="344">
      <c r="BV344" s="12"/>
    </row>
    <row r="345">
      <c r="BV345" s="12"/>
    </row>
    <row r="346">
      <c r="BV346" s="12"/>
    </row>
    <row r="347">
      <c r="BV347" s="12"/>
    </row>
    <row r="348">
      <c r="BV348" s="12"/>
    </row>
    <row r="349">
      <c r="BV349" s="12"/>
    </row>
    <row r="350">
      <c r="BV350" s="12"/>
    </row>
    <row r="351">
      <c r="BV351" s="12"/>
    </row>
    <row r="352">
      <c r="BV352" s="12"/>
    </row>
    <row r="353">
      <c r="BV353" s="12"/>
    </row>
    <row r="354">
      <c r="BV354" s="12"/>
    </row>
    <row r="355">
      <c r="BV355" s="12"/>
    </row>
    <row r="356">
      <c r="BV356" s="12"/>
    </row>
    <row r="357">
      <c r="BV357" s="12"/>
    </row>
    <row r="358">
      <c r="BV358" s="12"/>
    </row>
    <row r="359">
      <c r="BV359" s="12"/>
    </row>
    <row r="360">
      <c r="BV360" s="12"/>
    </row>
    <row r="361">
      <c r="BV361" s="12"/>
    </row>
    <row r="362">
      <c r="BV362" s="12"/>
    </row>
    <row r="363">
      <c r="BV363" s="12"/>
    </row>
    <row r="364">
      <c r="BV364" s="12"/>
    </row>
    <row r="365">
      <c r="BV365" s="12"/>
    </row>
    <row r="366">
      <c r="BV366" s="12"/>
    </row>
    <row r="367">
      <c r="BV367" s="12"/>
    </row>
    <row r="368">
      <c r="BV368" s="12"/>
    </row>
    <row r="369">
      <c r="BV369" s="12"/>
    </row>
    <row r="370">
      <c r="BV370" s="12"/>
    </row>
    <row r="371">
      <c r="BV371" s="12"/>
    </row>
    <row r="372">
      <c r="BV372" s="12"/>
    </row>
    <row r="373">
      <c r="BV373" s="12"/>
    </row>
    <row r="374">
      <c r="BV374" s="12"/>
    </row>
    <row r="375">
      <c r="BV375" s="12"/>
    </row>
    <row r="376">
      <c r="BV376" s="12"/>
    </row>
    <row r="377">
      <c r="BV377" s="12"/>
    </row>
    <row r="378">
      <c r="BV378" s="12"/>
    </row>
    <row r="379">
      <c r="BV379" s="12"/>
    </row>
    <row r="380">
      <c r="BV380" s="12"/>
    </row>
    <row r="381">
      <c r="BV381" s="12"/>
    </row>
    <row r="382">
      <c r="BV382" s="12"/>
    </row>
    <row r="383">
      <c r="BV383" s="12"/>
    </row>
    <row r="384">
      <c r="BV384" s="12"/>
    </row>
    <row r="385">
      <c r="BV385" s="12"/>
    </row>
    <row r="386">
      <c r="BV386" s="12"/>
    </row>
    <row r="387">
      <c r="BV387" s="12"/>
    </row>
    <row r="388">
      <c r="BV388" s="12"/>
    </row>
    <row r="389">
      <c r="BV389" s="12"/>
    </row>
    <row r="390">
      <c r="BV390" s="12"/>
    </row>
    <row r="391">
      <c r="BV391" s="12"/>
    </row>
    <row r="392">
      <c r="BV392" s="12"/>
    </row>
    <row r="393">
      <c r="BV393" s="12"/>
    </row>
    <row r="394">
      <c r="BV394" s="12"/>
    </row>
    <row r="395">
      <c r="BV395" s="12"/>
    </row>
    <row r="396">
      <c r="BV396" s="12"/>
    </row>
    <row r="397">
      <c r="BV397" s="12"/>
    </row>
    <row r="398">
      <c r="BV398" s="12"/>
    </row>
    <row r="399">
      <c r="BV399" s="12"/>
    </row>
    <row r="400">
      <c r="BV400" s="12"/>
    </row>
    <row r="401">
      <c r="BV401" s="12"/>
    </row>
    <row r="402">
      <c r="BV402" s="12"/>
    </row>
    <row r="403">
      <c r="BV403" s="12"/>
    </row>
    <row r="404">
      <c r="BV404" s="12"/>
    </row>
    <row r="405">
      <c r="BV405" s="12"/>
    </row>
    <row r="406">
      <c r="BV406" s="12"/>
    </row>
    <row r="407">
      <c r="BV407" s="12"/>
    </row>
    <row r="408">
      <c r="BV408" s="12"/>
    </row>
    <row r="409">
      <c r="BV409" s="12"/>
    </row>
    <row r="410">
      <c r="BV410" s="12"/>
    </row>
    <row r="411">
      <c r="BV411" s="12"/>
    </row>
    <row r="412">
      <c r="BV412" s="12"/>
    </row>
    <row r="413">
      <c r="BV413" s="12"/>
    </row>
    <row r="414">
      <c r="BV414" s="12"/>
    </row>
    <row r="415">
      <c r="BV415" s="12"/>
    </row>
    <row r="416">
      <c r="BV416" s="12"/>
    </row>
    <row r="417">
      <c r="BV417" s="12"/>
    </row>
    <row r="418">
      <c r="BV418" s="12"/>
    </row>
    <row r="419">
      <c r="BV419" s="12"/>
    </row>
    <row r="420">
      <c r="BV420" s="12"/>
    </row>
    <row r="421">
      <c r="BV421" s="12"/>
    </row>
    <row r="422">
      <c r="BV422" s="12"/>
    </row>
    <row r="423">
      <c r="BV423" s="12"/>
    </row>
    <row r="424">
      <c r="BV424" s="12"/>
    </row>
    <row r="425">
      <c r="BV425" s="12"/>
    </row>
    <row r="426">
      <c r="BV426" s="12"/>
    </row>
    <row r="427">
      <c r="BV427" s="12"/>
    </row>
    <row r="428">
      <c r="BV428" s="12"/>
    </row>
    <row r="429">
      <c r="BV429" s="12"/>
    </row>
    <row r="430">
      <c r="BV430" s="12"/>
    </row>
    <row r="431">
      <c r="BV431" s="12"/>
    </row>
    <row r="432">
      <c r="BV432" s="12"/>
    </row>
    <row r="433">
      <c r="BV433" s="12"/>
    </row>
    <row r="434">
      <c r="BV434" s="12"/>
    </row>
    <row r="435">
      <c r="BV435" s="12"/>
    </row>
    <row r="436">
      <c r="BV436" s="12"/>
    </row>
    <row r="437">
      <c r="BV437" s="12"/>
    </row>
    <row r="438">
      <c r="BV438" s="12"/>
    </row>
    <row r="439">
      <c r="BV439" s="12"/>
    </row>
    <row r="440">
      <c r="BV440" s="12"/>
    </row>
    <row r="441">
      <c r="BV441" s="12"/>
    </row>
    <row r="442">
      <c r="BV442" s="12"/>
    </row>
    <row r="443">
      <c r="BV443" s="12"/>
    </row>
    <row r="444">
      <c r="BV444" s="12"/>
    </row>
    <row r="445">
      <c r="BV445" s="12"/>
    </row>
    <row r="446">
      <c r="BV446" s="12"/>
    </row>
    <row r="447">
      <c r="BV447" s="12"/>
    </row>
    <row r="448">
      <c r="BV448" s="12"/>
    </row>
    <row r="449">
      <c r="BV449" s="12"/>
    </row>
    <row r="450">
      <c r="BV450" s="12"/>
    </row>
    <row r="451">
      <c r="BV451" s="12"/>
    </row>
    <row r="452">
      <c r="BV452" s="12"/>
    </row>
    <row r="453">
      <c r="BV453" s="12"/>
    </row>
    <row r="454">
      <c r="BV454" s="12"/>
    </row>
    <row r="455">
      <c r="BV455" s="12"/>
    </row>
    <row r="456">
      <c r="BV456" s="12"/>
    </row>
    <row r="457">
      <c r="BV457" s="12"/>
    </row>
    <row r="458">
      <c r="BV458" s="12"/>
    </row>
    <row r="459">
      <c r="BV459" s="12"/>
    </row>
    <row r="460">
      <c r="BV460" s="12"/>
    </row>
    <row r="461">
      <c r="BV461" s="12"/>
    </row>
    <row r="462">
      <c r="BV462" s="12"/>
    </row>
    <row r="463">
      <c r="BV463" s="12"/>
    </row>
    <row r="464">
      <c r="BV464" s="12"/>
    </row>
    <row r="465">
      <c r="BV465" s="12"/>
    </row>
    <row r="466">
      <c r="BV466" s="12"/>
    </row>
    <row r="467">
      <c r="BV467" s="12"/>
    </row>
    <row r="468">
      <c r="BV468" s="12"/>
    </row>
    <row r="469">
      <c r="BV469" s="12"/>
    </row>
    <row r="470">
      <c r="BV470" s="12"/>
    </row>
    <row r="471">
      <c r="BV471" s="12"/>
    </row>
    <row r="472">
      <c r="BV472" s="12"/>
    </row>
    <row r="473">
      <c r="BV473" s="12"/>
    </row>
    <row r="474">
      <c r="BV474" s="12"/>
    </row>
    <row r="475">
      <c r="BV475" s="12"/>
    </row>
    <row r="476">
      <c r="BV476" s="12"/>
    </row>
    <row r="477">
      <c r="BV477" s="12"/>
    </row>
    <row r="478">
      <c r="BV478" s="12"/>
    </row>
    <row r="479">
      <c r="BV479" s="12"/>
    </row>
    <row r="480">
      <c r="BV480" s="12"/>
    </row>
    <row r="481">
      <c r="BV481" s="12"/>
    </row>
    <row r="482">
      <c r="BV482" s="12"/>
    </row>
    <row r="483">
      <c r="BV483" s="12"/>
    </row>
    <row r="484">
      <c r="BV484" s="12"/>
    </row>
    <row r="485">
      <c r="BV485" s="12"/>
    </row>
    <row r="486">
      <c r="BV486" s="12"/>
    </row>
    <row r="487">
      <c r="BV487" s="12"/>
    </row>
    <row r="488">
      <c r="BV488" s="12"/>
    </row>
    <row r="489">
      <c r="BV489" s="12"/>
    </row>
    <row r="490">
      <c r="BV490" s="12"/>
    </row>
    <row r="491">
      <c r="BV491" s="12"/>
    </row>
    <row r="492">
      <c r="BV492" s="12"/>
    </row>
    <row r="493">
      <c r="BV493" s="12"/>
    </row>
    <row r="494">
      <c r="BV494" s="12"/>
    </row>
    <row r="495">
      <c r="BV495" s="12"/>
    </row>
    <row r="496">
      <c r="BV496" s="12"/>
    </row>
    <row r="497">
      <c r="BV497" s="12"/>
    </row>
    <row r="498">
      <c r="BV498" s="12"/>
    </row>
    <row r="499">
      <c r="BV499" s="12"/>
    </row>
    <row r="500">
      <c r="BV500" s="12"/>
    </row>
    <row r="501">
      <c r="BV501" s="12"/>
    </row>
    <row r="502">
      <c r="BV502" s="12"/>
    </row>
    <row r="503">
      <c r="BV503" s="12"/>
    </row>
    <row r="504">
      <c r="BV504" s="12"/>
    </row>
    <row r="505">
      <c r="BV505" s="12"/>
    </row>
    <row r="506">
      <c r="BV506" s="12"/>
    </row>
    <row r="507">
      <c r="BV507" s="12"/>
    </row>
    <row r="508">
      <c r="BV508" s="12"/>
    </row>
    <row r="509">
      <c r="BV509" s="12"/>
    </row>
    <row r="510">
      <c r="BV510" s="12"/>
    </row>
    <row r="511">
      <c r="BV511" s="12"/>
    </row>
    <row r="512">
      <c r="BV512" s="12"/>
    </row>
    <row r="513">
      <c r="BV513" s="12"/>
    </row>
    <row r="514">
      <c r="BV514" s="12"/>
    </row>
    <row r="515">
      <c r="BV515" s="12"/>
    </row>
    <row r="516">
      <c r="BV516" s="12"/>
    </row>
    <row r="517">
      <c r="BV517" s="12"/>
    </row>
    <row r="518">
      <c r="BV518" s="12"/>
    </row>
    <row r="519">
      <c r="BV519" s="12"/>
    </row>
    <row r="520">
      <c r="BV520" s="12"/>
    </row>
    <row r="521">
      <c r="BV521" s="12"/>
    </row>
    <row r="522">
      <c r="BV522" s="12"/>
    </row>
    <row r="523">
      <c r="BV523" s="12"/>
    </row>
    <row r="524">
      <c r="BV524" s="12"/>
    </row>
    <row r="525">
      <c r="BV525" s="12"/>
    </row>
    <row r="526">
      <c r="BV526" s="12"/>
    </row>
    <row r="527">
      <c r="BV527" s="12"/>
    </row>
    <row r="528">
      <c r="BV528" s="12"/>
    </row>
    <row r="529">
      <c r="BV529" s="12"/>
    </row>
    <row r="530">
      <c r="BV530" s="12"/>
    </row>
    <row r="531">
      <c r="BV531" s="12"/>
    </row>
    <row r="532">
      <c r="BV532" s="12"/>
    </row>
    <row r="533">
      <c r="BV533" s="12"/>
    </row>
    <row r="534">
      <c r="BV534" s="12"/>
    </row>
    <row r="535">
      <c r="BV535" s="12"/>
    </row>
    <row r="536">
      <c r="BV536" s="12"/>
    </row>
    <row r="537">
      <c r="BV537" s="12"/>
    </row>
    <row r="538">
      <c r="BV538" s="12"/>
    </row>
    <row r="539">
      <c r="BV539" s="12"/>
    </row>
    <row r="540">
      <c r="BV540" s="12"/>
    </row>
    <row r="541">
      <c r="BV541" s="12"/>
    </row>
    <row r="542">
      <c r="BV542" s="12"/>
    </row>
    <row r="543">
      <c r="BV543" s="12"/>
    </row>
    <row r="544">
      <c r="BV544" s="12"/>
    </row>
    <row r="545">
      <c r="BV545" s="12"/>
    </row>
    <row r="546">
      <c r="BV546" s="12"/>
    </row>
    <row r="547">
      <c r="BV547" s="12"/>
    </row>
    <row r="548">
      <c r="BV548" s="12"/>
    </row>
    <row r="549">
      <c r="BV549" s="12"/>
    </row>
    <row r="550">
      <c r="BV550" s="12"/>
    </row>
    <row r="551">
      <c r="BV551" s="12"/>
    </row>
    <row r="552">
      <c r="BV552" s="12"/>
    </row>
    <row r="553">
      <c r="BV553" s="12"/>
    </row>
    <row r="554">
      <c r="BV554" s="12"/>
    </row>
    <row r="555">
      <c r="BV555" s="12"/>
    </row>
    <row r="556">
      <c r="BV556" s="12"/>
    </row>
    <row r="557">
      <c r="BV557" s="12"/>
    </row>
    <row r="558">
      <c r="BV558" s="12"/>
    </row>
    <row r="559">
      <c r="BV559" s="12"/>
    </row>
    <row r="560">
      <c r="BV560" s="12"/>
    </row>
    <row r="561">
      <c r="BV561" s="12"/>
    </row>
    <row r="562">
      <c r="BV562" s="12"/>
    </row>
    <row r="563">
      <c r="BV563" s="12"/>
    </row>
    <row r="564">
      <c r="BV564" s="12"/>
    </row>
    <row r="565">
      <c r="BV565" s="12"/>
    </row>
    <row r="566">
      <c r="BV566" s="12"/>
    </row>
    <row r="567">
      <c r="BV567" s="12"/>
    </row>
    <row r="568">
      <c r="BV568" s="12"/>
    </row>
    <row r="569">
      <c r="BV569" s="12"/>
    </row>
    <row r="570">
      <c r="BV570" s="12"/>
    </row>
    <row r="571">
      <c r="BV571" s="12"/>
    </row>
    <row r="572">
      <c r="BV572" s="12"/>
    </row>
    <row r="573">
      <c r="BV573" s="12"/>
    </row>
    <row r="574">
      <c r="BV574" s="12"/>
    </row>
    <row r="575">
      <c r="BV575" s="12"/>
    </row>
    <row r="576">
      <c r="BV576" s="12"/>
    </row>
    <row r="577">
      <c r="BV577" s="12"/>
    </row>
    <row r="578">
      <c r="BV578" s="12"/>
    </row>
    <row r="579">
      <c r="BV579" s="12"/>
    </row>
    <row r="580">
      <c r="BV580" s="12"/>
    </row>
    <row r="581">
      <c r="BV581" s="12"/>
    </row>
    <row r="582">
      <c r="BV582" s="12"/>
    </row>
    <row r="583">
      <c r="BV583" s="12"/>
    </row>
    <row r="584">
      <c r="BV584" s="12"/>
    </row>
    <row r="585">
      <c r="BV585" s="12"/>
    </row>
    <row r="586">
      <c r="BV586" s="12"/>
    </row>
    <row r="587">
      <c r="BV587" s="12"/>
    </row>
    <row r="588">
      <c r="BV588" s="12"/>
    </row>
    <row r="589">
      <c r="BV589" s="12"/>
    </row>
    <row r="590">
      <c r="BV590" s="12"/>
    </row>
    <row r="591">
      <c r="BV591" s="12"/>
    </row>
    <row r="592">
      <c r="BV592" s="12"/>
    </row>
    <row r="593">
      <c r="BV593" s="12"/>
    </row>
    <row r="594">
      <c r="BV594" s="12"/>
    </row>
    <row r="595">
      <c r="BV595" s="12"/>
    </row>
    <row r="596">
      <c r="BV596" s="12"/>
    </row>
    <row r="597">
      <c r="BV597" s="12"/>
    </row>
    <row r="598">
      <c r="BV598" s="12"/>
    </row>
    <row r="599">
      <c r="BV599" s="12"/>
    </row>
    <row r="600">
      <c r="BV600" s="12"/>
    </row>
    <row r="601">
      <c r="BV601" s="12"/>
    </row>
    <row r="602">
      <c r="BV602" s="12"/>
    </row>
    <row r="603">
      <c r="BV603" s="12"/>
    </row>
    <row r="604">
      <c r="BV604" s="12"/>
    </row>
    <row r="605">
      <c r="BV605" s="12"/>
    </row>
    <row r="606">
      <c r="BV606" s="12"/>
    </row>
    <row r="607">
      <c r="BV607" s="12"/>
    </row>
    <row r="608">
      <c r="BV608" s="12"/>
    </row>
    <row r="609">
      <c r="BV609" s="12"/>
    </row>
    <row r="610">
      <c r="BV610" s="12"/>
    </row>
    <row r="611">
      <c r="BV611" s="12"/>
    </row>
    <row r="612">
      <c r="BV612" s="12"/>
    </row>
    <row r="613">
      <c r="BV613" s="12"/>
    </row>
    <row r="614">
      <c r="BV614" s="12"/>
    </row>
    <row r="615">
      <c r="BV615" s="12"/>
    </row>
    <row r="616">
      <c r="BV616" s="12"/>
    </row>
    <row r="617">
      <c r="BV617" s="12"/>
    </row>
    <row r="618">
      <c r="BV618" s="12"/>
    </row>
    <row r="619">
      <c r="BV619" s="12"/>
    </row>
    <row r="620">
      <c r="BV620" s="12"/>
    </row>
    <row r="621">
      <c r="BV621" s="12"/>
    </row>
    <row r="622">
      <c r="BV622" s="12"/>
    </row>
    <row r="623">
      <c r="BV623" s="12"/>
    </row>
    <row r="624">
      <c r="BV624" s="12"/>
    </row>
    <row r="625">
      <c r="BV625" s="12"/>
    </row>
    <row r="626">
      <c r="BV626" s="12"/>
    </row>
    <row r="627">
      <c r="BV627" s="12"/>
    </row>
    <row r="628">
      <c r="BV628" s="12"/>
    </row>
    <row r="629">
      <c r="BV629" s="12"/>
    </row>
    <row r="630">
      <c r="BV630" s="12"/>
    </row>
    <row r="631">
      <c r="BV631" s="12"/>
    </row>
    <row r="632">
      <c r="BV632" s="12"/>
    </row>
    <row r="633">
      <c r="BV633" s="12"/>
    </row>
    <row r="634">
      <c r="BV634" s="12"/>
    </row>
    <row r="635">
      <c r="BV635" s="12"/>
    </row>
    <row r="636">
      <c r="BV636" s="12"/>
    </row>
    <row r="637">
      <c r="BV637" s="12"/>
    </row>
    <row r="638">
      <c r="BV638" s="12"/>
    </row>
    <row r="639">
      <c r="BV639" s="12"/>
    </row>
    <row r="640">
      <c r="BV640" s="12"/>
    </row>
    <row r="641">
      <c r="BV641" s="12"/>
    </row>
    <row r="642">
      <c r="BV642" s="12"/>
    </row>
    <row r="643">
      <c r="BV643" s="12"/>
    </row>
    <row r="644">
      <c r="BV644" s="12"/>
    </row>
    <row r="645">
      <c r="BV645" s="12"/>
    </row>
    <row r="646">
      <c r="BV646" s="12"/>
    </row>
    <row r="647">
      <c r="BV647" s="12"/>
    </row>
    <row r="648">
      <c r="BV648" s="12"/>
    </row>
    <row r="649">
      <c r="BV649" s="12"/>
    </row>
    <row r="650">
      <c r="BV650" s="12"/>
    </row>
    <row r="651">
      <c r="BV651" s="12"/>
    </row>
    <row r="652">
      <c r="BV652" s="12"/>
    </row>
    <row r="653">
      <c r="BV653" s="12"/>
    </row>
    <row r="654">
      <c r="BV654" s="12"/>
    </row>
    <row r="655">
      <c r="BV655" s="12"/>
    </row>
    <row r="656">
      <c r="BV656" s="12"/>
    </row>
    <row r="657">
      <c r="BV657" s="12"/>
    </row>
    <row r="658">
      <c r="BV658" s="12"/>
    </row>
    <row r="659">
      <c r="BV659" s="12"/>
    </row>
    <row r="660">
      <c r="BV660" s="12"/>
    </row>
    <row r="661">
      <c r="BV661" s="12"/>
    </row>
    <row r="662">
      <c r="BV662" s="12"/>
    </row>
    <row r="663">
      <c r="BV663" s="12"/>
    </row>
    <row r="664">
      <c r="BV664" s="12"/>
    </row>
    <row r="665">
      <c r="BV665" s="12"/>
    </row>
    <row r="666">
      <c r="BV666" s="12"/>
    </row>
    <row r="667">
      <c r="BV667" s="12"/>
    </row>
    <row r="668">
      <c r="BV668" s="12"/>
    </row>
    <row r="669">
      <c r="BV669" s="12"/>
    </row>
    <row r="670">
      <c r="BV670" s="12"/>
    </row>
    <row r="671">
      <c r="BV671" s="12"/>
    </row>
    <row r="672">
      <c r="BV672" s="12"/>
    </row>
    <row r="673">
      <c r="BV673" s="12"/>
    </row>
    <row r="674">
      <c r="BV674" s="12"/>
    </row>
    <row r="675">
      <c r="BV675" s="12"/>
    </row>
    <row r="676">
      <c r="BV676" s="12"/>
    </row>
    <row r="677">
      <c r="BV677" s="12"/>
    </row>
    <row r="678">
      <c r="BV678" s="12"/>
    </row>
    <row r="679">
      <c r="BV679" s="12"/>
    </row>
    <row r="680">
      <c r="BV680" s="12"/>
    </row>
    <row r="681">
      <c r="BV681" s="12"/>
    </row>
    <row r="682">
      <c r="BV682" s="12"/>
    </row>
    <row r="683">
      <c r="BV683" s="12"/>
    </row>
    <row r="684">
      <c r="BV684" s="12"/>
    </row>
    <row r="685">
      <c r="BV685" s="12"/>
    </row>
    <row r="686">
      <c r="BV686" s="12"/>
    </row>
    <row r="687">
      <c r="BV687" s="12"/>
    </row>
    <row r="688">
      <c r="BV688" s="12"/>
    </row>
    <row r="689">
      <c r="BV689" s="12"/>
    </row>
    <row r="690">
      <c r="BV690" s="12"/>
    </row>
    <row r="691">
      <c r="BV691" s="12"/>
    </row>
    <row r="692">
      <c r="BV692" s="12"/>
    </row>
    <row r="693">
      <c r="BV693" s="12"/>
    </row>
    <row r="694">
      <c r="BV694" s="12"/>
    </row>
    <row r="695">
      <c r="BV695" s="12"/>
    </row>
    <row r="696">
      <c r="BV696" s="12"/>
    </row>
    <row r="697">
      <c r="BV697" s="12"/>
    </row>
    <row r="698">
      <c r="BV698" s="12"/>
    </row>
    <row r="699">
      <c r="BV699" s="12"/>
    </row>
    <row r="700">
      <c r="BV700" s="12"/>
    </row>
    <row r="701">
      <c r="BV701" s="12"/>
    </row>
    <row r="702">
      <c r="BV702" s="12"/>
    </row>
    <row r="703">
      <c r="BV703" s="12"/>
    </row>
    <row r="704">
      <c r="BV704" s="12"/>
    </row>
    <row r="705">
      <c r="BV705" s="12"/>
    </row>
    <row r="706">
      <c r="BV706" s="12"/>
    </row>
    <row r="707">
      <c r="BV707" s="12"/>
    </row>
    <row r="708">
      <c r="BV708" s="12"/>
    </row>
    <row r="709">
      <c r="BV709" s="12"/>
    </row>
    <row r="710">
      <c r="BV710" s="12"/>
    </row>
    <row r="711">
      <c r="BV711" s="12"/>
    </row>
    <row r="712">
      <c r="BV712" s="12"/>
    </row>
    <row r="713">
      <c r="BV713" s="12"/>
    </row>
    <row r="714">
      <c r="BV714" s="12"/>
    </row>
    <row r="715">
      <c r="BV715" s="12"/>
    </row>
    <row r="716">
      <c r="BV716" s="12"/>
    </row>
    <row r="717">
      <c r="BV717" s="12"/>
    </row>
    <row r="718">
      <c r="BV718" s="12"/>
    </row>
    <row r="719">
      <c r="BV719" s="12"/>
    </row>
    <row r="720">
      <c r="BV720" s="12"/>
    </row>
    <row r="721">
      <c r="BV721" s="12"/>
    </row>
    <row r="722">
      <c r="BV722" s="12"/>
    </row>
    <row r="723">
      <c r="BV723" s="12"/>
    </row>
    <row r="724">
      <c r="BV724" s="12"/>
    </row>
    <row r="725">
      <c r="BV725" s="12"/>
    </row>
    <row r="726">
      <c r="BV726" s="12"/>
    </row>
    <row r="727">
      <c r="BV727" s="12"/>
    </row>
    <row r="728">
      <c r="BV728" s="12"/>
    </row>
    <row r="729">
      <c r="BV729" s="12"/>
    </row>
    <row r="730">
      <c r="BV730" s="12"/>
    </row>
    <row r="731">
      <c r="BV731" s="12"/>
    </row>
    <row r="732">
      <c r="BV732" s="12"/>
    </row>
    <row r="733">
      <c r="BV733" s="12"/>
    </row>
    <row r="734">
      <c r="BV734" s="12"/>
    </row>
    <row r="735">
      <c r="BV735" s="12"/>
    </row>
    <row r="736">
      <c r="BV736" s="12"/>
    </row>
    <row r="737">
      <c r="BV737" s="12"/>
    </row>
    <row r="738">
      <c r="BV738" s="12"/>
    </row>
    <row r="739">
      <c r="BV739" s="12"/>
    </row>
    <row r="740">
      <c r="BV740" s="12"/>
    </row>
    <row r="741">
      <c r="BV741" s="12"/>
    </row>
    <row r="742">
      <c r="BV742" s="12"/>
    </row>
    <row r="743">
      <c r="BV743" s="12"/>
    </row>
    <row r="744">
      <c r="BV744" s="12"/>
    </row>
    <row r="745">
      <c r="BV745" s="12"/>
    </row>
    <row r="746">
      <c r="BV746" s="12"/>
    </row>
    <row r="747">
      <c r="BV747" s="12"/>
    </row>
    <row r="748">
      <c r="BV748" s="12"/>
    </row>
    <row r="749">
      <c r="BV749" s="12"/>
    </row>
    <row r="750">
      <c r="BV750" s="12"/>
    </row>
    <row r="751">
      <c r="BV751" s="12"/>
    </row>
    <row r="752">
      <c r="BV752" s="12"/>
    </row>
    <row r="753">
      <c r="BV753" s="12"/>
    </row>
    <row r="754">
      <c r="BV754" s="12"/>
    </row>
    <row r="755">
      <c r="BV755" s="12"/>
    </row>
    <row r="756">
      <c r="BV756" s="12"/>
    </row>
    <row r="757">
      <c r="BV757" s="12"/>
    </row>
    <row r="758">
      <c r="BV758" s="12"/>
    </row>
    <row r="759">
      <c r="BV759" s="12"/>
    </row>
    <row r="760">
      <c r="BV760" s="12"/>
    </row>
    <row r="761">
      <c r="BV761" s="12"/>
    </row>
    <row r="762">
      <c r="BV762" s="12"/>
    </row>
    <row r="763">
      <c r="BV763" s="12"/>
    </row>
    <row r="764">
      <c r="BV764" s="12"/>
    </row>
    <row r="765">
      <c r="BV765" s="12"/>
    </row>
    <row r="766">
      <c r="BV766" s="12"/>
    </row>
    <row r="767">
      <c r="BV767" s="12"/>
    </row>
    <row r="768">
      <c r="BV768" s="12"/>
    </row>
    <row r="769">
      <c r="BV769" s="12"/>
    </row>
    <row r="770">
      <c r="BV770" s="12"/>
    </row>
    <row r="771">
      <c r="BV771" s="12"/>
    </row>
    <row r="772">
      <c r="BV772" s="12"/>
    </row>
    <row r="773">
      <c r="BV773" s="12"/>
    </row>
    <row r="774">
      <c r="BV774" s="12"/>
    </row>
    <row r="775">
      <c r="BV775" s="12"/>
    </row>
    <row r="776">
      <c r="BV776" s="12"/>
    </row>
    <row r="777">
      <c r="BV777" s="12"/>
    </row>
    <row r="778">
      <c r="BV778" s="12"/>
    </row>
    <row r="779">
      <c r="BV779" s="12"/>
    </row>
    <row r="780">
      <c r="BV780" s="12"/>
    </row>
    <row r="781">
      <c r="BV781" s="12"/>
    </row>
    <row r="782">
      <c r="BV782" s="12"/>
    </row>
    <row r="783">
      <c r="BV783" s="12"/>
    </row>
    <row r="784">
      <c r="BV784" s="12"/>
    </row>
    <row r="785">
      <c r="BV785" s="12"/>
    </row>
    <row r="786">
      <c r="BV786" s="12"/>
    </row>
    <row r="787">
      <c r="BV787" s="12"/>
    </row>
    <row r="788">
      <c r="BV788" s="12"/>
    </row>
    <row r="789">
      <c r="BV789" s="12"/>
    </row>
    <row r="790">
      <c r="BV790" s="12"/>
    </row>
    <row r="791">
      <c r="BV791" s="12"/>
    </row>
    <row r="792">
      <c r="BV792" s="12"/>
    </row>
    <row r="793">
      <c r="BV793" s="12"/>
    </row>
    <row r="794">
      <c r="BV794" s="12"/>
    </row>
    <row r="795">
      <c r="BV795" s="12"/>
    </row>
    <row r="796">
      <c r="BV796" s="12"/>
    </row>
    <row r="797">
      <c r="BV797" s="12"/>
    </row>
    <row r="798">
      <c r="BV798" s="12"/>
    </row>
    <row r="799">
      <c r="BV799" s="12"/>
    </row>
    <row r="800">
      <c r="BV800" s="12"/>
    </row>
    <row r="801">
      <c r="BV801" s="12"/>
    </row>
    <row r="802">
      <c r="BV802" s="12"/>
    </row>
    <row r="803">
      <c r="BV803" s="12"/>
    </row>
    <row r="804">
      <c r="BV804" s="12"/>
    </row>
    <row r="805">
      <c r="BV805" s="12"/>
    </row>
    <row r="806">
      <c r="BV806" s="12"/>
    </row>
    <row r="807">
      <c r="BV807" s="12"/>
    </row>
    <row r="808">
      <c r="BV808" s="12"/>
    </row>
    <row r="809">
      <c r="BV809" s="12"/>
    </row>
    <row r="810">
      <c r="BV810" s="12"/>
    </row>
    <row r="811">
      <c r="BV811" s="12"/>
    </row>
    <row r="812">
      <c r="BV812" s="12"/>
    </row>
    <row r="813">
      <c r="BV813" s="12"/>
    </row>
    <row r="814">
      <c r="BV814" s="12"/>
    </row>
    <row r="815">
      <c r="BV815" s="12"/>
    </row>
    <row r="816">
      <c r="BV816" s="12"/>
    </row>
    <row r="817">
      <c r="BV817" s="12"/>
    </row>
    <row r="818">
      <c r="BV818" s="12"/>
    </row>
    <row r="819">
      <c r="BV819" s="12"/>
    </row>
    <row r="820">
      <c r="BV820" s="12"/>
    </row>
    <row r="821">
      <c r="BV821" s="12"/>
    </row>
    <row r="822">
      <c r="BV822" s="12"/>
    </row>
    <row r="823">
      <c r="BV823" s="12"/>
    </row>
    <row r="824">
      <c r="BV824" s="12"/>
    </row>
    <row r="825">
      <c r="BV825" s="12"/>
    </row>
    <row r="826">
      <c r="BV826" s="12"/>
    </row>
    <row r="827">
      <c r="BV827" s="12"/>
    </row>
    <row r="828">
      <c r="BV828" s="12"/>
    </row>
    <row r="829">
      <c r="BV829" s="12"/>
    </row>
    <row r="830">
      <c r="BV830" s="12"/>
    </row>
    <row r="831">
      <c r="BV831" s="12"/>
    </row>
    <row r="832">
      <c r="BV832" s="12"/>
    </row>
    <row r="833">
      <c r="BV833" s="12"/>
    </row>
    <row r="834">
      <c r="BV834" s="12"/>
    </row>
    <row r="835">
      <c r="BV835" s="12"/>
    </row>
    <row r="836">
      <c r="BV836" s="12"/>
    </row>
    <row r="837">
      <c r="BV837" s="12"/>
    </row>
    <row r="838">
      <c r="BV838" s="12"/>
    </row>
    <row r="839">
      <c r="BV839" s="12"/>
    </row>
    <row r="840">
      <c r="BV840" s="12"/>
    </row>
    <row r="841">
      <c r="BV841" s="12"/>
    </row>
    <row r="842">
      <c r="BV842" s="12"/>
    </row>
    <row r="843">
      <c r="BV843" s="12"/>
    </row>
    <row r="844">
      <c r="BV844" s="12"/>
    </row>
    <row r="845">
      <c r="BV845" s="12"/>
    </row>
    <row r="846">
      <c r="BV846" s="12"/>
    </row>
    <row r="847">
      <c r="BV847" s="12"/>
    </row>
    <row r="848">
      <c r="BV848" s="12"/>
    </row>
    <row r="849">
      <c r="BV849" s="12"/>
    </row>
    <row r="850">
      <c r="BV850" s="12"/>
    </row>
    <row r="851">
      <c r="BV851" s="12"/>
    </row>
    <row r="852">
      <c r="BV852" s="12"/>
    </row>
    <row r="853">
      <c r="BV853" s="12"/>
    </row>
    <row r="854">
      <c r="BV854" s="12"/>
    </row>
    <row r="855">
      <c r="BV855" s="12"/>
    </row>
    <row r="856">
      <c r="BV856" s="12"/>
    </row>
    <row r="857">
      <c r="BV857" s="12"/>
    </row>
    <row r="858">
      <c r="BV858" s="12"/>
    </row>
    <row r="859">
      <c r="BV859" s="12"/>
    </row>
    <row r="860">
      <c r="BV860" s="12"/>
    </row>
    <row r="861">
      <c r="BV861" s="12"/>
    </row>
    <row r="862">
      <c r="BV862" s="12"/>
    </row>
    <row r="863">
      <c r="BV863" s="12"/>
    </row>
    <row r="864">
      <c r="BV864" s="12"/>
    </row>
    <row r="865">
      <c r="BV865" s="12"/>
    </row>
    <row r="866">
      <c r="BV866" s="12"/>
    </row>
    <row r="867">
      <c r="BV867" s="12"/>
    </row>
    <row r="868">
      <c r="BV868" s="12"/>
    </row>
    <row r="869">
      <c r="BV869" s="12"/>
    </row>
    <row r="870">
      <c r="BV870" s="12"/>
    </row>
    <row r="871">
      <c r="BV871" s="12"/>
    </row>
    <row r="872">
      <c r="BV872" s="12"/>
    </row>
    <row r="873">
      <c r="BV873" s="12"/>
    </row>
    <row r="874">
      <c r="BV874" s="12"/>
    </row>
    <row r="875">
      <c r="BV875" s="12"/>
    </row>
    <row r="876">
      <c r="BV876" s="12"/>
    </row>
    <row r="877">
      <c r="BV877" s="12"/>
    </row>
    <row r="878">
      <c r="BV878" s="12"/>
    </row>
    <row r="879">
      <c r="BV879" s="12"/>
    </row>
    <row r="880">
      <c r="BV880" s="12"/>
    </row>
    <row r="881">
      <c r="BV881" s="12"/>
    </row>
    <row r="882">
      <c r="BV882" s="12"/>
    </row>
    <row r="883">
      <c r="BV883" s="12"/>
    </row>
    <row r="884">
      <c r="BV884" s="12"/>
    </row>
    <row r="885">
      <c r="BV885" s="12"/>
    </row>
    <row r="886">
      <c r="BV886" s="12"/>
    </row>
    <row r="887">
      <c r="BV887" s="12"/>
    </row>
    <row r="888">
      <c r="BV888" s="12"/>
    </row>
    <row r="889">
      <c r="BV889" s="12"/>
    </row>
    <row r="890">
      <c r="BV890" s="12"/>
    </row>
    <row r="891">
      <c r="BV891" s="12"/>
    </row>
    <row r="892">
      <c r="BV892" s="12"/>
    </row>
    <row r="893">
      <c r="BV893" s="12"/>
    </row>
    <row r="894">
      <c r="BV894" s="12"/>
    </row>
    <row r="895">
      <c r="BV895" s="12"/>
    </row>
    <row r="896">
      <c r="BV896" s="12"/>
    </row>
    <row r="897">
      <c r="BV897" s="12"/>
    </row>
    <row r="898">
      <c r="BV898" s="12"/>
    </row>
    <row r="899">
      <c r="BV899" s="12"/>
    </row>
    <row r="900">
      <c r="BV900" s="12"/>
    </row>
    <row r="901">
      <c r="BV901" s="12"/>
    </row>
    <row r="902">
      <c r="BV902" s="12"/>
    </row>
    <row r="903">
      <c r="BV903" s="12"/>
    </row>
    <row r="904">
      <c r="BV904" s="12"/>
    </row>
    <row r="905">
      <c r="BV905" s="12"/>
    </row>
    <row r="906">
      <c r="BV906" s="12"/>
    </row>
    <row r="907">
      <c r="BV907" s="12"/>
    </row>
    <row r="908">
      <c r="BV908" s="12"/>
    </row>
    <row r="909">
      <c r="BV909" s="12"/>
    </row>
    <row r="910">
      <c r="BV910" s="12"/>
    </row>
    <row r="911">
      <c r="BV911" s="12"/>
    </row>
    <row r="912">
      <c r="BV912" s="12"/>
    </row>
    <row r="913">
      <c r="BV913" s="12"/>
    </row>
    <row r="914">
      <c r="BV914" s="12"/>
    </row>
    <row r="915">
      <c r="BV915" s="12"/>
    </row>
    <row r="916">
      <c r="BV916" s="12"/>
    </row>
    <row r="917">
      <c r="BV917" s="12"/>
    </row>
    <row r="918">
      <c r="BV918" s="12"/>
    </row>
    <row r="919">
      <c r="BV919" s="12"/>
    </row>
    <row r="920">
      <c r="BV920" s="12"/>
    </row>
    <row r="921">
      <c r="BV921" s="12"/>
    </row>
    <row r="922">
      <c r="BV922" s="12"/>
    </row>
    <row r="923">
      <c r="BV923" s="12"/>
    </row>
    <row r="924">
      <c r="BV924" s="12"/>
    </row>
    <row r="925">
      <c r="BV925" s="12"/>
    </row>
    <row r="926">
      <c r="BV926" s="12"/>
    </row>
    <row r="927">
      <c r="BV927" s="12"/>
    </row>
    <row r="928">
      <c r="BV928" s="12"/>
    </row>
    <row r="929">
      <c r="BV929" s="12"/>
    </row>
    <row r="930">
      <c r="BV930" s="12"/>
    </row>
    <row r="931">
      <c r="BV931" s="12"/>
    </row>
    <row r="932">
      <c r="BV932" s="12"/>
    </row>
    <row r="933">
      <c r="BV933" s="12"/>
    </row>
    <row r="934">
      <c r="BV934" s="12"/>
    </row>
    <row r="935">
      <c r="BV935" s="12"/>
    </row>
    <row r="936">
      <c r="BV936" s="12"/>
    </row>
    <row r="937">
      <c r="BV937" s="12"/>
    </row>
    <row r="938">
      <c r="BV938" s="12"/>
    </row>
    <row r="939">
      <c r="BV939" s="12"/>
    </row>
    <row r="940">
      <c r="BV940" s="12"/>
    </row>
    <row r="941">
      <c r="BV941" s="12"/>
    </row>
    <row r="942">
      <c r="BV942" s="12"/>
    </row>
    <row r="943">
      <c r="BV943" s="12"/>
    </row>
    <row r="944">
      <c r="BV944" s="12"/>
    </row>
    <row r="945">
      <c r="BV945" s="12"/>
    </row>
    <row r="946">
      <c r="BV946" s="12"/>
    </row>
    <row r="947">
      <c r="BV947" s="12"/>
    </row>
    <row r="948">
      <c r="BV948" s="12"/>
    </row>
    <row r="949">
      <c r="BV949" s="12"/>
    </row>
    <row r="950">
      <c r="BV950" s="12"/>
    </row>
    <row r="951">
      <c r="BV951" s="12"/>
    </row>
    <row r="952">
      <c r="BV952" s="12"/>
    </row>
    <row r="953">
      <c r="BV953" s="12"/>
    </row>
    <row r="954">
      <c r="BV954" s="12"/>
    </row>
    <row r="955">
      <c r="BV955" s="12"/>
    </row>
    <row r="956">
      <c r="BV956" s="12"/>
    </row>
    <row r="957">
      <c r="BV957" s="12"/>
    </row>
    <row r="958">
      <c r="BV958" s="12"/>
    </row>
    <row r="959">
      <c r="BV959" s="12"/>
    </row>
    <row r="960">
      <c r="BV960" s="12"/>
    </row>
    <row r="961">
      <c r="BV961" s="12"/>
    </row>
    <row r="962">
      <c r="BV962" s="12"/>
    </row>
    <row r="963">
      <c r="BV963" s="12"/>
    </row>
    <row r="964">
      <c r="BV964" s="12"/>
    </row>
    <row r="965">
      <c r="BV965" s="12"/>
    </row>
    <row r="966">
      <c r="BV966" s="12"/>
    </row>
    <row r="967">
      <c r="BV967" s="12"/>
    </row>
    <row r="968">
      <c r="BV968" s="12"/>
    </row>
    <row r="969">
      <c r="BV969" s="12"/>
    </row>
    <row r="970">
      <c r="BV970" s="12"/>
    </row>
    <row r="971">
      <c r="BV971" s="12"/>
    </row>
    <row r="972">
      <c r="BV972" s="12"/>
    </row>
    <row r="973">
      <c r="BV973" s="12"/>
    </row>
    <row r="974">
      <c r="BV974" s="12"/>
    </row>
    <row r="975">
      <c r="BV975" s="12"/>
    </row>
    <row r="976">
      <c r="BV976" s="12"/>
    </row>
    <row r="977">
      <c r="BV977" s="12"/>
    </row>
    <row r="978">
      <c r="BV978" s="12"/>
    </row>
    <row r="979">
      <c r="BV979" s="12"/>
    </row>
    <row r="980">
      <c r="BV980" s="12"/>
    </row>
    <row r="981">
      <c r="BV981" s="12"/>
    </row>
    <row r="982">
      <c r="BV982" s="12"/>
    </row>
    <row r="983">
      <c r="BV983" s="12"/>
    </row>
    <row r="984">
      <c r="BV984" s="12"/>
    </row>
    <row r="985">
      <c r="BV985" s="12"/>
    </row>
    <row r="986">
      <c r="BV986" s="12"/>
    </row>
    <row r="987">
      <c r="BV987" s="12"/>
    </row>
    <row r="988">
      <c r="BV988" s="12"/>
    </row>
    <row r="989">
      <c r="BV989" s="12"/>
    </row>
    <row r="990">
      <c r="BV990" s="12"/>
    </row>
    <row r="991">
      <c r="BV991" s="12"/>
    </row>
    <row r="992">
      <c r="BV992" s="12"/>
    </row>
    <row r="993">
      <c r="BV993" s="12"/>
    </row>
    <row r="994">
      <c r="BV994" s="12"/>
    </row>
    <row r="995">
      <c r="BV995" s="12"/>
    </row>
    <row r="996">
      <c r="BV996" s="12"/>
    </row>
    <row r="997">
      <c r="BV997" s="12"/>
    </row>
    <row r="998">
      <c r="BV998" s="12"/>
    </row>
    <row r="999">
      <c r="BV999" s="12"/>
    </row>
    <row r="1000">
      <c r="BV1000" s="12"/>
    </row>
  </sheetData>
  <drawing r:id="rId1"/>
</worksheet>
</file>