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an\Documents\"/>
    </mc:Choice>
  </mc:AlternateContent>
  <xr:revisionPtr revIDLastSave="0" documentId="13_ncr:1_{50940AA4-F26D-4B49-849E-C88C73A93191}" xr6:coauthVersionLast="34" xr6:coauthVersionMax="34" xr10:uidLastSave="{00000000-0000-0000-0000-000000000000}"/>
  <bookViews>
    <workbookView xWindow="0" yWindow="0" windowWidth="20490" windowHeight="8130" activeTab="2" xr2:uid="{8D551B43-7A53-40E2-8535-10A059689C69}"/>
  </bookViews>
  <sheets>
    <sheet name="Valores" sheetId="1" r:id="rId1"/>
    <sheet name="estado de resultados SF" sheetId="2" r:id="rId2"/>
    <sheet name="vafe y tir" sheetId="3" r:id="rId3"/>
    <sheet name="Hoja4" sheetId="4" r:id="rId4"/>
    <sheet name="Hoja5" sheetId="5" r:id="rId5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B21" i="3"/>
  <c r="B19" i="3" s="1"/>
  <c r="B16" i="3" l="1"/>
  <c r="B15" i="3"/>
  <c r="C14" i="3"/>
  <c r="D14" i="3"/>
  <c r="E14" i="3"/>
  <c r="F14" i="3"/>
  <c r="G14" i="3"/>
  <c r="H14" i="3"/>
  <c r="I14" i="3"/>
  <c r="J14" i="3"/>
  <c r="K14" i="3"/>
  <c r="L14" i="3"/>
  <c r="B14" i="3"/>
  <c r="D13" i="3"/>
  <c r="D12" i="3"/>
  <c r="D11" i="3"/>
  <c r="B23" i="2"/>
  <c r="D23" i="2"/>
  <c r="E23" i="2"/>
  <c r="F23" i="2"/>
  <c r="G23" i="2"/>
  <c r="H23" i="2"/>
  <c r="I23" i="2"/>
  <c r="J23" i="2"/>
  <c r="K23" i="2"/>
  <c r="L23" i="2"/>
  <c r="C23" i="2"/>
  <c r="D22" i="2"/>
  <c r="E22" i="2"/>
  <c r="F22" i="2"/>
  <c r="G22" i="2"/>
  <c r="H22" i="2"/>
  <c r="I22" i="2"/>
  <c r="J22" i="2"/>
  <c r="K22" i="2"/>
  <c r="L22" i="2"/>
  <c r="C22" i="2"/>
  <c r="B18" i="2"/>
  <c r="G19" i="2"/>
  <c r="H19" i="2"/>
  <c r="I19" i="2"/>
  <c r="J19" i="2"/>
  <c r="K19" i="2"/>
  <c r="L19" i="2"/>
  <c r="D19" i="2"/>
  <c r="E19" i="2"/>
  <c r="F19" i="2"/>
  <c r="C19" i="2"/>
  <c r="L21" i="2"/>
  <c r="K21" i="2"/>
  <c r="J21" i="2"/>
  <c r="I21" i="2"/>
  <c r="H21" i="2"/>
  <c r="G21" i="2"/>
  <c r="F21" i="2"/>
  <c r="E21" i="2"/>
  <c r="D21" i="2"/>
  <c r="C21" i="2"/>
  <c r="B12" i="4" l="1"/>
  <c r="B11" i="4"/>
  <c r="F11" i="4" s="1"/>
  <c r="F10" i="4"/>
  <c r="E13" i="4"/>
  <c r="E14" i="4"/>
  <c r="E15" i="4"/>
  <c r="E16" i="4"/>
  <c r="E17" i="4"/>
  <c r="E18" i="4"/>
  <c r="E19" i="4"/>
  <c r="E12" i="4"/>
  <c r="C12" i="4"/>
  <c r="D12" i="4" s="1"/>
  <c r="C10" i="4"/>
  <c r="C3" i="4"/>
  <c r="F6" i="4" s="1"/>
  <c r="K11" i="1"/>
  <c r="K10" i="1"/>
  <c r="B12" i="2"/>
  <c r="B17" i="2" s="1"/>
  <c r="G11" i="1"/>
  <c r="D5" i="2"/>
  <c r="E5" i="2"/>
  <c r="F5" i="2"/>
  <c r="G5" i="2"/>
  <c r="H5" i="2"/>
  <c r="I5" i="2"/>
  <c r="J5" i="2"/>
  <c r="K5" i="2"/>
  <c r="L5" i="2"/>
  <c r="C5" i="2"/>
  <c r="D21" i="1"/>
  <c r="E6" i="1"/>
  <c r="D6" i="2"/>
  <c r="D10" i="2" s="1"/>
  <c r="E6" i="2"/>
  <c r="E10" i="2" s="1"/>
  <c r="F6" i="2"/>
  <c r="F10" i="2" s="1"/>
  <c r="G6" i="2"/>
  <c r="G10" i="2" s="1"/>
  <c r="H6" i="2"/>
  <c r="H10" i="2" s="1"/>
  <c r="I6" i="2"/>
  <c r="I10" i="2" s="1"/>
  <c r="J6" i="2"/>
  <c r="J10" i="2" s="1"/>
  <c r="K6" i="2"/>
  <c r="K10" i="2" s="1"/>
  <c r="L6" i="2"/>
  <c r="L10" i="2" s="1"/>
  <c r="C6" i="2"/>
  <c r="C10" i="2" s="1"/>
  <c r="D9" i="1"/>
  <c r="M16" i="2"/>
  <c r="F11" i="1"/>
  <c r="D8" i="1"/>
  <c r="E11" i="1"/>
  <c r="D11" i="1"/>
  <c r="D6" i="1"/>
  <c r="M14" i="2"/>
  <c r="E19" i="1"/>
  <c r="D4" i="2" s="1"/>
  <c r="M17" i="2" l="1"/>
  <c r="M2" i="3" s="1"/>
  <c r="B25" i="1"/>
  <c r="B2" i="3"/>
  <c r="D7" i="2"/>
  <c r="D8" i="2" s="1"/>
  <c r="D9" i="2" s="1"/>
  <c r="D11" i="2" s="1"/>
  <c r="D17" i="2" s="1"/>
  <c r="D2" i="3" s="1"/>
  <c r="F12" i="4"/>
  <c r="B13" i="4" s="1"/>
  <c r="C11" i="4"/>
  <c r="E4" i="4"/>
  <c r="B10" i="4"/>
  <c r="K4" i="2"/>
  <c r="K7" i="2" s="1"/>
  <c r="E20" i="1"/>
  <c r="J4" i="2"/>
  <c r="J7" i="2" s="1"/>
  <c r="F4" i="2"/>
  <c r="F7" i="2" s="1"/>
  <c r="G4" i="2"/>
  <c r="G7" i="2" s="1"/>
  <c r="C4" i="2"/>
  <c r="C7" i="2" s="1"/>
  <c r="I4" i="2"/>
  <c r="I7" i="2" s="1"/>
  <c r="E4" i="2"/>
  <c r="E7" i="2" s="1"/>
  <c r="L4" i="2"/>
  <c r="L7" i="2" s="1"/>
  <c r="H4" i="2"/>
  <c r="H7" i="2" s="1"/>
  <c r="C13" i="4" l="1"/>
  <c r="D13" i="4" s="1"/>
  <c r="F13" i="4" s="1"/>
  <c r="B14" i="4" s="1"/>
  <c r="H8" i="2"/>
  <c r="H9" i="2" s="1"/>
  <c r="H11" i="2" s="1"/>
  <c r="H17" i="2" s="1"/>
  <c r="H2" i="3" s="1"/>
  <c r="C8" i="2"/>
  <c r="C9" i="2" s="1"/>
  <c r="C11" i="2" s="1"/>
  <c r="C17" i="2" s="1"/>
  <c r="C2" i="3" s="1"/>
  <c r="L8" i="2"/>
  <c r="L9" i="2" s="1"/>
  <c r="L11" i="2" s="1"/>
  <c r="L17" i="2" s="1"/>
  <c r="L2" i="3" s="1"/>
  <c r="G8" i="2"/>
  <c r="G9" i="2"/>
  <c r="G11" i="2" s="1"/>
  <c r="G17" i="2" s="1"/>
  <c r="G2" i="3" s="1"/>
  <c r="K8" i="2"/>
  <c r="K9" i="2"/>
  <c r="K11" i="2" s="1"/>
  <c r="K17" i="2" s="1"/>
  <c r="K2" i="3" s="1"/>
  <c r="E8" i="2"/>
  <c r="E9" i="2" s="1"/>
  <c r="E11" i="2" s="1"/>
  <c r="E17" i="2" s="1"/>
  <c r="E2" i="3" s="1"/>
  <c r="F8" i="2"/>
  <c r="F9" i="2" s="1"/>
  <c r="F11" i="2" s="1"/>
  <c r="F17" i="2" s="1"/>
  <c r="F2" i="3" s="1"/>
  <c r="I8" i="2"/>
  <c r="I9" i="2" s="1"/>
  <c r="I11" i="2" s="1"/>
  <c r="I17" i="2" s="1"/>
  <c r="I2" i="3" s="1"/>
  <c r="J8" i="2"/>
  <c r="J9" i="2" s="1"/>
  <c r="J11" i="2" s="1"/>
  <c r="J17" i="2" s="1"/>
  <c r="J2" i="3" s="1"/>
  <c r="B3" i="3" l="1"/>
  <c r="C14" i="4"/>
  <c r="D14" i="4" s="1"/>
  <c r="F14" i="4" s="1"/>
  <c r="B15" i="4" s="1"/>
  <c r="B6" i="3" l="1"/>
  <c r="B4" i="3"/>
  <c r="C15" i="4"/>
  <c r="D15" i="4" s="1"/>
  <c r="F15" i="4" s="1"/>
  <c r="B16" i="4" s="1"/>
  <c r="C16" i="4" l="1"/>
  <c r="D16" i="4" s="1"/>
  <c r="F16" i="4" s="1"/>
  <c r="B17" i="4" s="1"/>
  <c r="C17" i="4" l="1"/>
  <c r="D17" i="4" s="1"/>
  <c r="F17" i="4" s="1"/>
  <c r="B18" i="4" s="1"/>
  <c r="C18" i="4" l="1"/>
  <c r="D18" i="4" s="1"/>
  <c r="F18" i="4"/>
  <c r="B19" i="4" s="1"/>
  <c r="C19" i="4" l="1"/>
  <c r="D19" i="4" s="1"/>
  <c r="F19" i="4" s="1"/>
</calcChain>
</file>

<file path=xl/sharedStrings.xml><?xml version="1.0" encoding="utf-8"?>
<sst xmlns="http://schemas.openxmlformats.org/spreadsheetml/2006/main" count="114" uniqueCount="91">
  <si>
    <t xml:space="preserve">Detalle </t>
  </si>
  <si>
    <t>Valor</t>
  </si>
  <si>
    <t>KW/hora hidroelectrico</t>
  </si>
  <si>
    <t>KW/hora termoelectricas</t>
  </si>
  <si>
    <t>Costo de obras civiles</t>
  </si>
  <si>
    <t>Revestido concreto</t>
  </si>
  <si>
    <t>Costo tuberia</t>
  </si>
  <si>
    <t>Costo Turbo generadores</t>
  </si>
  <si>
    <t>costo de construccion casa de maquinas</t>
  </si>
  <si>
    <t>inversion incremental</t>
  </si>
  <si>
    <t>Costo de diseño</t>
  </si>
  <si>
    <t>Inversion Capital Trabajo</t>
  </si>
  <si>
    <t xml:space="preserve">Valor residual de mercado </t>
  </si>
  <si>
    <t>Deuda</t>
  </si>
  <si>
    <t>1000 M</t>
  </si>
  <si>
    <t>Pago IE mes abril</t>
  </si>
  <si>
    <t>Cantidad</t>
  </si>
  <si>
    <t xml:space="preserve">porcentaje en inversiones </t>
  </si>
  <si>
    <t xml:space="preserve">Tiempo depreciacion </t>
  </si>
  <si>
    <t>10 años</t>
  </si>
  <si>
    <t>Venta KW</t>
  </si>
  <si>
    <t xml:space="preserve">Gasto sueldos </t>
  </si>
  <si>
    <t>Gasto oper</t>
  </si>
  <si>
    <t>Pago ServBasi</t>
  </si>
  <si>
    <t>imp renta</t>
  </si>
  <si>
    <t>Tasa de descuento</t>
  </si>
  <si>
    <t>Equipo Chatarra(ingreso adicional)</t>
  </si>
  <si>
    <t>al final del año 10, pero si dice de mercado quiere decir que todos los cativos fijos que compre cuestan 100000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</si>
  <si>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</si>
  <si>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</si>
  <si>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</si>
  <si>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</si>
  <si>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</si>
  <si>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</si>
  <si>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</si>
  <si>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</si>
  <si>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</si>
  <si>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</si>
  <si>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</si>
  <si>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año 11</t>
  </si>
  <si>
    <t>ingreso por ventas</t>
  </si>
  <si>
    <t>costos y gastos</t>
  </si>
  <si>
    <t>depreciaciones</t>
  </si>
  <si>
    <t>UTILIDAD ANTES DE IMP</t>
  </si>
  <si>
    <t>30%imp</t>
  </si>
  <si>
    <t>UTILIDAD NETA</t>
  </si>
  <si>
    <t>FLUJO DE CAJA</t>
  </si>
  <si>
    <t>inversiones</t>
  </si>
  <si>
    <t>valor residual</t>
  </si>
  <si>
    <t>venta chatarra</t>
  </si>
  <si>
    <t>recuperacion de ktrab</t>
  </si>
  <si>
    <t>d</t>
  </si>
  <si>
    <t>depreciacion</t>
  </si>
  <si>
    <t>inversion de kt</t>
  </si>
  <si>
    <t>FLUJO DE CAJA PARA ELAB DE PROYECTO</t>
  </si>
  <si>
    <t>FLUJOS</t>
  </si>
  <si>
    <t>van</t>
  </si>
  <si>
    <t>Tir</t>
  </si>
  <si>
    <t>id</t>
  </si>
  <si>
    <t>VAFE</t>
  </si>
  <si>
    <t>estado de resultados sin financiamiento</t>
  </si>
  <si>
    <t>cuadro de amortizacioòn</t>
  </si>
  <si>
    <t>CAPITAL TOTAL</t>
  </si>
  <si>
    <t>NUMERO DE AÑO 10</t>
  </si>
  <si>
    <t>TIPO DE INTERES</t>
  </si>
  <si>
    <t>INVERSION INICIAL</t>
  </si>
  <si>
    <t>VNTA CAHTARRA</t>
  </si>
  <si>
    <t>Financiemiento</t>
  </si>
  <si>
    <t>Cuota FIJA</t>
  </si>
  <si>
    <t>Tota deuda</t>
  </si>
  <si>
    <t>Periodos</t>
  </si>
  <si>
    <t>Capital</t>
  </si>
  <si>
    <t>Interes</t>
  </si>
  <si>
    <t>Abono K</t>
  </si>
  <si>
    <t>Cuota Fija</t>
  </si>
  <si>
    <t>Saldo</t>
  </si>
  <si>
    <t>PAGO INTERESES</t>
  </si>
  <si>
    <t>SALDO FINAL DE CAJA CON FINANCIAMIENTO</t>
  </si>
  <si>
    <t>pago prestamos del 70%</t>
  </si>
  <si>
    <t>TASA DE DSCTO</t>
  </si>
  <si>
    <t>ABONO DE CAPITAL</t>
  </si>
  <si>
    <t>CONTRATACION DE PRESTAMOS</t>
  </si>
  <si>
    <t>ESCUD FISCAL</t>
  </si>
  <si>
    <t>TASA MINIMA ACEPTABLE DE RETORNO (TMAR)</t>
  </si>
  <si>
    <t>INVERSIONISTAS</t>
  </si>
  <si>
    <t>BANCO</t>
  </si>
  <si>
    <t>VAN</t>
  </si>
  <si>
    <t>TIR</t>
  </si>
  <si>
    <t>COSTO BENEFICIO</t>
  </si>
  <si>
    <t>EL PROYECTO CON FINANCIEMIENTO ES MAS RIESGOSO COMO EL SIN FINANCIAMIENTO</t>
  </si>
  <si>
    <t>PARA EL APALANCAMIENTO OPERATIVO SE TOMA EN EN CTA LA UT BRUTA,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</si>
</sst>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164" formatCode="_ [$$-300A]* #,##0.00_ ;_ [$$-300A]* \-#,##0.00_ ;_ [$$-300A]* &quot;-&quot;??_ ;_ @_ 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9" fontId="0" fillId="0" borderId="0" xfId="0" applyNumberFormat="1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8" fontId="0" fillId="0" borderId="0" xfId="0" applyNumberFormat="1"/>
    <xf numFmtId="2" fontId="0" fillId="0" borderId="0" xfId="0" applyNumberFormat="1"/>
    <xf numFmtId="2" fontId="1" fillId="0" borderId="0" xfId="0" applyNumberFormat="1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164" fontId="0" fillId="0" borderId="0" xfId="0" applyNumberFormat="1"/>
    <xf numFmtId="0" fontId="2" fillId="0" borderId="0" xfId="0" applyFont="1"/>
    <xf numFmtId="0" fontId="0" fillId="0" borderId="0" xfId="0" applyFill="1" applyBorder="1"/>
    <xf numFmtId="0" fontId="0" fillId="2" borderId="1" xfId="0" applyFill="1" applyBorder="1"/>
    <xf numFmtId="0" fontId="0" fillId="0" borderId="0" xfId="0" applyFill="1"/>
    <xf numFmtId="0" fontId="0" fillId="0" borderId="2" xfId="0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69A57-10E8-4EF1-89B4-3A8866799FCA}">
  <dimension ref="A1:L25"/>
  <sheetViews>
    <sheetView workbookViewId="0">
      <selection activeCell="C25" sqref="C25"/>
    </sheetView>
  </sheetViews>
  <sheetFormatPr baseColWidth="10" defaultRowHeight="15" x14ac:dyDescent="0.25"/>
  <cols>
    <col min="1" max="1" width="36.42578125" bestFit="1" customWidth="1"/>
  </cols>
  <sheetData>
    <row r="1" spans="1:12" x14ac:dyDescent="0.25">
      <c r="A1" t="s">
        <v>0</v>
      </c>
      <c r="B1" t="s">
        <v>1</v>
      </c>
      <c r="C1" t="s">
        <v>16</v>
      </c>
    </row>
    <row r="2" spans="1:12" hidden="1" x14ac:dyDescent="0.25">
      <c r="A2" t="s">
        <v>2</v>
      </c>
      <c r="B2">
        <v>5.5E-2</v>
      </c>
    </row>
    <row r="3" spans="1:12" hidden="1" x14ac:dyDescent="0.25">
      <c r="A3" t="s">
        <v>3</v>
      </c>
      <c r="B3">
        <v>9.7650000000000001E-2</v>
      </c>
    </row>
    <row r="4" spans="1:12" x14ac:dyDescent="0.25">
      <c r="A4" t="s">
        <v>15</v>
      </c>
      <c r="B4">
        <v>3.909E-2</v>
      </c>
    </row>
    <row r="5" spans="1:12" x14ac:dyDescent="0.25">
      <c r="A5" s="2" t="s">
        <v>4</v>
      </c>
      <c r="B5" s="4">
        <v>19359</v>
      </c>
      <c r="C5" t="s">
        <v>51</v>
      </c>
    </row>
    <row r="6" spans="1:12" x14ac:dyDescent="0.25">
      <c r="A6" t="s">
        <v>13</v>
      </c>
      <c r="B6" t="s">
        <v>14</v>
      </c>
      <c r="D6">
        <f>B5+B7+B8+B9+B10+B13+B19+B20+B21</f>
        <v>681931</v>
      </c>
      <c r="E6">
        <f>+D6/10</f>
        <v>68193.100000000006</v>
      </c>
    </row>
    <row r="7" spans="1:12" x14ac:dyDescent="0.25">
      <c r="A7" s="2" t="s">
        <v>5</v>
      </c>
      <c r="B7" s="4">
        <v>138228</v>
      </c>
      <c r="C7" t="s">
        <v>51</v>
      </c>
    </row>
    <row r="8" spans="1:12" x14ac:dyDescent="0.25">
      <c r="A8" s="2" t="s">
        <v>6</v>
      </c>
      <c r="B8" s="4">
        <v>83477</v>
      </c>
      <c r="C8" t="s">
        <v>51</v>
      </c>
      <c r="D8">
        <f>SUM(B5,B7,B8,B9,B10,B12)</f>
        <v>691231</v>
      </c>
      <c r="E8" t="s">
        <v>52</v>
      </c>
    </row>
    <row r="9" spans="1:12" x14ac:dyDescent="0.25">
      <c r="A9" s="2" t="s">
        <v>7</v>
      </c>
      <c r="B9" s="4">
        <v>365434</v>
      </c>
      <c r="C9" t="s">
        <v>51</v>
      </c>
      <c r="D9">
        <f>D8/10</f>
        <v>69123.100000000006</v>
      </c>
    </row>
    <row r="10" spans="1:12" x14ac:dyDescent="0.25">
      <c r="A10" s="2" t="s">
        <v>8</v>
      </c>
      <c r="B10" s="4">
        <v>24733</v>
      </c>
      <c r="C10" t="s">
        <v>51</v>
      </c>
      <c r="F10" t="s">
        <v>65</v>
      </c>
      <c r="I10" t="s">
        <v>66</v>
      </c>
      <c r="K10">
        <f>F11-I11</f>
        <v>764174.1</v>
      </c>
    </row>
    <row r="11" spans="1:12" x14ac:dyDescent="0.25">
      <c r="A11" s="3" t="s">
        <v>26</v>
      </c>
      <c r="B11" s="5">
        <v>8000</v>
      </c>
      <c r="D11">
        <f>SUM(B7:B14)+B5</f>
        <v>717431</v>
      </c>
      <c r="E11">
        <f>D11*0.1</f>
        <v>71743.100000000006</v>
      </c>
      <c r="F11">
        <f>SUM(D11:E11)</f>
        <v>789174.1</v>
      </c>
      <c r="G11">
        <f>-F11+B14</f>
        <v>-779174.1</v>
      </c>
      <c r="I11">
        <v>25000</v>
      </c>
      <c r="K11" s="12">
        <f>K10*0.7</f>
        <v>534921.87</v>
      </c>
      <c r="L11" s="12" t="s">
        <v>67</v>
      </c>
    </row>
    <row r="12" spans="1:12" x14ac:dyDescent="0.25">
      <c r="A12" t="s">
        <v>9</v>
      </c>
      <c r="B12" s="4">
        <v>60000</v>
      </c>
      <c r="C12" t="s">
        <v>51</v>
      </c>
    </row>
    <row r="13" spans="1:12" x14ac:dyDescent="0.25">
      <c r="A13" s="2" t="s">
        <v>10</v>
      </c>
      <c r="B13" s="4">
        <v>8200</v>
      </c>
    </row>
    <row r="14" spans="1:12" x14ac:dyDescent="0.25">
      <c r="A14" t="s">
        <v>11</v>
      </c>
      <c r="B14" s="4">
        <v>10000</v>
      </c>
    </row>
    <row r="15" spans="1:12" x14ac:dyDescent="0.25">
      <c r="A15" t="s">
        <v>12</v>
      </c>
      <c r="B15">
        <v>100000</v>
      </c>
      <c r="D15" t="s">
        <v>27</v>
      </c>
    </row>
    <row r="16" spans="1:12" x14ac:dyDescent="0.25">
      <c r="A16" t="s">
        <v>17</v>
      </c>
      <c r="B16" s="1">
        <v>0.1</v>
      </c>
    </row>
    <row r="17" spans="1:5" x14ac:dyDescent="0.25">
      <c r="A17" t="s">
        <v>18</v>
      </c>
      <c r="B17" t="s">
        <v>19</v>
      </c>
    </row>
    <row r="18" spans="1:5" x14ac:dyDescent="0.25">
      <c r="A18" t="s">
        <v>20</v>
      </c>
      <c r="C18">
        <v>5918000</v>
      </c>
    </row>
    <row r="19" spans="1:5" x14ac:dyDescent="0.25">
      <c r="A19" s="2" t="s">
        <v>21</v>
      </c>
      <c r="B19">
        <v>30000</v>
      </c>
      <c r="E19">
        <f>+B4*C18</f>
        <v>231334.62</v>
      </c>
    </row>
    <row r="20" spans="1:5" x14ac:dyDescent="0.25">
      <c r="A20" s="2" t="s">
        <v>22</v>
      </c>
      <c r="B20">
        <v>10000</v>
      </c>
      <c r="E20">
        <f>+E19/10</f>
        <v>23133.462</v>
      </c>
    </row>
    <row r="21" spans="1:5" x14ac:dyDescent="0.25">
      <c r="A21" s="2" t="s">
        <v>23</v>
      </c>
      <c r="B21">
        <v>2500</v>
      </c>
      <c r="D21">
        <f>+B19+B20+B21</f>
        <v>42500</v>
      </c>
    </row>
    <row r="22" spans="1:5" x14ac:dyDescent="0.25">
      <c r="A22" t="s">
        <v>24</v>
      </c>
      <c r="B22" s="1">
        <v>0.3</v>
      </c>
      <c r="D22">
        <v>42500</v>
      </c>
    </row>
    <row r="23" spans="1:5" x14ac:dyDescent="0.25">
      <c r="A23" t="s">
        <v>25</v>
      </c>
      <c r="B23" s="1">
        <v>0.16</v>
      </c>
    </row>
    <row r="25" spans="1:5" x14ac:dyDescent="0.25">
      <c r="A25" t="s">
        <v>78</v>
      </c>
      <c r="B25" t="e">
        <f>'estado de resultados SF'!#REF!*0.7</f>
        <v>#REF!</v>
      </c>
      <c r="C25">
        <v>534931.87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6136-264E-4C07-8CC0-017006E62BCE}">
  <dimension ref="A1:P23"/>
  <sheetViews>
    <sheetView topLeftCell="A10" workbookViewId="0">
      <selection activeCell="B18" sqref="B18"/>
    </sheetView>
  </sheetViews>
  <sheetFormatPr baseColWidth="10" defaultRowHeight="15" x14ac:dyDescent="0.25"/>
  <cols>
    <col min="1" max="1" width="41.28515625" customWidth="1"/>
  </cols>
  <sheetData>
    <row r="1" spans="1:16" x14ac:dyDescent="0.25">
      <c r="A1" t="s">
        <v>60</v>
      </c>
    </row>
    <row r="3" spans="1:16" x14ac:dyDescent="0.25">
      <c r="A3" s="9"/>
      <c r="B3" s="11" t="s">
        <v>28</v>
      </c>
      <c r="C3" s="10" t="s">
        <v>29</v>
      </c>
      <c r="D3" s="10" t="s">
        <v>30</v>
      </c>
      <c r="E3" s="10" t="s">
        <v>31</v>
      </c>
      <c r="F3" s="10" t="s">
        <v>32</v>
      </c>
      <c r="G3" s="10" t="s">
        <v>33</v>
      </c>
      <c r="H3" s="10" t="s">
        <v>34</v>
      </c>
      <c r="I3" s="10" t="s">
        <v>35</v>
      </c>
      <c r="J3" s="10" t="s">
        <v>36</v>
      </c>
      <c r="K3" s="10" t="s">
        <v>37</v>
      </c>
      <c r="L3" s="10" t="s">
        <v>38</v>
      </c>
      <c r="M3" s="10" t="s">
        <v>39</v>
      </c>
    </row>
    <row r="4" spans="1:16" x14ac:dyDescent="0.25">
      <c r="A4" s="9" t="s">
        <v>40</v>
      </c>
      <c r="B4" s="9"/>
      <c r="C4" s="9">
        <f>+Valores!$E$19</f>
        <v>231334.62</v>
      </c>
      <c r="D4" s="9">
        <f>+Valores!$E$19</f>
        <v>231334.62</v>
      </c>
      <c r="E4" s="9">
        <f>+Valores!$E$19</f>
        <v>231334.62</v>
      </c>
      <c r="F4" s="9">
        <f>+Valores!$E$19</f>
        <v>231334.62</v>
      </c>
      <c r="G4" s="9">
        <f>+Valores!$E$19</f>
        <v>231334.62</v>
      </c>
      <c r="H4" s="9">
        <f>+Valores!$E$19</f>
        <v>231334.62</v>
      </c>
      <c r="I4" s="9">
        <f>+Valores!$E$19</f>
        <v>231334.62</v>
      </c>
      <c r="J4" s="9">
        <f>+Valores!$E$19</f>
        <v>231334.62</v>
      </c>
      <c r="K4" s="9">
        <f>+Valores!$E$19</f>
        <v>231334.62</v>
      </c>
      <c r="L4" s="9">
        <f>+Valores!$E$19</f>
        <v>231334.62</v>
      </c>
      <c r="M4" s="9"/>
    </row>
    <row r="5" spans="1:16" x14ac:dyDescent="0.25">
      <c r="A5" s="9" t="s">
        <v>41</v>
      </c>
      <c r="B5" s="9"/>
      <c r="C5" s="9">
        <f>+Valores!$D$22</f>
        <v>42500</v>
      </c>
      <c r="D5" s="9">
        <f>+Valores!$D$22</f>
        <v>42500</v>
      </c>
      <c r="E5" s="9">
        <f>+Valores!$D$22</f>
        <v>42500</v>
      </c>
      <c r="F5" s="9">
        <f>+Valores!$D$22</f>
        <v>42500</v>
      </c>
      <c r="G5" s="9">
        <f>+Valores!$D$22</f>
        <v>42500</v>
      </c>
      <c r="H5" s="9">
        <f>+Valores!$D$22</f>
        <v>42500</v>
      </c>
      <c r="I5" s="9">
        <f>+Valores!$D$22</f>
        <v>42500</v>
      </c>
      <c r="J5" s="9">
        <f>+Valores!$D$22</f>
        <v>42500</v>
      </c>
      <c r="K5" s="9">
        <f>+Valores!$D$22</f>
        <v>42500</v>
      </c>
      <c r="L5" s="9">
        <f>+Valores!$D$22</f>
        <v>42500</v>
      </c>
      <c r="M5" s="9"/>
    </row>
    <row r="6" spans="1:16" x14ac:dyDescent="0.25">
      <c r="A6" s="9" t="s">
        <v>42</v>
      </c>
      <c r="B6" s="9"/>
      <c r="C6" s="9">
        <f>+Valores!$D$9</f>
        <v>69123.100000000006</v>
      </c>
      <c r="D6" s="9">
        <f>+Valores!$D$9</f>
        <v>69123.100000000006</v>
      </c>
      <c r="E6" s="9">
        <f>+Valores!$D$9</f>
        <v>69123.100000000006</v>
      </c>
      <c r="F6" s="9">
        <f>+Valores!$D$9</f>
        <v>69123.100000000006</v>
      </c>
      <c r="G6" s="9">
        <f>+Valores!$D$9</f>
        <v>69123.100000000006</v>
      </c>
      <c r="H6" s="9">
        <f>+Valores!$D$9</f>
        <v>69123.100000000006</v>
      </c>
      <c r="I6" s="9">
        <f>+Valores!$D$9</f>
        <v>69123.100000000006</v>
      </c>
      <c r="J6" s="9">
        <f>+Valores!$D$9</f>
        <v>69123.100000000006</v>
      </c>
      <c r="K6" s="9">
        <f>+Valores!$D$9</f>
        <v>69123.100000000006</v>
      </c>
      <c r="L6" s="9">
        <f>+Valores!$D$9</f>
        <v>69123.100000000006</v>
      </c>
      <c r="M6" s="9"/>
    </row>
    <row r="7" spans="1:16" x14ac:dyDescent="0.25">
      <c r="A7" s="9" t="s">
        <v>43</v>
      </c>
      <c r="B7" s="9"/>
      <c r="C7" s="9">
        <f>+C4-C5-C6</f>
        <v>119711.51999999999</v>
      </c>
      <c r="D7" s="9">
        <f t="shared" ref="D7:L7" si="0">+D4-D5-D6</f>
        <v>119711.51999999999</v>
      </c>
      <c r="E7" s="9">
        <f t="shared" si="0"/>
        <v>119711.51999999999</v>
      </c>
      <c r="F7" s="9">
        <f t="shared" si="0"/>
        <v>119711.51999999999</v>
      </c>
      <c r="G7" s="9">
        <f t="shared" si="0"/>
        <v>119711.51999999999</v>
      </c>
      <c r="H7" s="9">
        <f t="shared" si="0"/>
        <v>119711.51999999999</v>
      </c>
      <c r="I7" s="9">
        <f t="shared" si="0"/>
        <v>119711.51999999999</v>
      </c>
      <c r="J7" s="9">
        <f t="shared" si="0"/>
        <v>119711.51999999999</v>
      </c>
      <c r="K7" s="9">
        <f t="shared" si="0"/>
        <v>119711.51999999999</v>
      </c>
      <c r="L7" s="9">
        <f t="shared" si="0"/>
        <v>119711.51999999999</v>
      </c>
      <c r="M7" s="9"/>
    </row>
    <row r="8" spans="1:16" x14ac:dyDescent="0.25">
      <c r="A8" s="9" t="s">
        <v>44</v>
      </c>
      <c r="B8" s="9"/>
      <c r="C8" s="9">
        <f>+C7*0.3</f>
        <v>35913.455999999998</v>
      </c>
      <c r="D8" s="9">
        <f t="shared" ref="D8:L8" si="1">+D7*0.3</f>
        <v>35913.455999999998</v>
      </c>
      <c r="E8" s="9">
        <f t="shared" si="1"/>
        <v>35913.455999999998</v>
      </c>
      <c r="F8" s="9">
        <f t="shared" si="1"/>
        <v>35913.455999999998</v>
      </c>
      <c r="G8" s="9">
        <f t="shared" si="1"/>
        <v>35913.455999999998</v>
      </c>
      <c r="H8" s="9">
        <f t="shared" si="1"/>
        <v>35913.455999999998</v>
      </c>
      <c r="I8" s="9">
        <f t="shared" si="1"/>
        <v>35913.455999999998</v>
      </c>
      <c r="J8" s="9">
        <f t="shared" si="1"/>
        <v>35913.455999999998</v>
      </c>
      <c r="K8" s="9">
        <f t="shared" si="1"/>
        <v>35913.455999999998</v>
      </c>
      <c r="L8" s="9">
        <f t="shared" si="1"/>
        <v>35913.455999999998</v>
      </c>
      <c r="M8" s="9"/>
      <c r="P8" s="1"/>
    </row>
    <row r="9" spans="1:16" x14ac:dyDescent="0.25">
      <c r="A9" s="9" t="s">
        <v>45</v>
      </c>
      <c r="B9" s="9"/>
      <c r="C9" s="9">
        <f>+C7-C8</f>
        <v>83798.063999999984</v>
      </c>
      <c r="D9" s="9">
        <f t="shared" ref="D9:L9" si="2">+D7-D8</f>
        <v>83798.063999999984</v>
      </c>
      <c r="E9" s="9">
        <f t="shared" si="2"/>
        <v>83798.063999999984</v>
      </c>
      <c r="F9" s="9">
        <f t="shared" si="2"/>
        <v>83798.063999999984</v>
      </c>
      <c r="G9" s="9">
        <f t="shared" si="2"/>
        <v>83798.063999999984</v>
      </c>
      <c r="H9" s="9">
        <f t="shared" si="2"/>
        <v>83798.063999999984</v>
      </c>
      <c r="I9" s="9">
        <f t="shared" si="2"/>
        <v>83798.063999999984</v>
      </c>
      <c r="J9" s="9">
        <f t="shared" si="2"/>
        <v>83798.063999999984</v>
      </c>
      <c r="K9" s="9">
        <f t="shared" si="2"/>
        <v>83798.063999999984</v>
      </c>
      <c r="L9" s="9">
        <f t="shared" si="2"/>
        <v>83798.063999999984</v>
      </c>
      <c r="M9" s="9"/>
    </row>
    <row r="10" spans="1:16" x14ac:dyDescent="0.25">
      <c r="A10" s="9" t="s">
        <v>42</v>
      </c>
      <c r="B10" s="9"/>
      <c r="C10" s="9">
        <f>+C6</f>
        <v>69123.100000000006</v>
      </c>
      <c r="D10" s="9">
        <f t="shared" ref="D10:L10" si="3">+D6</f>
        <v>69123.100000000006</v>
      </c>
      <c r="E10" s="9">
        <f t="shared" si="3"/>
        <v>69123.100000000006</v>
      </c>
      <c r="F10" s="9">
        <f t="shared" si="3"/>
        <v>69123.100000000006</v>
      </c>
      <c r="G10" s="9">
        <f t="shared" si="3"/>
        <v>69123.100000000006</v>
      </c>
      <c r="H10" s="9">
        <f t="shared" si="3"/>
        <v>69123.100000000006</v>
      </c>
      <c r="I10" s="9">
        <f t="shared" si="3"/>
        <v>69123.100000000006</v>
      </c>
      <c r="J10" s="9">
        <f t="shared" si="3"/>
        <v>69123.100000000006</v>
      </c>
      <c r="K10" s="9">
        <f t="shared" si="3"/>
        <v>69123.100000000006</v>
      </c>
      <c r="L10" s="9">
        <f t="shared" si="3"/>
        <v>69123.100000000006</v>
      </c>
      <c r="M10" s="9"/>
    </row>
    <row r="11" spans="1:16" x14ac:dyDescent="0.25">
      <c r="A11" s="9" t="s">
        <v>46</v>
      </c>
      <c r="B11" s="9"/>
      <c r="C11" s="9">
        <f>+C9+C10</f>
        <v>152921.16399999999</v>
      </c>
      <c r="D11" s="9">
        <f t="shared" ref="D11:L11" si="4">+D9+D10</f>
        <v>152921.16399999999</v>
      </c>
      <c r="E11" s="9">
        <f t="shared" si="4"/>
        <v>152921.16399999999</v>
      </c>
      <c r="F11" s="9">
        <f t="shared" si="4"/>
        <v>152921.16399999999</v>
      </c>
      <c r="G11" s="9">
        <f t="shared" si="4"/>
        <v>152921.16399999999</v>
      </c>
      <c r="H11" s="9">
        <f t="shared" si="4"/>
        <v>152921.16399999999</v>
      </c>
      <c r="I11" s="9">
        <f t="shared" si="4"/>
        <v>152921.16399999999</v>
      </c>
      <c r="J11" s="9">
        <f t="shared" si="4"/>
        <v>152921.16399999999</v>
      </c>
      <c r="K11" s="9">
        <f t="shared" si="4"/>
        <v>152921.16399999999</v>
      </c>
      <c r="L11" s="9">
        <f t="shared" si="4"/>
        <v>152921.16399999999</v>
      </c>
      <c r="M11" s="9"/>
    </row>
    <row r="12" spans="1:16" x14ac:dyDescent="0.25">
      <c r="A12" s="9" t="s">
        <v>47</v>
      </c>
      <c r="B12" s="9">
        <f>+Valores!G11</f>
        <v>-779174.1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6" x14ac:dyDescent="0.25">
      <c r="A13" s="9" t="s">
        <v>53</v>
      </c>
      <c r="B13" s="9">
        <v>-10000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6" x14ac:dyDescent="0.25">
      <c r="A14" s="9" t="s">
        <v>48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>100000*0.7</f>
        <v>70000</v>
      </c>
    </row>
    <row r="15" spans="1:16" x14ac:dyDescent="0.25">
      <c r="A15" s="9" t="s">
        <v>49</v>
      </c>
      <c r="B15" s="9">
        <v>25000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6" x14ac:dyDescent="0.25">
      <c r="A16" s="9" t="s">
        <v>50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f>+Valores!B14</f>
        <v>10000</v>
      </c>
    </row>
    <row r="17" spans="1:13" s="2" customFormat="1" x14ac:dyDescent="0.25">
      <c r="A17" s="16" t="s">
        <v>54</v>
      </c>
      <c r="B17" s="16">
        <f>SUM(B12:B16)</f>
        <v>-764174.1</v>
      </c>
      <c r="C17" s="16">
        <f>+C11</f>
        <v>152921.16399999999</v>
      </c>
      <c r="D17" s="16">
        <f t="shared" ref="D17:L17" si="5">+D11</f>
        <v>152921.16399999999</v>
      </c>
      <c r="E17" s="16">
        <f t="shared" si="5"/>
        <v>152921.16399999999</v>
      </c>
      <c r="F17" s="16">
        <f t="shared" si="5"/>
        <v>152921.16399999999</v>
      </c>
      <c r="G17" s="16">
        <f t="shared" si="5"/>
        <v>152921.16399999999</v>
      </c>
      <c r="H17" s="16">
        <f t="shared" si="5"/>
        <v>152921.16399999999</v>
      </c>
      <c r="I17" s="16">
        <f t="shared" si="5"/>
        <v>152921.16399999999</v>
      </c>
      <c r="J17" s="16">
        <f t="shared" si="5"/>
        <v>152921.16399999999</v>
      </c>
      <c r="K17" s="16">
        <f t="shared" si="5"/>
        <v>152921.16399999999</v>
      </c>
      <c r="L17" s="16">
        <f t="shared" si="5"/>
        <v>152921.16399999999</v>
      </c>
      <c r="M17" s="16">
        <f>SUM(M14:M16)</f>
        <v>80000</v>
      </c>
    </row>
    <row r="18" spans="1:13" s="17" customFormat="1" x14ac:dyDescent="0.25">
      <c r="A18" s="18" t="s">
        <v>81</v>
      </c>
      <c r="B18" s="17">
        <f>Hoja4!B10</f>
        <v>534921.87</v>
      </c>
      <c r="M18" s="15"/>
    </row>
    <row r="19" spans="1:13" x14ac:dyDescent="0.25">
      <c r="A19" s="15" t="s">
        <v>79</v>
      </c>
      <c r="C19">
        <f>764174.1*0.16</f>
        <v>122267.856</v>
      </c>
      <c r="D19">
        <f t="shared" ref="D19:L19" si="6">764174.1*0.16</f>
        <v>122267.856</v>
      </c>
      <c r="E19">
        <f t="shared" si="6"/>
        <v>122267.856</v>
      </c>
      <c r="F19">
        <f t="shared" si="6"/>
        <v>122267.856</v>
      </c>
      <c r="G19">
        <f t="shared" si="6"/>
        <v>122267.856</v>
      </c>
      <c r="H19">
        <f t="shared" si="6"/>
        <v>122267.856</v>
      </c>
      <c r="I19">
        <f t="shared" si="6"/>
        <v>122267.856</v>
      </c>
      <c r="J19">
        <f t="shared" si="6"/>
        <v>122267.856</v>
      </c>
      <c r="K19">
        <f t="shared" si="6"/>
        <v>122267.856</v>
      </c>
      <c r="L19">
        <f t="shared" si="6"/>
        <v>122267.856</v>
      </c>
    </row>
    <row r="20" spans="1:13" x14ac:dyDescent="0.25">
      <c r="A20" s="14" t="s">
        <v>80</v>
      </c>
      <c r="E20">
        <v>45105.175998652092</v>
      </c>
      <c r="F20">
        <v>50066.745358503831</v>
      </c>
      <c r="G20">
        <v>55574.087347939247</v>
      </c>
      <c r="H20">
        <v>61687.236956212568</v>
      </c>
      <c r="I20">
        <v>68472.833021395956</v>
      </c>
      <c r="J20">
        <v>76004.844653749504</v>
      </c>
      <c r="K20">
        <v>84365.37756566194</v>
      </c>
      <c r="L20">
        <v>93645.569097884756</v>
      </c>
    </row>
    <row r="21" spans="1:13" x14ac:dyDescent="0.25">
      <c r="A21" s="14" t="s">
        <v>76</v>
      </c>
      <c r="C21">
        <f>Hoja4!C10</f>
        <v>58841.405700000003</v>
      </c>
      <c r="D21">
        <f>Hoja4!C11</f>
        <v>58841.405700000003</v>
      </c>
      <c r="E21">
        <f>Hoja4!C12</f>
        <v>58841.405700000003</v>
      </c>
      <c r="F21">
        <f>Hoja4!C13</f>
        <v>53879.836340148264</v>
      </c>
      <c r="G21">
        <f>Hoja4!C14</f>
        <v>48372.494350712848</v>
      </c>
      <c r="H21">
        <f>Hoja4!C15</f>
        <v>42259.344742439527</v>
      </c>
      <c r="I21">
        <f>Hoja4!C16</f>
        <v>35473.748677256146</v>
      </c>
      <c r="J21">
        <f>Hoja4!C17</f>
        <v>27941.737044902591</v>
      </c>
      <c r="K21">
        <f>Hoja4!C18</f>
        <v>19581.204132990148</v>
      </c>
      <c r="L21">
        <f>Hoja4!C19</f>
        <v>10301.012600767333</v>
      </c>
    </row>
    <row r="22" spans="1:13" x14ac:dyDescent="0.25">
      <c r="A22" s="14" t="s">
        <v>82</v>
      </c>
      <c r="C22" s="7">
        <f>C21*0.3</f>
        <v>17652.421709999999</v>
      </c>
      <c r="D22" s="7">
        <f t="shared" ref="D22:L22" si="7">D21*0.3</f>
        <v>17652.421709999999</v>
      </c>
      <c r="E22" s="7">
        <f t="shared" si="7"/>
        <v>17652.421709999999</v>
      </c>
      <c r="F22" s="7">
        <f t="shared" si="7"/>
        <v>16163.950902044478</v>
      </c>
      <c r="G22" s="7">
        <f t="shared" si="7"/>
        <v>14511.748305213854</v>
      </c>
      <c r="H22" s="7">
        <f t="shared" si="7"/>
        <v>12677.803422731859</v>
      </c>
      <c r="I22" s="7">
        <f t="shared" si="7"/>
        <v>10642.124603176844</v>
      </c>
      <c r="J22" s="7">
        <f t="shared" si="7"/>
        <v>8382.521113470777</v>
      </c>
      <c r="K22" s="7">
        <f t="shared" si="7"/>
        <v>5874.3612398970445</v>
      </c>
      <c r="L22" s="7">
        <f t="shared" si="7"/>
        <v>3090.3037802302001</v>
      </c>
    </row>
    <row r="23" spans="1:13" x14ac:dyDescent="0.25">
      <c r="A23" s="14" t="s">
        <v>77</v>
      </c>
      <c r="B23" s="7">
        <f>B17+B18</f>
        <v>-229252.22999999998</v>
      </c>
      <c r="C23" s="7">
        <f>C17-C20-C21+C22</f>
        <v>111732.18000999998</v>
      </c>
      <c r="D23" s="7">
        <f t="shared" ref="D23:L23" si="8">D17-D20-D21+D22</f>
        <v>111732.18000999998</v>
      </c>
      <c r="E23" s="7">
        <f t="shared" si="8"/>
        <v>66627.00401134789</v>
      </c>
      <c r="F23" s="7">
        <f t="shared" si="8"/>
        <v>65138.533203392377</v>
      </c>
      <c r="G23" s="7">
        <f t="shared" si="8"/>
        <v>63486.330606561751</v>
      </c>
      <c r="H23" s="7">
        <f t="shared" si="8"/>
        <v>61652.385724079752</v>
      </c>
      <c r="I23" s="7">
        <f t="shared" si="8"/>
        <v>59616.706904524734</v>
      </c>
      <c r="J23" s="7">
        <f t="shared" si="8"/>
        <v>57357.103414818674</v>
      </c>
      <c r="K23" s="7">
        <f t="shared" si="8"/>
        <v>54848.943541244946</v>
      </c>
      <c r="L23" s="7">
        <f t="shared" si="8"/>
        <v>52064.886081578101</v>
      </c>
      <c r="M23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1673-7088-4A54-9381-1C3A4C47F2B2}">
  <dimension ref="A1:M22"/>
  <sheetViews>
    <sheetView tabSelected="1" workbookViewId="0">
      <selection activeCell="B4" sqref="B4"/>
    </sheetView>
  </sheetViews>
  <sheetFormatPr baseColWidth="10" defaultRowHeight="15" x14ac:dyDescent="0.25"/>
  <cols>
    <col min="2" max="2" width="13.140625" bestFit="1" customWidth="1"/>
  </cols>
  <sheetData>
    <row r="1" spans="1:13" x14ac:dyDescent="0.25"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</row>
    <row r="2" spans="1:13" x14ac:dyDescent="0.25">
      <c r="A2" t="s">
        <v>55</v>
      </c>
      <c r="B2">
        <f>'estado de resultados SF'!B17</f>
        <v>-764174.1</v>
      </c>
      <c r="C2">
        <f>'estado de resultados SF'!C17</f>
        <v>152921.16399999999</v>
      </c>
      <c r="D2">
        <f>'estado de resultados SF'!D17</f>
        <v>152921.16399999999</v>
      </c>
      <c r="E2">
        <f>'estado de resultados SF'!E17</f>
        <v>152921.16399999999</v>
      </c>
      <c r="F2">
        <f>'estado de resultados SF'!F17</f>
        <v>152921.16399999999</v>
      </c>
      <c r="G2">
        <f>'estado de resultados SF'!G17</f>
        <v>152921.16399999999</v>
      </c>
      <c r="H2">
        <f>'estado de resultados SF'!H17</f>
        <v>152921.16399999999</v>
      </c>
      <c r="I2">
        <f>'estado de resultados SF'!I17</f>
        <v>152921.16399999999</v>
      </c>
      <c r="J2">
        <f>'estado de resultados SF'!J17</f>
        <v>152921.16399999999</v>
      </c>
      <c r="K2">
        <f>'estado de resultados SF'!K17</f>
        <v>152921.16399999999</v>
      </c>
      <c r="L2">
        <f>'estado de resultados SF'!L17</f>
        <v>152921.16399999999</v>
      </c>
      <c r="M2">
        <f>'estado de resultados SF'!M17</f>
        <v>80000</v>
      </c>
    </row>
    <row r="3" spans="1:13" x14ac:dyDescent="0.25">
      <c r="A3" t="s">
        <v>59</v>
      </c>
      <c r="B3" s="7">
        <f>NPV(16%,C2:M2)</f>
        <v>754736.12384435034</v>
      </c>
    </row>
    <row r="4" spans="1:13" x14ac:dyDescent="0.25">
      <c r="A4" t="s">
        <v>56</v>
      </c>
      <c r="B4" s="8">
        <f>B3+B2</f>
        <v>-9437.9761556496378</v>
      </c>
    </row>
    <row r="5" spans="1:13" x14ac:dyDescent="0.25">
      <c r="A5" t="s">
        <v>57</v>
      </c>
      <c r="B5" s="1">
        <v>0.16</v>
      </c>
    </row>
    <row r="6" spans="1:13" x14ac:dyDescent="0.25">
      <c r="A6" t="s">
        <v>58</v>
      </c>
      <c r="B6">
        <f>B3/-(B2)</f>
        <v>0.9876494425083896</v>
      </c>
      <c r="C6" t="s">
        <v>88</v>
      </c>
    </row>
    <row r="10" spans="1:13" x14ac:dyDescent="0.25">
      <c r="A10" s="14" t="s">
        <v>83</v>
      </c>
    </row>
    <row r="11" spans="1:13" x14ac:dyDescent="0.25">
      <c r="A11" s="14" t="s">
        <v>84</v>
      </c>
      <c r="B11" s="1">
        <v>0.3</v>
      </c>
      <c r="C11" s="1">
        <v>0.16</v>
      </c>
      <c r="D11" s="1">
        <f>B11*C11</f>
        <v>4.8000000000000001E-2</v>
      </c>
    </row>
    <row r="12" spans="1:13" x14ac:dyDescent="0.25">
      <c r="A12" s="14" t="s">
        <v>85</v>
      </c>
      <c r="B12" s="1">
        <v>0.7</v>
      </c>
      <c r="C12" s="1">
        <v>0.11</v>
      </c>
      <c r="D12" s="1">
        <f>B12*C12</f>
        <v>7.6999999999999999E-2</v>
      </c>
    </row>
    <row r="13" spans="1:13" x14ac:dyDescent="0.25">
      <c r="D13" s="1">
        <f>D11+D12</f>
        <v>0.125</v>
      </c>
    </row>
    <row r="14" spans="1:13" x14ac:dyDescent="0.25">
      <c r="A14" s="14" t="s">
        <v>55</v>
      </c>
      <c r="B14" s="7">
        <f>'estado de resultados SF'!B23</f>
        <v>-229252.22999999998</v>
      </c>
      <c r="C14" s="7">
        <f>'estado de resultados SF'!C23</f>
        <v>111732.18000999998</v>
      </c>
      <c r="D14" s="7">
        <f>'estado de resultados SF'!D23</f>
        <v>111732.18000999998</v>
      </c>
      <c r="E14" s="7">
        <f>'estado de resultados SF'!E23</f>
        <v>66627.00401134789</v>
      </c>
      <c r="F14" s="7">
        <f>'estado de resultados SF'!F23</f>
        <v>65138.533203392377</v>
      </c>
      <c r="G14" s="7">
        <f>'estado de resultados SF'!G23</f>
        <v>63486.330606561751</v>
      </c>
      <c r="H14" s="7">
        <f>'estado de resultados SF'!H23</f>
        <v>61652.385724079752</v>
      </c>
      <c r="I14" s="7">
        <f>'estado de resultados SF'!I23</f>
        <v>59616.706904524734</v>
      </c>
      <c r="J14" s="7">
        <f>'estado de resultados SF'!J23</f>
        <v>57357.103414818674</v>
      </c>
      <c r="K14" s="7">
        <f>'estado de resultados SF'!K23</f>
        <v>54848.943541244946</v>
      </c>
      <c r="L14" s="7">
        <f>'estado de resultados SF'!L23</f>
        <v>52064.886081578101</v>
      </c>
      <c r="M14" s="7">
        <v>80000</v>
      </c>
    </row>
    <row r="15" spans="1:13" x14ac:dyDescent="0.25">
      <c r="A15" s="14" t="s">
        <v>59</v>
      </c>
      <c r="B15" s="6">
        <f>NPV(13%,C14:M14)</f>
        <v>437945.93809693697</v>
      </c>
    </row>
    <row r="16" spans="1:13" x14ac:dyDescent="0.25">
      <c r="A16" s="14" t="s">
        <v>86</v>
      </c>
      <c r="B16" s="6">
        <f>B15+B14</f>
        <v>208693.70809693699</v>
      </c>
    </row>
    <row r="17" spans="1:13" x14ac:dyDescent="0.25">
      <c r="A17" s="14" t="s">
        <v>87</v>
      </c>
      <c r="B17" s="1">
        <v>0.13</v>
      </c>
    </row>
    <row r="18" spans="1:13" x14ac:dyDescent="0.25">
      <c r="C18" s="19">
        <v>111732.18000999998</v>
      </c>
      <c r="D18" s="19">
        <v>111732.18000999998</v>
      </c>
      <c r="E18" s="19">
        <v>66627.00401134789</v>
      </c>
      <c r="F18" s="19">
        <v>65138.533203392377</v>
      </c>
      <c r="G18" s="19">
        <v>63486.330606561751</v>
      </c>
      <c r="H18" s="19">
        <v>61652.385724079752</v>
      </c>
      <c r="I18" s="19">
        <v>59616.706904524734</v>
      </c>
      <c r="J18" s="19">
        <v>57357.103414818674</v>
      </c>
      <c r="K18" s="19">
        <v>54848.943541244946</v>
      </c>
      <c r="L18" s="19">
        <v>52064.886081578101</v>
      </c>
      <c r="M18" s="19">
        <v>80000</v>
      </c>
    </row>
    <row r="19" spans="1:13" x14ac:dyDescent="0.25">
      <c r="A19" s="14" t="s">
        <v>59</v>
      </c>
      <c r="B19" s="6">
        <f>NPV(B21,C18:M18)</f>
        <v>229252.23000001392</v>
      </c>
    </row>
    <row r="20" spans="1:13" x14ac:dyDescent="0.25">
      <c r="A20" s="14" t="s">
        <v>86</v>
      </c>
      <c r="B20" s="6">
        <f>B14+B19</f>
        <v>1.3940734788775444E-8</v>
      </c>
    </row>
    <row r="21" spans="1:13" x14ac:dyDescent="0.25">
      <c r="A21" t="s">
        <v>87</v>
      </c>
      <c r="B21" s="1">
        <f>IRR(B14:M14)</f>
        <v>0.36549138969189521</v>
      </c>
      <c r="E21" t="s">
        <v>89</v>
      </c>
    </row>
    <row r="22" spans="1:13" x14ac:dyDescent="0.25">
      <c r="E22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7821C-7B30-4A33-8D85-0A5B5925C7BD}">
  <dimension ref="A1:G20"/>
  <sheetViews>
    <sheetView workbookViewId="0">
      <selection activeCell="C10" sqref="C10:C19"/>
    </sheetView>
  </sheetViews>
  <sheetFormatPr baseColWidth="10" defaultRowHeight="15" x14ac:dyDescent="0.25"/>
  <cols>
    <col min="1" max="1" width="16.28515625" customWidth="1"/>
    <col min="2" max="2" width="12.28515625" bestFit="1" customWidth="1"/>
    <col min="4" max="4" width="12" bestFit="1" customWidth="1"/>
    <col min="5" max="5" width="13" bestFit="1" customWidth="1"/>
  </cols>
  <sheetData>
    <row r="1" spans="1:7" x14ac:dyDescent="0.25">
      <c r="A1" t="s">
        <v>61</v>
      </c>
    </row>
    <row r="3" spans="1:7" x14ac:dyDescent="0.25">
      <c r="A3" t="s">
        <v>62</v>
      </c>
      <c r="C3">
        <f>Valores!K11</f>
        <v>534921.87</v>
      </c>
      <c r="E3" t="s">
        <v>68</v>
      </c>
      <c r="G3" t="s">
        <v>69</v>
      </c>
    </row>
    <row r="4" spans="1:7" x14ac:dyDescent="0.25">
      <c r="A4" t="s">
        <v>63</v>
      </c>
      <c r="C4">
        <v>8</v>
      </c>
      <c r="E4" s="6">
        <f>PMT(C5,C4,C3)</f>
        <v>-103946.58169865209</v>
      </c>
    </row>
    <row r="5" spans="1:7" x14ac:dyDescent="0.25">
      <c r="A5" t="s">
        <v>64</v>
      </c>
      <c r="C5" s="1">
        <v>0.11</v>
      </c>
    </row>
    <row r="6" spans="1:7" x14ac:dyDescent="0.25">
      <c r="F6">
        <f>+C3/8</f>
        <v>66865.233749999999</v>
      </c>
    </row>
    <row r="9" spans="1:7" x14ac:dyDescent="0.25">
      <c r="A9" t="s">
        <v>70</v>
      </c>
      <c r="B9" t="s">
        <v>71</v>
      </c>
      <c r="C9" t="s">
        <v>72</v>
      </c>
      <c r="D9" t="s">
        <v>73</v>
      </c>
      <c r="E9" t="s">
        <v>74</v>
      </c>
      <c r="F9" t="s">
        <v>75</v>
      </c>
    </row>
    <row r="10" spans="1:7" x14ac:dyDescent="0.25">
      <c r="A10">
        <v>1</v>
      </c>
      <c r="B10">
        <f>C3</f>
        <v>534921.87</v>
      </c>
      <c r="C10">
        <f>B10*0.11</f>
        <v>58841.405700000003</v>
      </c>
      <c r="D10" s="13"/>
      <c r="E10" s="13"/>
      <c r="F10">
        <f>B10-D10</f>
        <v>534921.87</v>
      </c>
    </row>
    <row r="11" spans="1:7" x14ac:dyDescent="0.25">
      <c r="A11">
        <v>2</v>
      </c>
      <c r="B11">
        <f>+F10</f>
        <v>534921.87</v>
      </c>
      <c r="C11">
        <f t="shared" ref="C11:C19" si="0">B11*0.11</f>
        <v>58841.405700000003</v>
      </c>
      <c r="D11" s="13"/>
      <c r="E11" s="13"/>
      <c r="F11">
        <f t="shared" ref="F11:F19" si="1">B11-D11</f>
        <v>534921.87</v>
      </c>
    </row>
    <row r="12" spans="1:7" x14ac:dyDescent="0.25">
      <c r="A12">
        <v>3</v>
      </c>
      <c r="B12">
        <f t="shared" ref="B12:B19" si="2">+F11</f>
        <v>534921.87</v>
      </c>
      <c r="C12">
        <f t="shared" si="0"/>
        <v>58841.405700000003</v>
      </c>
      <c r="D12" s="13">
        <f>E12-C12</f>
        <v>45105.175998652092</v>
      </c>
      <c r="E12" s="13">
        <f>-$E$4</f>
        <v>103946.58169865209</v>
      </c>
      <c r="F12">
        <f t="shared" si="1"/>
        <v>489816.69400134787</v>
      </c>
    </row>
    <row r="13" spans="1:7" x14ac:dyDescent="0.25">
      <c r="A13">
        <v>4</v>
      </c>
      <c r="B13">
        <f t="shared" si="2"/>
        <v>489816.69400134787</v>
      </c>
      <c r="C13">
        <f t="shared" si="0"/>
        <v>53879.836340148264</v>
      </c>
      <c r="D13" s="13">
        <f t="shared" ref="D13:D19" si="3">E13-C13</f>
        <v>50066.745358503831</v>
      </c>
      <c r="E13" s="13">
        <f t="shared" ref="E13:E19" si="4">-$E$4</f>
        <v>103946.58169865209</v>
      </c>
      <c r="F13">
        <f t="shared" si="1"/>
        <v>439749.94864284404</v>
      </c>
    </row>
    <row r="14" spans="1:7" x14ac:dyDescent="0.25">
      <c r="A14">
        <v>5</v>
      </c>
      <c r="B14">
        <f t="shared" si="2"/>
        <v>439749.94864284404</v>
      </c>
      <c r="C14">
        <f t="shared" si="0"/>
        <v>48372.494350712848</v>
      </c>
      <c r="D14" s="13">
        <f t="shared" si="3"/>
        <v>55574.087347939247</v>
      </c>
      <c r="E14" s="13">
        <f t="shared" si="4"/>
        <v>103946.58169865209</v>
      </c>
      <c r="F14">
        <f t="shared" si="1"/>
        <v>384175.86129490478</v>
      </c>
    </row>
    <row r="15" spans="1:7" x14ac:dyDescent="0.25">
      <c r="A15">
        <v>6</v>
      </c>
      <c r="B15">
        <f t="shared" si="2"/>
        <v>384175.86129490478</v>
      </c>
      <c r="C15">
        <f t="shared" si="0"/>
        <v>42259.344742439527</v>
      </c>
      <c r="D15" s="13">
        <f t="shared" si="3"/>
        <v>61687.236956212568</v>
      </c>
      <c r="E15" s="13">
        <f t="shared" si="4"/>
        <v>103946.58169865209</v>
      </c>
      <c r="F15">
        <f t="shared" si="1"/>
        <v>322488.62433869223</v>
      </c>
    </row>
    <row r="16" spans="1:7" x14ac:dyDescent="0.25">
      <c r="A16">
        <v>7</v>
      </c>
      <c r="B16">
        <f t="shared" si="2"/>
        <v>322488.62433869223</v>
      </c>
      <c r="C16">
        <f t="shared" si="0"/>
        <v>35473.748677256146</v>
      </c>
      <c r="D16" s="13">
        <f t="shared" si="3"/>
        <v>68472.833021395956</v>
      </c>
      <c r="E16" s="13">
        <f t="shared" si="4"/>
        <v>103946.58169865209</v>
      </c>
      <c r="F16">
        <f t="shared" si="1"/>
        <v>254015.79131729627</v>
      </c>
    </row>
    <row r="17" spans="1:6" x14ac:dyDescent="0.25">
      <c r="A17">
        <v>8</v>
      </c>
      <c r="B17">
        <f t="shared" si="2"/>
        <v>254015.79131729627</v>
      </c>
      <c r="C17">
        <f t="shared" si="0"/>
        <v>27941.737044902591</v>
      </c>
      <c r="D17" s="13">
        <f t="shared" si="3"/>
        <v>76004.844653749504</v>
      </c>
      <c r="E17" s="13">
        <f t="shared" si="4"/>
        <v>103946.58169865209</v>
      </c>
      <c r="F17">
        <f t="shared" si="1"/>
        <v>178010.94666354678</v>
      </c>
    </row>
    <row r="18" spans="1:6" x14ac:dyDescent="0.25">
      <c r="A18">
        <v>9</v>
      </c>
      <c r="B18">
        <f t="shared" si="2"/>
        <v>178010.94666354678</v>
      </c>
      <c r="C18">
        <f t="shared" si="0"/>
        <v>19581.204132990148</v>
      </c>
      <c r="D18" s="13">
        <f t="shared" si="3"/>
        <v>84365.37756566194</v>
      </c>
      <c r="E18" s="13">
        <f t="shared" si="4"/>
        <v>103946.58169865209</v>
      </c>
      <c r="F18">
        <f t="shared" si="1"/>
        <v>93645.569097884843</v>
      </c>
    </row>
    <row r="19" spans="1:6" x14ac:dyDescent="0.25">
      <c r="A19">
        <v>10</v>
      </c>
      <c r="B19">
        <f t="shared" si="2"/>
        <v>93645.569097884843</v>
      </c>
      <c r="C19">
        <f t="shared" si="0"/>
        <v>10301.012600767333</v>
      </c>
      <c r="D19" s="13">
        <f t="shared" si="3"/>
        <v>93645.569097884756</v>
      </c>
      <c r="E19" s="13">
        <f t="shared" si="4"/>
        <v>103946.58169865209</v>
      </c>
      <c r="F19">
        <f t="shared" si="1"/>
        <v>0</v>
      </c>
    </row>
    <row r="20" spans="1:6" x14ac:dyDescent="0.25">
      <c r="E20" s="1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254B9-5547-4645-AAD5-10B7239F516B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Valores</vt:lpstr>
      <vt:lpstr>estado de resultados SF</vt:lpstr>
      <vt:lpstr>vafe y tir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Molina Bastidas</dc:creator>
  <cp:lastModifiedBy>Brian Molina Bastidas</cp:lastModifiedBy>
  <dcterms:created xsi:type="dcterms:W3CDTF">2018-07-09T23:28:13Z</dcterms:created>
  <dcterms:modified xsi:type="dcterms:W3CDTF">2018-07-17T14:32:34Z</dcterms:modified>
</cp:coreProperties>
</file>