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d-odyssey\dataset\"/>
    </mc:Choice>
  </mc:AlternateContent>
  <xr:revisionPtr revIDLastSave="0" documentId="13_ncr:1_{E11143FD-FC2E-4159-8856-D6E6CEEF0A4E}" xr6:coauthVersionLast="47" xr6:coauthVersionMax="47" xr10:uidLastSave="{00000000-0000-0000-0000-000000000000}"/>
  <bookViews>
    <workbookView xWindow="-120" yWindow="-120" windowWidth="29040" windowHeight="15840" activeTab="1" xr2:uid="{AE48E90B-CD6A-4648-9E98-BE64C6A54173}"/>
  </bookViews>
  <sheets>
    <sheet name="annotation 1" sheetId="1" r:id="rId1"/>
    <sheet name="annotation 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2" l="1"/>
  <c r="H27" i="2" s="1"/>
  <c r="I27" i="2" s="1"/>
  <c r="G26" i="2"/>
  <c r="H26" i="2" s="1"/>
  <c r="I26" i="2" s="1"/>
  <c r="G25" i="2"/>
  <c r="H25" i="2" s="1"/>
  <c r="I25" i="2" s="1"/>
  <c r="G24" i="2"/>
  <c r="H24" i="2" s="1"/>
  <c r="I24" i="2" s="1"/>
  <c r="G23" i="2"/>
  <c r="H23" i="2" s="1"/>
  <c r="I23" i="2" s="1"/>
  <c r="G22" i="2"/>
  <c r="H22" i="2" s="1"/>
  <c r="I22" i="2" s="1"/>
  <c r="G21" i="2"/>
  <c r="H21" i="2" s="1"/>
  <c r="I21" i="2" s="1"/>
  <c r="G20" i="2"/>
  <c r="H20" i="2" s="1"/>
  <c r="I20" i="2" s="1"/>
  <c r="G19" i="2"/>
  <c r="H19" i="2" s="1"/>
  <c r="I19" i="2" s="1"/>
  <c r="G18" i="2"/>
  <c r="H18" i="2" s="1"/>
  <c r="I18" i="2" s="1"/>
  <c r="G17" i="2"/>
  <c r="H17" i="2" s="1"/>
  <c r="I17" i="2" s="1"/>
  <c r="G16" i="2"/>
  <c r="H16" i="2" s="1"/>
  <c r="I16" i="2" s="1"/>
  <c r="G15" i="2"/>
  <c r="H15" i="2" s="1"/>
  <c r="I15" i="2" s="1"/>
  <c r="G14" i="2"/>
  <c r="H14" i="2" s="1"/>
  <c r="I14" i="2" s="1"/>
  <c r="G13" i="2"/>
  <c r="H13" i="2" s="1"/>
  <c r="I13" i="2" s="1"/>
  <c r="G12" i="2"/>
  <c r="H12" i="2" s="1"/>
  <c r="I12" i="2" s="1"/>
  <c r="G11" i="2"/>
  <c r="H11" i="2" s="1"/>
  <c r="I11" i="2" s="1"/>
  <c r="G10" i="2"/>
  <c r="H10" i="2" s="1"/>
  <c r="I10" i="2" s="1"/>
  <c r="G9" i="2"/>
  <c r="H9" i="2" s="1"/>
  <c r="I9" i="2" s="1"/>
  <c r="G8" i="2"/>
  <c r="H8" i="2" s="1"/>
  <c r="I8" i="2" s="1"/>
  <c r="G7" i="2"/>
  <c r="H7" i="2" s="1"/>
  <c r="I7" i="2" s="1"/>
  <c r="G6" i="2"/>
  <c r="G5" i="2"/>
  <c r="H5" i="2" s="1"/>
  <c r="I5" i="2" s="1"/>
  <c r="G4" i="2"/>
  <c r="K5" i="1" a="1"/>
  <c r="K5" i="1" s="1"/>
  <c r="K6" i="1" a="1"/>
  <c r="K6" i="1" s="1"/>
  <c r="K7" i="1" a="1"/>
  <c r="K7" i="1" s="1"/>
  <c r="K4" i="1" a="1"/>
  <c r="K4" i="1" s="1"/>
  <c r="F4" i="1"/>
  <c r="G4" i="1" s="1"/>
  <c r="H4" i="1" s="1"/>
  <c r="F27" i="1"/>
  <c r="G27" i="1" s="1"/>
  <c r="F26" i="1"/>
  <c r="G26" i="1" s="1"/>
  <c r="F25" i="1"/>
  <c r="G25" i="1" s="1"/>
  <c r="F24" i="1"/>
  <c r="G24" i="1" s="1"/>
  <c r="F23" i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F11" i="1"/>
  <c r="G11" i="1" s="1"/>
  <c r="F10" i="1"/>
  <c r="G10" i="1" s="1"/>
  <c r="F9" i="1"/>
  <c r="G9" i="1" s="1"/>
  <c r="F8" i="1"/>
  <c r="F7" i="1"/>
  <c r="F6" i="1"/>
  <c r="G6" i="1" s="1"/>
  <c r="F5" i="1"/>
  <c r="G5" i="1" s="1"/>
  <c r="H4" i="2" l="1"/>
  <c r="H6" i="2"/>
  <c r="I6" i="2" s="1"/>
  <c r="G7" i="1"/>
  <c r="H7" i="1" s="1"/>
  <c r="H19" i="1"/>
  <c r="H15" i="1"/>
  <c r="G8" i="1"/>
  <c r="H8" i="1" s="1"/>
  <c r="G23" i="1"/>
  <c r="H23" i="1" s="1"/>
  <c r="H11" i="1"/>
  <c r="H27" i="1"/>
  <c r="H5" i="1"/>
  <c r="G12" i="1"/>
  <c r="H12" i="1" s="1"/>
  <c r="H10" i="1"/>
  <c r="H18" i="1"/>
  <c r="H26" i="1"/>
  <c r="H20" i="1"/>
  <c r="H14" i="1"/>
  <c r="H22" i="1"/>
  <c r="H24" i="1"/>
  <c r="H9" i="1"/>
  <c r="H25" i="1"/>
  <c r="H16" i="1"/>
  <c r="H17" i="1"/>
  <c r="H13" i="1"/>
  <c r="H21" i="1"/>
  <c r="H6" i="1"/>
  <c r="M9" i="2" l="1"/>
  <c r="I4" i="2"/>
  <c r="L5" i="2" s="1" a="1"/>
  <c r="L5" i="2" s="1"/>
  <c r="L6" i="1"/>
  <c r="L4" i="1"/>
  <c r="L5" i="1"/>
  <c r="L7" i="1"/>
  <c r="L9" i="2" l="1" a="1"/>
  <c r="L9" i="2" s="1"/>
  <c r="L8" i="2" a="1"/>
  <c r="L8" i="2" s="1"/>
  <c r="L4" i="2" a="1"/>
  <c r="L4" i="2" s="1"/>
  <c r="L7" i="2" a="1"/>
  <c r="L7" i="2" s="1"/>
  <c r="L6" i="2" a="1"/>
  <c r="L6" i="2" s="1"/>
  <c r="M6" i="2"/>
  <c r="M7" i="2"/>
  <c r="M5" i="2"/>
  <c r="M8" i="2"/>
  <c r="M4" i="2"/>
  <c r="Q4" i="2" l="1"/>
  <c r="Q12" i="2"/>
  <c r="Q20" i="2"/>
  <c r="Q17" i="2"/>
  <c r="Q5" i="2"/>
  <c r="Q13" i="2"/>
  <c r="Q21" i="2"/>
  <c r="Q18" i="2"/>
  <c r="Q6" i="2"/>
  <c r="Q14" i="2"/>
  <c r="Q22" i="2"/>
  <c r="Q9" i="2"/>
  <c r="Q7" i="2"/>
  <c r="Q15" i="2"/>
  <c r="Q23" i="2"/>
  <c r="Q25" i="2"/>
  <c r="Q26" i="2"/>
  <c r="Q8" i="2"/>
  <c r="Q16" i="2"/>
  <c r="Q24" i="2"/>
  <c r="Q10" i="2"/>
  <c r="Q11" i="2"/>
  <c r="Q19" i="2"/>
  <c r="Q27" i="2"/>
  <c r="L13" i="2" l="1" a="1"/>
  <c r="L13" i="2" s="1"/>
  <c r="L14" i="2" a="1"/>
  <c r="L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<sst xmlns="http://schemas.openxmlformats.org/spreadsheetml/2006/main" count="279" uniqueCount="96">
  <si>
    <t>Andrew Quitmeyer's story.txt</t>
  </si>
  <si>
    <t>Andy's story.txt</t>
  </si>
  <si>
    <t>Angela Popovska's story.txt</t>
  </si>
  <si>
    <t>Crefeda Rodrigues's story.txt</t>
  </si>
  <si>
    <t>Elena's story.txt</t>
  </si>
  <si>
    <t>Elvira's story.txt</t>
  </si>
  <si>
    <t>Erin's story - dropout.txt</t>
  </si>
  <si>
    <t>Favio Caruso's story.txt</t>
  </si>
  <si>
    <t>Geneviève-Grégoire-Labrecque's story.txt</t>
  </si>
  <si>
    <t>Jack's story.txt</t>
  </si>
  <si>
    <t>James's story.txt</t>
  </si>
  <si>
    <t>Jean-Yang's story.txt</t>
  </si>
  <si>
    <t>Jillian's story.txt</t>
  </si>
  <si>
    <t>Jindrich's story.txt</t>
  </si>
  <si>
    <t>Joshua-Dawes's story.txt</t>
  </si>
  <si>
    <t>Justin's story.txt</t>
  </si>
  <si>
    <t>Katrin-Franke's story.txt</t>
  </si>
  <si>
    <t>Luca-Forcucci's story.txt</t>
  </si>
  <si>
    <t>Mariam's story.txt</t>
  </si>
  <si>
    <t>Nyji's story.txt</t>
  </si>
  <si>
    <t>Pablo's story.txt</t>
  </si>
  <si>
    <t>Per-Olof-Arnäs's story.txt</t>
  </si>
  <si>
    <t>Simona-Alexandra's story.txt</t>
  </si>
  <si>
    <t>Vasanth-Sarathy's story.txt</t>
  </si>
  <si>
    <t>word count</t>
  </si>
  <si>
    <t>file</t>
  </si>
  <si>
    <t>#</t>
  </si>
  <si>
    <t>bytes</t>
  </si>
  <si>
    <t>annotation pool</t>
  </si>
  <si>
    <t>A</t>
  </si>
  <si>
    <t>C</t>
  </si>
  <si>
    <t>E</t>
  </si>
  <si>
    <t>F</t>
  </si>
  <si>
    <t>G</t>
  </si>
  <si>
    <t>J</t>
  </si>
  <si>
    <t>K</t>
  </si>
  <si>
    <t>L</t>
  </si>
  <si>
    <t>B</t>
  </si>
  <si>
    <t>D</t>
  </si>
  <si>
    <t>annotation time (m)</t>
  </si>
  <si>
    <t>annotation time (s)</t>
  </si>
  <si>
    <t>pool</t>
  </si>
  <si>
    <t>annotator</t>
  </si>
  <si>
    <t>time estimate (m)</t>
  </si>
  <si>
    <t>annotation time coeficient</t>
  </si>
  <si>
    <t>Financial situation</t>
  </si>
  <si>
    <t xml:space="preserve">Family </t>
  </si>
  <si>
    <t xml:space="preserve">University </t>
  </si>
  <si>
    <t>Social life</t>
  </si>
  <si>
    <t xml:space="preserve">Discipline </t>
  </si>
  <si>
    <t>Project topic</t>
  </si>
  <si>
    <t>Academic colleagues</t>
  </si>
  <si>
    <t xml:space="preserve">Teaching </t>
  </si>
  <si>
    <t xml:space="preserve">Future </t>
  </si>
  <si>
    <t xml:space="preserve">Fulfillment </t>
  </si>
  <si>
    <t>Physical and mental health</t>
  </si>
  <si>
    <t>file #</t>
  </si>
  <si>
    <t>files # to annotate</t>
  </si>
  <si>
    <t>Aspect overlap/match matrix</t>
  </si>
  <si>
    <t>H</t>
  </si>
  <si>
    <t>I</t>
  </si>
  <si>
    <t>Industry</t>
  </si>
  <si>
    <t>reading time (s)</t>
  </si>
  <si>
    <t>annotation pool 1</t>
  </si>
  <si>
    <t>annotation pool 2</t>
  </si>
  <si>
    <t>annotation time [s]</t>
  </si>
  <si>
    <t>reading time [s]</t>
  </si>
  <si>
    <t>annotation time [m]</t>
  </si>
  <si>
    <t>time estimate [m]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</si>
  <si>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</si>
  <si>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</si>
  <si>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</si>
  <si>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</si>
  <si>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</si>
  <si>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</si>
  <si>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</si>
  <si>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</si>
  <si>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</si>
  <si>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</si>
  <si>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</si>
  <si>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</si>
  <si>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</si>
  <si>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</si>
  <si>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</si>
  <si>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</si>
  <si>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</si>
  <si>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</si>
  <si>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</si>
  <si>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</si>
  <si>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</si>
  <si>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</si>
  <si>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</si>
  <si>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</si>
  <si>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files</t>
  </si>
  <si>
    <t>n annotations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</si>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</sst>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2" xfId="0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5" xfId="0" applyNumberFormat="1" applyBorder="1"/>
    <xf numFmtId="0" fontId="0" fillId="0" borderId="0" xfId="0" applyNumberFormat="1"/>
    <xf numFmtId="0" fontId="0" fillId="0" borderId="0" xfId="0" quotePrefix="1"/>
    <xf numFmtId="0" fontId="0" fillId="0" borderId="5" xfId="0" quotePrefix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3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C5E9B-7AC2-4D4E-AEE3-8CF8886CB7B0}" name="Table1" displayName="Table1" ref="A3:H27" totalsRowShown="0" headerRowDxfId="52">
  <autoFilter ref="A3:H27" xr:uid="{CEAC5E9B-7AC2-4D4E-AEE3-8CF8886CB7B0}"/>
  <tableColumns count="8">
    <tableColumn id="6" xr3:uid="{DD306BFF-B1FB-4419-99C7-7F7490CC7567}" name="annotation pool"/>
    <tableColumn id="1" xr3:uid="{6DB6E373-FEA0-4C85-912A-B318C933D93D}" name="#"/>
    <tableColumn id="4" xr3:uid="{1D35302A-6B66-4B56-A26B-01B720CF2CFA}" name="file"/>
    <tableColumn id="2" xr3:uid="{83BDF89A-A2D7-4012-AA70-0187D6E2303E}" name="bytes"/>
    <tableColumn id="3" xr3:uid="{EBD8D1F4-5612-4414-BB2B-AC85669A8E68}" name="word count"/>
    <tableColumn id="7" xr3:uid="{01733F0B-7DB4-480A-9BDC-68D01E5DB87D}" name="reading time (s)" dataDxfId="51">
      <calculatedColumnFormula>13*60+25</calculatedColumnFormula>
    </tableColumn>
    <tableColumn id="5" xr3:uid="{1A2EB990-ED1B-4E8B-84D6-284108CBFB26}" name="annotation time (s)" dataDxfId="50">
      <calculatedColumnFormula>Table1[[#This Row],[reading time (s)]]*$D$1</calculatedColumnFormula>
    </tableColumn>
    <tableColumn id="8" xr3:uid="{D2399CB7-8821-4DE6-9A53-24915A9DE71F}" name="annotation time (m)" dataDxfId="49">
      <calculatedColumnFormula>Table1[[#This Row],[annotation time (s)]]/60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F9DB7-7EF2-4394-90EE-D0AEF288FD24}" name="Table2" displayName="Table2" ref="J3:M7" totalsRowShown="0" headerRowDxfId="48">
  <autoFilter ref="J3:M7" xr:uid="{32DF9DB7-7EF2-4394-90EE-D0AEF288FD24}"/>
  <tableColumns count="4">
    <tableColumn id="1" xr3:uid="{F0379B30-AEF8-4841-B2F3-B2B960806EFB}" name="pool"/>
    <tableColumn id="3" xr3:uid="{65408462-0BF0-4856-A20E-BC30026A2884}" name="files # to annotate" dataDxfId="47">
      <calculatedColumnFormula array="1">_xlfn.TEXTJOIN(", ",TRUE,IF($A$4:$A$27=Table2[[#This Row],[pool]],Table1['#],""))</calculatedColumnFormula>
    </tableColumn>
    <tableColumn id="2" xr3:uid="{9A40DA73-EA4E-41AB-B403-8ACB850C041D}" name="time estimate (m)" dataDxfId="46">
      <calculatedColumnFormula>SUMIF(Table1[[annotation time (m)]:[annotation pool]],Table2[[#This Row],[pool]],Table1[annotation time (m)])</calculatedColumnFormula>
    </tableColumn>
    <tableColumn id="4" xr3:uid="{4C09AF98-6C0B-48EC-8D52-B368C976333D}" name="annotat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94DDF-A450-4711-9608-08DF96D16054}" name="Table5" displayName="Table5" ref="A30:M55" totalsRowShown="0" headerRowDxfId="45" headerRowBorderDxfId="44" tableBorderDxfId="43" totalsRowBorderDxfId="42">
  <autoFilter ref="A30:M55" xr:uid="{58D94DDF-A450-4711-9608-08DF96D16054}"/>
  <tableColumns count="13">
    <tableColumn id="1" xr3:uid="{919AA725-971F-4879-9357-00B8C9B147D4}" name="file #" dataDxfId="41"/>
    <tableColumn id="2" xr3:uid="{BE4DCCAA-42B4-4C72-90F2-639A18E15E22}" name="Financial situation" dataDxfId="40"/>
    <tableColumn id="3" xr3:uid="{E904A40C-8478-44DB-945B-1115446CA1C0}" name="Family " dataDxfId="39"/>
    <tableColumn id="4" xr3:uid="{5451F6C9-567C-492F-9DAE-618C16E4A04A}" name="University " dataDxfId="38"/>
    <tableColumn id="5" xr3:uid="{B19C7D8F-0937-44E6-B07A-37A6EA20581A}" name="Social life" dataDxfId="37"/>
    <tableColumn id="6" xr3:uid="{94461819-B2CE-42E5-A214-F16773235854}" name="Discipline " dataDxfId="36"/>
    <tableColumn id="7" xr3:uid="{C4B91DDF-7F1C-454B-8CFF-769E2ADB4DBE}" name="Project topic" dataDxfId="35"/>
    <tableColumn id="8" xr3:uid="{DA04F804-A0E7-4259-8914-2F926E62827F}" name="Academic colleagues" dataDxfId="34"/>
    <tableColumn id="9" xr3:uid="{3A67CCB2-E868-47C7-9D5A-BAC7B6C32116}" name="Teaching " dataDxfId="33"/>
    <tableColumn id="10" xr3:uid="{A195CEFF-0D71-4D2B-B140-13451BB28F06}" name="Future " dataDxfId="32"/>
    <tableColumn id="11" xr3:uid="{4C954A1F-3583-4854-BE74-7A38E1438F3A}" name="Fulfillment " dataDxfId="31"/>
    <tableColumn id="12" xr3:uid="{BC2F0EF5-198D-4D16-A875-484F258364BC}" name="Physical and mental health" dataDxfId="30"/>
    <tableColumn id="13" xr3:uid="{914CCBFE-F94C-4BCF-861D-C01A36F7AF6A}" name="Industry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51956C-C1DB-4714-A3E5-6828D73DC7B6}" name="Table14" displayName="Table14" ref="A3:I27" totalsRowShown="0" headerRowDxfId="28">
  <autoFilter ref="A3:I27" xr:uid="{CEAC5E9B-7AC2-4D4E-AEE3-8CF8886CB7B0}"/>
  <tableColumns count="9">
    <tableColumn id="6" xr3:uid="{B5A26495-B451-46E9-8BB9-B0A1439E42DD}" name="annotation pool 1"/>
    <tableColumn id="9" xr3:uid="{09D58510-0E0E-48E6-8A07-7D9D0339A9A3}" name="annotation pool 2" dataDxfId="5"/>
    <tableColumn id="1" xr3:uid="{A42FC76D-E104-4D59-937C-77FE5E29686E}" name="#"/>
    <tableColumn id="4" xr3:uid="{F6AA287B-EC37-4D73-A307-5A72E7B1FE80}" name="file"/>
    <tableColumn id="2" xr3:uid="{39ACCA25-4056-4538-895C-07E66B0E14BA}" name="bytes"/>
    <tableColumn id="3" xr3:uid="{9ED3022F-6EFA-496A-8163-0A81BCC2BFAE}" name="word count"/>
    <tableColumn id="7" xr3:uid="{826BC907-0E3A-456D-957A-6A4C755B72B6}" name="reading time [s]" dataDxfId="27">
      <calculatedColumnFormula>13*60+25</calculatedColumnFormula>
    </tableColumn>
    <tableColumn id="5" xr3:uid="{C6E18047-0E9D-43F2-84B6-0D0DDE775B23}" name="annotation time [s]" dataDxfId="26">
      <calculatedColumnFormula>Table14[[#This Row],[reading time '[s']]]*$E$1</calculatedColumnFormula>
    </tableColumn>
    <tableColumn id="8" xr3:uid="{98D681B8-3B28-4F39-AC1F-08FB25EA2324}" name="annotation time [m]" dataDxfId="25">
      <calculatedColumnFormula>Table14[[#This Row],[annotation time '[s']]]/60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94E007-DEEE-43EF-90BD-8E8232115BCA}" name="Table25" displayName="Table25" ref="K3:N9" totalsRowShown="0" headerRowDxfId="7">
  <autoFilter ref="K3:N9" xr:uid="{32DF9DB7-7EF2-4394-90EE-D0AEF288FD24}"/>
  <tableColumns count="4">
    <tableColumn id="1" xr3:uid="{F4F99245-467D-4F28-892F-B94015343150}" name="pool"/>
    <tableColumn id="3" xr3:uid="{FA03FBE5-3406-4C1E-9197-39B5536130F2}" name="files # to annotate" dataDxfId="6">
      <calculatedColumnFormula array="1">_xlfn.TEXTJOIN(", ",TRUE,IF($A$4:$I$27=Table25[[#This Row],[pool]],Table14['#],""))</calculatedColumnFormula>
    </tableColumn>
    <tableColumn id="2" xr3:uid="{B7DF040B-FFFA-419B-BE42-A95E34329DDE}" name="time estimate [m]" dataDxfId="4">
      <calculatedColumnFormula>SUMIF(Table14[[annotation time '[m']]:[annotation pool 1]],Table25[[#This Row],[pool]],Table14[annotation time '[m']])+SUMIF(Table14[[annotation time '[m']]:[annotation pool 2]],Table25[[#This Row],[pool]],Table14[annotation time '[m']])</calculatedColumnFormula>
    </tableColumn>
    <tableColumn id="4" xr3:uid="{EB8A5C4F-848C-4266-9099-EE93543F0DAE}" name="annotat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EE6150-EDBC-4B09-AECB-084D5252F132}" name="Table57" displayName="Table57" ref="A30:M55" totalsRowShown="0" headerRowDxfId="24" headerRowBorderDxfId="22" tableBorderDxfId="23" totalsRowBorderDxfId="21">
  <autoFilter ref="A30:M55" xr:uid="{58D94DDF-A450-4711-9608-08DF96D16054}"/>
  <tableColumns count="13">
    <tableColumn id="1" xr3:uid="{35033EAC-9BD4-4DE6-B911-45CAAE440E9D}" name="file #" dataDxfId="20"/>
    <tableColumn id="2" xr3:uid="{259E74AA-BC60-4C53-AFA7-1C8CF9CB9B6A}" name="Financial situation" dataDxfId="19"/>
    <tableColumn id="3" xr3:uid="{73993E08-2EBE-4D59-A9E9-BB2014C6B65A}" name="Family " dataDxfId="18"/>
    <tableColumn id="4" xr3:uid="{99D1A071-0693-4CD6-8D29-9929A6328B36}" name="University " dataDxfId="17"/>
    <tableColumn id="5" xr3:uid="{18BBF24A-62D8-4D24-97BD-AD3C5941FCAD}" name="Social life" dataDxfId="16"/>
    <tableColumn id="6" xr3:uid="{D4283DF4-F8BF-4BC9-AAAF-47C2E7CC1918}" name="Discipline " dataDxfId="15"/>
    <tableColumn id="7" xr3:uid="{DADCB349-EF16-4D39-8088-EE3F6782FED6}" name="Project topic" dataDxfId="14"/>
    <tableColumn id="8" xr3:uid="{615A5307-3F24-43AE-9D9F-479386418147}" name="Academic colleagues" dataDxfId="13"/>
    <tableColumn id="9" xr3:uid="{1A663A76-1D8C-4613-AEBE-42BE0B776BF7}" name="Teaching " dataDxfId="12"/>
    <tableColumn id="10" xr3:uid="{23756732-B297-46B4-80D7-45E7E0E51080}" name="Future " dataDxfId="11"/>
    <tableColumn id="11" xr3:uid="{7FD2FEA4-B3A0-4972-9C7F-C01A30E29DE2}" name="Fulfillment " dataDxfId="10"/>
    <tableColumn id="12" xr3:uid="{2FD7943D-1860-4B6A-A546-0B72C57A4BE3}" name="Physical and mental health" dataDxfId="9"/>
    <tableColumn id="13" xr3:uid="{B0AAB286-B0F9-47A3-ACD4-C6D10F3FFC33}" name="Industry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102F11-79A9-4AD7-B44E-13DDB21B4748}" name="Table7" displayName="Table7" ref="P3:Q27" totalsRowShown="0">
  <autoFilter ref="P3:Q27" xr:uid="{52102F11-79A9-4AD7-B44E-13DDB21B4748}"/>
  <tableColumns count="2">
    <tableColumn id="1" xr3:uid="{9AAC15DB-5AE8-4035-B8B9-65E8F9D0FED9}" name="file" dataDxfId="0"/>
    <tableColumn id="2" xr3:uid="{F0814301-0218-4289-B4AA-0C927DCDAB19}" name="n annotations" dataDxfId="3">
      <calculatedColumnFormula>SUM(LEN(_xlfn.TEXTJOIN(", ",TRUE,Table25[files '# to annotate]))-LEN(SUBSTITUTE(_xlfn.TEXTJOIN(", ",TRUE,Table25[files '# to annotate]),Table7[[#This Row],[file]],"")))/LEN(Table7[[#This Row],[file]])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C7F25E-4FF5-4E80-B57F-68FE305012C7}" name="Table8" displayName="Table8" ref="K12:L14" totalsRowShown="0">
  <autoFilter ref="K12:L14" xr:uid="{5DC7F25E-4FF5-4E80-B57F-68FE305012C7}"/>
  <tableColumns count="2">
    <tableColumn id="1" xr3:uid="{BB949719-1408-4659-B7D9-03081EF298FB}" name="n annotations" dataDxfId="1"/>
    <tableColumn id="2" xr3:uid="{72740A97-92F9-4AF0-93EB-BB28E4D4ACCB}" name="files" dataDxfId="2">
      <calculatedColumnFormula array="1">_xlfn.TEXTJOIN(", ",TRUE,IF(Table7[]=Table8[[#This Row],[n annotations]],Table7[file],""))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E175-1F49-4AED-8D2C-5BDE2A269447}">
  <dimension ref="A1:M55"/>
  <sheetViews>
    <sheetView zoomScaleNormal="100" workbookViewId="0">
      <selection activeCell="K4" sqref="K4"/>
    </sheetView>
  </sheetViews>
  <sheetFormatPr defaultRowHeight="15" x14ac:dyDescent="0.25"/>
  <cols>
    <col min="1" max="1" width="10.5703125" customWidth="1"/>
    <col min="2" max="2" width="18.28515625" customWidth="1"/>
    <col min="3" max="3" width="10.5703125" customWidth="1"/>
    <col min="4" max="4" width="11.85546875" customWidth="1"/>
    <col min="5" max="5" width="10.7109375" customWidth="1"/>
    <col min="6" max="6" width="11.42578125" customWidth="1"/>
    <col min="7" max="7" width="13.5703125" customWidth="1"/>
    <col min="8" max="8" width="20.5703125" customWidth="1"/>
    <col min="9" max="9" width="10.5703125" style="1" customWidth="1"/>
    <col min="11" max="11" width="18.42578125" customWidth="1"/>
    <col min="12" max="12" width="25.7109375" customWidth="1"/>
    <col min="13" max="13" width="12" style="1" bestFit="1" customWidth="1"/>
    <col min="14" max="14" width="11.140625" customWidth="1"/>
  </cols>
  <sheetData>
    <row r="1" spans="1:13" s="2" customFormat="1" x14ac:dyDescent="0.25">
      <c r="A1" s="4" t="s">
        <v>44</v>
      </c>
      <c r="D1" s="2">
        <v>2</v>
      </c>
    </row>
    <row r="3" spans="1:13" ht="30" x14ac:dyDescent="0.25">
      <c r="A3" s="2" t="s">
        <v>28</v>
      </c>
      <c r="B3" s="2" t="s">
        <v>26</v>
      </c>
      <c r="C3" s="2" t="s">
        <v>25</v>
      </c>
      <c r="D3" s="2" t="s">
        <v>27</v>
      </c>
      <c r="E3" s="2" t="s">
        <v>24</v>
      </c>
      <c r="F3" s="2" t="s">
        <v>62</v>
      </c>
      <c r="G3" s="2" t="s">
        <v>40</v>
      </c>
      <c r="H3" s="3" t="s">
        <v>39</v>
      </c>
      <c r="I3" s="2"/>
      <c r="J3" s="2" t="s">
        <v>41</v>
      </c>
      <c r="K3" s="2" t="s">
        <v>57</v>
      </c>
      <c r="L3" s="3" t="s">
        <v>43</v>
      </c>
      <c r="M3" s="2" t="s">
        <v>42</v>
      </c>
    </row>
    <row r="4" spans="1:13" x14ac:dyDescent="0.25">
      <c r="A4" t="s">
        <v>30</v>
      </c>
      <c r="B4">
        <v>1</v>
      </c>
      <c r="C4" t="s">
        <v>0</v>
      </c>
      <c r="D4">
        <v>14819</v>
      </c>
      <c r="E4">
        <v>2702</v>
      </c>
      <c r="F4">
        <f>13*60+25</f>
        <v>805</v>
      </c>
      <c r="G4">
        <f>Table1[[#This Row],[reading time (s)]]*$D$1</f>
        <v>1610</v>
      </c>
      <c r="H4" s="1">
        <f>Table1[[#This Row],[annotation time (s)]]/60</f>
        <v>26.833333333333332</v>
      </c>
      <c r="I4"/>
      <c r="J4" t="s">
        <v>29</v>
      </c>
      <c r="K4" t="str" cm="1">
        <f t="array" ref="K4">_xlfn.TEXTJOIN(", ",TRUE,IF($A$4:$A$27=Table2[[#This Row],[pool]],Table1['#],""))</f>
        <v>9, 17, 18, 20, 21, 24</v>
      </c>
      <c r="L4" s="1">
        <f ca="1">SUMIF(Table1[[annotation time (m)]:[annotation pool]],Table2[[#This Row],[pool]],Table1[annotation time (m)])</f>
        <v>119.13333333333333</v>
      </c>
      <c r="M4"/>
    </row>
    <row r="5" spans="1:13" x14ac:dyDescent="0.25">
      <c r="A5" t="s">
        <v>37</v>
      </c>
      <c r="B5">
        <v>2</v>
      </c>
      <c r="C5" t="s">
        <v>1</v>
      </c>
      <c r="D5">
        <v>2963</v>
      </c>
      <c r="E5">
        <v>500</v>
      </c>
      <c r="F5">
        <f>2*60+31</f>
        <v>151</v>
      </c>
      <c r="G5">
        <f>Table1[[#This Row],[reading time (s)]]*$D$1</f>
        <v>302</v>
      </c>
      <c r="H5" s="1">
        <f>Table1[[#This Row],[annotation time (s)]]/60</f>
        <v>5.0333333333333332</v>
      </c>
      <c r="I5"/>
      <c r="J5" t="s">
        <v>37</v>
      </c>
      <c r="K5" t="str" cm="1">
        <f t="array" ref="K5">_xlfn.TEXTJOIN(", ",TRUE,IF($A$4:$A$27=Table2[[#This Row],[pool]],Table1['#],""))</f>
        <v>2, 6, 7, 13, 19, 22</v>
      </c>
      <c r="L5" s="1">
        <f ca="1">SUMIF(Table1[[annotation time (m)]:[annotation pool]],Table2[[#This Row],[pool]],Table1[annotation time (m)])</f>
        <v>112.53333333333333</v>
      </c>
      <c r="M5"/>
    </row>
    <row r="6" spans="1:13" x14ac:dyDescent="0.25">
      <c r="A6" t="s">
        <v>30</v>
      </c>
      <c r="B6">
        <v>3</v>
      </c>
      <c r="C6" t="s">
        <v>2</v>
      </c>
      <c r="D6">
        <v>5257</v>
      </c>
      <c r="E6">
        <v>906</v>
      </c>
      <c r="F6">
        <f>4*60+26</f>
        <v>266</v>
      </c>
      <c r="G6">
        <f>Table1[[#This Row],[reading time (s)]]*$D$1</f>
        <v>532</v>
      </c>
      <c r="H6" s="1">
        <f>Table1[[#This Row],[annotation time (s)]]/60</f>
        <v>8.8666666666666671</v>
      </c>
      <c r="I6"/>
      <c r="J6" t="s">
        <v>30</v>
      </c>
      <c r="K6" t="str" cm="1">
        <f t="array" ref="K6">_xlfn.TEXTJOIN(", ",TRUE,IF($A$4:$A$27=Table2[[#This Row],[pool]],Table1['#],""))</f>
        <v>1, 3, 8, 11, 16, 23</v>
      </c>
      <c r="L6" s="1">
        <f ca="1">SUMIF(Table1[[annotation time (m)]:[annotation pool]],Table2[[#This Row],[pool]],Table1[annotation time (m)])</f>
        <v>111.7</v>
      </c>
      <c r="M6"/>
    </row>
    <row r="7" spans="1:13" x14ac:dyDescent="0.25">
      <c r="A7" t="s">
        <v>38</v>
      </c>
      <c r="B7">
        <v>4</v>
      </c>
      <c r="C7" t="s">
        <v>3</v>
      </c>
      <c r="D7">
        <v>5506</v>
      </c>
      <c r="E7">
        <v>969</v>
      </c>
      <c r="F7">
        <f>4*60+49</f>
        <v>289</v>
      </c>
      <c r="G7">
        <f>Table1[[#This Row],[reading time (s)]]*$D$1</f>
        <v>578</v>
      </c>
      <c r="H7" s="1">
        <f>Table1[[#This Row],[annotation time (s)]]/60</f>
        <v>9.6333333333333329</v>
      </c>
      <c r="I7"/>
      <c r="J7" t="s">
        <v>38</v>
      </c>
      <c r="K7" t="str" cm="1">
        <f t="array" ref="K7">_xlfn.TEXTJOIN(", ",TRUE,IF($A$4:$A$27=Table2[[#This Row],[pool]],Table1['#],""))</f>
        <v>4, 5, 10, 12, 14, 15</v>
      </c>
      <c r="L7" s="1">
        <f ca="1">SUMIF(Table1[[annotation time (m)]:[annotation pool]],Table2[[#This Row],[pool]],Table1[annotation time (m)])</f>
        <v>119.36666666666667</v>
      </c>
      <c r="M7"/>
    </row>
    <row r="8" spans="1:13" x14ac:dyDescent="0.25">
      <c r="A8" t="s">
        <v>38</v>
      </c>
      <c r="B8">
        <v>5</v>
      </c>
      <c r="C8" t="s">
        <v>4</v>
      </c>
      <c r="D8">
        <v>4712</v>
      </c>
      <c r="E8">
        <v>816</v>
      </c>
      <c r="F8">
        <f>4*60+1</f>
        <v>241</v>
      </c>
      <c r="G8">
        <f>Table1[[#This Row],[reading time (s)]]*$D$1</f>
        <v>482</v>
      </c>
      <c r="H8" s="1">
        <f>Table1[[#This Row],[annotation time (s)]]/60</f>
        <v>8.0333333333333332</v>
      </c>
      <c r="I8"/>
      <c r="L8" s="1"/>
      <c r="M8"/>
    </row>
    <row r="9" spans="1:13" x14ac:dyDescent="0.25">
      <c r="A9" t="s">
        <v>37</v>
      </c>
      <c r="B9">
        <v>6</v>
      </c>
      <c r="C9" t="s">
        <v>5</v>
      </c>
      <c r="D9">
        <v>20377</v>
      </c>
      <c r="E9">
        <v>3997</v>
      </c>
      <c r="F9">
        <f>19*60+54</f>
        <v>1194</v>
      </c>
      <c r="G9">
        <f>Table1[[#This Row],[reading time (s)]]*$D$1</f>
        <v>2388</v>
      </c>
      <c r="H9" s="1">
        <f>Table1[[#This Row],[annotation time (s)]]/60</f>
        <v>39.799999999999997</v>
      </c>
      <c r="I9"/>
    </row>
    <row r="10" spans="1:13" x14ac:dyDescent="0.25">
      <c r="A10" t="s">
        <v>37</v>
      </c>
      <c r="B10">
        <v>7</v>
      </c>
      <c r="C10" t="s">
        <v>6</v>
      </c>
      <c r="D10">
        <v>6890</v>
      </c>
      <c r="E10">
        <v>1180</v>
      </c>
      <c r="F10">
        <f>5*60+43</f>
        <v>343</v>
      </c>
      <c r="G10">
        <f>Table1[[#This Row],[reading time (s)]]*$D$1</f>
        <v>686</v>
      </c>
      <c r="H10" s="1">
        <f>Table1[[#This Row],[annotation time (s)]]/60</f>
        <v>11.433333333333334</v>
      </c>
      <c r="I10"/>
    </row>
    <row r="11" spans="1:13" x14ac:dyDescent="0.25">
      <c r="A11" t="s">
        <v>30</v>
      </c>
      <c r="B11">
        <v>8</v>
      </c>
      <c r="C11" t="s">
        <v>7</v>
      </c>
      <c r="D11">
        <v>11283</v>
      </c>
      <c r="E11">
        <v>2027</v>
      </c>
      <c r="F11">
        <f>10*60+0</f>
        <v>600</v>
      </c>
      <c r="G11">
        <f>Table1[[#This Row],[reading time (s)]]*$D$1</f>
        <v>1200</v>
      </c>
      <c r="H11" s="1">
        <f>Table1[[#This Row],[annotation time (s)]]/60</f>
        <v>20</v>
      </c>
      <c r="I11"/>
    </row>
    <row r="12" spans="1:13" x14ac:dyDescent="0.25">
      <c r="A12" t="s">
        <v>29</v>
      </c>
      <c r="B12">
        <v>9</v>
      </c>
      <c r="C12" t="s">
        <v>8</v>
      </c>
      <c r="D12">
        <v>6518</v>
      </c>
      <c r="E12">
        <v>1056</v>
      </c>
      <c r="F12">
        <f>5*60+7</f>
        <v>307</v>
      </c>
      <c r="G12">
        <f>Table1[[#This Row],[reading time (s)]]*$D$1</f>
        <v>614</v>
      </c>
      <c r="H12" s="1">
        <f>Table1[[#This Row],[annotation time (s)]]/60</f>
        <v>10.233333333333333</v>
      </c>
      <c r="I12"/>
    </row>
    <row r="13" spans="1:13" x14ac:dyDescent="0.25">
      <c r="A13" t="s">
        <v>38</v>
      </c>
      <c r="B13">
        <v>10</v>
      </c>
      <c r="C13" t="s">
        <v>9</v>
      </c>
      <c r="D13">
        <v>5885</v>
      </c>
      <c r="E13">
        <v>885</v>
      </c>
      <c r="F13">
        <f>4*60+29</f>
        <v>269</v>
      </c>
      <c r="G13">
        <f>Table1[[#This Row],[reading time (s)]]*$D$1</f>
        <v>538</v>
      </c>
      <c r="H13" s="1">
        <f>Table1[[#This Row],[annotation time (s)]]/60</f>
        <v>8.9666666666666668</v>
      </c>
      <c r="I13"/>
    </row>
    <row r="14" spans="1:13" x14ac:dyDescent="0.25">
      <c r="A14" t="s">
        <v>30</v>
      </c>
      <c r="B14">
        <v>11</v>
      </c>
      <c r="C14" t="s">
        <v>10</v>
      </c>
      <c r="D14">
        <v>7162</v>
      </c>
      <c r="E14">
        <v>1320</v>
      </c>
      <c r="F14">
        <f>6*60+8</f>
        <v>368</v>
      </c>
      <c r="G14">
        <f>Table1[[#This Row],[reading time (s)]]*$D$1</f>
        <v>736</v>
      </c>
      <c r="H14" s="1">
        <f>Table1[[#This Row],[annotation time (s)]]/60</f>
        <v>12.266666666666667</v>
      </c>
      <c r="I14"/>
    </row>
    <row r="15" spans="1:13" x14ac:dyDescent="0.25">
      <c r="A15" t="s">
        <v>38</v>
      </c>
      <c r="B15">
        <v>12</v>
      </c>
      <c r="C15" t="s">
        <v>11</v>
      </c>
      <c r="D15">
        <v>28628</v>
      </c>
      <c r="E15">
        <v>5093</v>
      </c>
      <c r="F15">
        <f>25*60+11</f>
        <v>1511</v>
      </c>
      <c r="G15">
        <f>Table1[[#This Row],[reading time (s)]]*$D$1</f>
        <v>3022</v>
      </c>
      <c r="H15" s="1">
        <f>Table1[[#This Row],[annotation time (s)]]/60</f>
        <v>50.366666666666667</v>
      </c>
      <c r="I15"/>
    </row>
    <row r="16" spans="1:13" x14ac:dyDescent="0.25">
      <c r="A16" t="s">
        <v>37</v>
      </c>
      <c r="B16">
        <v>13</v>
      </c>
      <c r="C16" t="s">
        <v>12</v>
      </c>
      <c r="D16">
        <v>4945</v>
      </c>
      <c r="E16">
        <v>816</v>
      </c>
      <c r="F16">
        <f>3*60+54</f>
        <v>234</v>
      </c>
      <c r="G16">
        <f>Table1[[#This Row],[reading time (s)]]*$D$1</f>
        <v>468</v>
      </c>
      <c r="H16" s="1">
        <f>Table1[[#This Row],[annotation time (s)]]/60</f>
        <v>7.8</v>
      </c>
      <c r="I16"/>
    </row>
    <row r="17" spans="1:13" x14ac:dyDescent="0.25">
      <c r="A17" t="s">
        <v>38</v>
      </c>
      <c r="B17">
        <v>14</v>
      </c>
      <c r="C17" t="s">
        <v>13</v>
      </c>
      <c r="D17">
        <v>18319</v>
      </c>
      <c r="E17">
        <v>3087</v>
      </c>
      <c r="F17">
        <f>15*60+11</f>
        <v>911</v>
      </c>
      <c r="G17">
        <f>Table1[[#This Row],[reading time (s)]]*$D$1</f>
        <v>1822</v>
      </c>
      <c r="H17" s="1">
        <f>Table1[[#This Row],[annotation time (s)]]/60</f>
        <v>30.366666666666667</v>
      </c>
      <c r="I17"/>
    </row>
    <row r="18" spans="1:13" x14ac:dyDescent="0.25">
      <c r="A18" t="s">
        <v>38</v>
      </c>
      <c r="B18">
        <v>15</v>
      </c>
      <c r="C18" t="s">
        <v>14</v>
      </c>
      <c r="D18">
        <v>7387</v>
      </c>
      <c r="E18">
        <v>1293</v>
      </c>
      <c r="F18">
        <f>6*60+0</f>
        <v>360</v>
      </c>
      <c r="G18">
        <f>Table1[[#This Row],[reading time (s)]]*$D$1</f>
        <v>720</v>
      </c>
      <c r="H18" s="1">
        <f>Table1[[#This Row],[annotation time (s)]]/60</f>
        <v>12</v>
      </c>
      <c r="I18"/>
    </row>
    <row r="19" spans="1:13" x14ac:dyDescent="0.25">
      <c r="A19" t="s">
        <v>30</v>
      </c>
      <c r="B19">
        <v>16</v>
      </c>
      <c r="C19" t="s">
        <v>15</v>
      </c>
      <c r="D19">
        <v>19034</v>
      </c>
      <c r="E19">
        <v>3781</v>
      </c>
      <c r="F19">
        <f>18*60+52</f>
        <v>1132</v>
      </c>
      <c r="G19">
        <f>Table1[[#This Row],[reading time (s)]]*$D$1</f>
        <v>2264</v>
      </c>
      <c r="H19" s="1">
        <f>Table1[[#This Row],[annotation time (s)]]/60</f>
        <v>37.733333333333334</v>
      </c>
      <c r="I19"/>
    </row>
    <row r="20" spans="1:13" x14ac:dyDescent="0.25">
      <c r="A20" t="s">
        <v>29</v>
      </c>
      <c r="B20">
        <v>17</v>
      </c>
      <c r="C20" t="s">
        <v>16</v>
      </c>
      <c r="D20">
        <v>11992</v>
      </c>
      <c r="E20">
        <v>2205</v>
      </c>
      <c r="F20">
        <f>11*60+0</f>
        <v>660</v>
      </c>
      <c r="G20">
        <f>Table1[[#This Row],[reading time (s)]]*$D$1</f>
        <v>1320</v>
      </c>
      <c r="H20" s="1">
        <f>Table1[[#This Row],[annotation time (s)]]/60</f>
        <v>22</v>
      </c>
      <c r="I20"/>
    </row>
    <row r="21" spans="1:13" x14ac:dyDescent="0.25">
      <c r="A21" t="s">
        <v>29</v>
      </c>
      <c r="B21">
        <v>18</v>
      </c>
      <c r="C21" t="s">
        <v>17</v>
      </c>
      <c r="D21">
        <v>20920</v>
      </c>
      <c r="E21">
        <v>3767</v>
      </c>
      <c r="F21">
        <f>18*60+27</f>
        <v>1107</v>
      </c>
      <c r="G21">
        <f>Table1[[#This Row],[reading time (s)]]*$D$1</f>
        <v>2214</v>
      </c>
      <c r="H21" s="1">
        <f>Table1[[#This Row],[annotation time (s)]]/60</f>
        <v>36.9</v>
      </c>
      <c r="I21"/>
    </row>
    <row r="22" spans="1:13" x14ac:dyDescent="0.25">
      <c r="A22" t="s">
        <v>37</v>
      </c>
      <c r="B22">
        <v>19</v>
      </c>
      <c r="C22" t="s">
        <v>18</v>
      </c>
      <c r="D22">
        <v>6613</v>
      </c>
      <c r="E22">
        <v>1203</v>
      </c>
      <c r="F22">
        <f>5*60+38</f>
        <v>338</v>
      </c>
      <c r="G22">
        <f>Table1[[#This Row],[reading time (s)]]*$D$1</f>
        <v>676</v>
      </c>
      <c r="H22" s="1">
        <f>Table1[[#This Row],[annotation time (s)]]/60</f>
        <v>11.266666666666667</v>
      </c>
      <c r="I22"/>
    </row>
    <row r="23" spans="1:13" x14ac:dyDescent="0.25">
      <c r="A23" t="s">
        <v>29</v>
      </c>
      <c r="B23">
        <v>20</v>
      </c>
      <c r="C23" t="s">
        <v>19</v>
      </c>
      <c r="D23">
        <v>6489</v>
      </c>
      <c r="E23">
        <v>1131</v>
      </c>
      <c r="F23">
        <f>5*60+15</f>
        <v>315</v>
      </c>
      <c r="G23">
        <f>Table1[[#This Row],[reading time (s)]]*$D$1</f>
        <v>630</v>
      </c>
      <c r="H23" s="1">
        <f>Table1[[#This Row],[annotation time (s)]]/60</f>
        <v>10.5</v>
      </c>
      <c r="I23"/>
    </row>
    <row r="24" spans="1:13" x14ac:dyDescent="0.25">
      <c r="A24" t="s">
        <v>29</v>
      </c>
      <c r="B24">
        <v>21</v>
      </c>
      <c r="C24" t="s">
        <v>20</v>
      </c>
      <c r="D24">
        <v>16438</v>
      </c>
      <c r="E24">
        <v>3207</v>
      </c>
      <c r="F24">
        <f>15*60+59</f>
        <v>959</v>
      </c>
      <c r="G24">
        <f>Table1[[#This Row],[reading time (s)]]*$D$1</f>
        <v>1918</v>
      </c>
      <c r="H24" s="1">
        <f>Table1[[#This Row],[annotation time (s)]]/60</f>
        <v>31.966666666666665</v>
      </c>
      <c r="I24"/>
    </row>
    <row r="25" spans="1:13" x14ac:dyDescent="0.25">
      <c r="A25" t="s">
        <v>37</v>
      </c>
      <c r="B25">
        <v>22</v>
      </c>
      <c r="C25" t="s">
        <v>21</v>
      </c>
      <c r="D25">
        <v>20223</v>
      </c>
      <c r="E25">
        <v>3802</v>
      </c>
      <c r="F25">
        <f>18*60+36</f>
        <v>1116</v>
      </c>
      <c r="G25">
        <f>Table1[[#This Row],[reading time (s)]]*$D$1</f>
        <v>2232</v>
      </c>
      <c r="H25" s="1">
        <f>Table1[[#This Row],[annotation time (s)]]/60</f>
        <v>37.200000000000003</v>
      </c>
      <c r="I25"/>
    </row>
    <row r="26" spans="1:13" x14ac:dyDescent="0.25">
      <c r="A26" t="s">
        <v>30</v>
      </c>
      <c r="B26">
        <v>23</v>
      </c>
      <c r="C26" t="s">
        <v>22</v>
      </c>
      <c r="D26">
        <v>3634</v>
      </c>
      <c r="E26">
        <v>618</v>
      </c>
      <c r="F26">
        <f>3*60+0</f>
        <v>180</v>
      </c>
      <c r="G26">
        <f>Table1[[#This Row],[reading time (s)]]*$D$1</f>
        <v>360</v>
      </c>
      <c r="H26" s="1">
        <f>Table1[[#This Row],[annotation time (s)]]/60</f>
        <v>6</v>
      </c>
      <c r="I26"/>
    </row>
    <row r="27" spans="1:13" x14ac:dyDescent="0.25">
      <c r="A27" t="s">
        <v>29</v>
      </c>
      <c r="B27">
        <v>24</v>
      </c>
      <c r="C27" t="s">
        <v>23</v>
      </c>
      <c r="D27">
        <v>4450</v>
      </c>
      <c r="E27">
        <v>761</v>
      </c>
      <c r="F27">
        <f>3*60+46</f>
        <v>226</v>
      </c>
      <c r="G27">
        <f>Table1[[#This Row],[reading time (s)]]*$D$1</f>
        <v>452</v>
      </c>
      <c r="H27" s="1">
        <f>Table1[[#This Row],[annotation time (s)]]/60</f>
        <v>7.5333333333333332</v>
      </c>
      <c r="I27"/>
    </row>
    <row r="29" spans="1:13" x14ac:dyDescent="0.25">
      <c r="A29" s="5" t="s">
        <v>58</v>
      </c>
      <c r="C29" s="1"/>
      <c r="I29"/>
    </row>
    <row r="30" spans="1:13" x14ac:dyDescent="0.25">
      <c r="A30" s="6" t="s">
        <v>56</v>
      </c>
      <c r="B30" s="7" t="s">
        <v>45</v>
      </c>
      <c r="C30" s="8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9" t="s">
        <v>55</v>
      </c>
      <c r="M30" s="8" t="s">
        <v>61</v>
      </c>
    </row>
    <row r="31" spans="1:13" x14ac:dyDescent="0.25">
      <c r="A31" s="18"/>
      <c r="B31" s="11" t="s">
        <v>29</v>
      </c>
      <c r="C31" s="12" t="s">
        <v>37</v>
      </c>
      <c r="D31" s="12" t="s">
        <v>30</v>
      </c>
      <c r="E31" s="11" t="s">
        <v>38</v>
      </c>
      <c r="F31" s="11" t="s">
        <v>31</v>
      </c>
      <c r="G31" s="11" t="s">
        <v>32</v>
      </c>
      <c r="H31" s="11" t="s">
        <v>33</v>
      </c>
      <c r="I31" s="11" t="s">
        <v>59</v>
      </c>
      <c r="J31" s="11" t="s">
        <v>60</v>
      </c>
      <c r="K31" s="11" t="s">
        <v>34</v>
      </c>
      <c r="L31" s="13" t="s">
        <v>35</v>
      </c>
      <c r="M31" s="8" t="s">
        <v>36</v>
      </c>
    </row>
    <row r="32" spans="1:13" x14ac:dyDescent="0.25">
      <c r="A32" s="10">
        <v>1</v>
      </c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3"/>
      <c r="M32" s="12"/>
    </row>
    <row r="33" spans="1:13" x14ac:dyDescent="0.25">
      <c r="A33" s="10">
        <v>2</v>
      </c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3"/>
      <c r="M33" s="12"/>
    </row>
    <row r="34" spans="1:13" x14ac:dyDescent="0.25">
      <c r="A34" s="10">
        <v>3</v>
      </c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3"/>
      <c r="M34" s="12"/>
    </row>
    <row r="35" spans="1:13" x14ac:dyDescent="0.25">
      <c r="A35" s="10">
        <v>4</v>
      </c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3"/>
      <c r="M35" s="12"/>
    </row>
    <row r="36" spans="1:13" x14ac:dyDescent="0.25">
      <c r="A36" s="10">
        <v>5</v>
      </c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3"/>
      <c r="M36" s="12"/>
    </row>
    <row r="37" spans="1:13" x14ac:dyDescent="0.25">
      <c r="A37" s="10">
        <v>6</v>
      </c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3"/>
      <c r="M37" s="12"/>
    </row>
    <row r="38" spans="1:13" x14ac:dyDescent="0.25">
      <c r="A38" s="10">
        <v>7</v>
      </c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3"/>
      <c r="M38" s="12"/>
    </row>
    <row r="39" spans="1:13" x14ac:dyDescent="0.25">
      <c r="A39" s="10">
        <v>8</v>
      </c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3"/>
      <c r="M39" s="12"/>
    </row>
    <row r="40" spans="1:13" x14ac:dyDescent="0.25">
      <c r="A40" s="10">
        <v>9</v>
      </c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3"/>
      <c r="M40" s="12"/>
    </row>
    <row r="41" spans="1:13" x14ac:dyDescent="0.25">
      <c r="A41" s="10">
        <v>10</v>
      </c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3"/>
      <c r="M41" s="12"/>
    </row>
    <row r="42" spans="1:13" x14ac:dyDescent="0.25">
      <c r="A42" s="10">
        <v>11</v>
      </c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3"/>
      <c r="M42" s="12"/>
    </row>
    <row r="43" spans="1:13" x14ac:dyDescent="0.25">
      <c r="A43" s="10">
        <v>12</v>
      </c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3"/>
      <c r="M43" s="12"/>
    </row>
    <row r="44" spans="1:13" x14ac:dyDescent="0.25">
      <c r="A44" s="10">
        <v>13</v>
      </c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3"/>
      <c r="M44" s="12"/>
    </row>
    <row r="45" spans="1:13" x14ac:dyDescent="0.25">
      <c r="A45" s="10">
        <v>14</v>
      </c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3"/>
      <c r="M45" s="12"/>
    </row>
    <row r="46" spans="1:13" x14ac:dyDescent="0.25">
      <c r="A46" s="10">
        <v>15</v>
      </c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3"/>
      <c r="M46" s="12"/>
    </row>
    <row r="47" spans="1:13" x14ac:dyDescent="0.25">
      <c r="A47" s="10">
        <v>16</v>
      </c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3"/>
      <c r="M47" s="12"/>
    </row>
    <row r="48" spans="1:13" x14ac:dyDescent="0.25">
      <c r="A48" s="10">
        <v>17</v>
      </c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3"/>
      <c r="M48" s="12"/>
    </row>
    <row r="49" spans="1:13" x14ac:dyDescent="0.25">
      <c r="A49" s="10">
        <v>18</v>
      </c>
      <c r="B49" s="11"/>
      <c r="C49" s="11"/>
      <c r="D49" s="12"/>
      <c r="E49" s="11"/>
      <c r="F49" s="11"/>
      <c r="G49" s="11"/>
      <c r="H49" s="11"/>
      <c r="I49" s="11"/>
      <c r="J49" s="11"/>
      <c r="K49" s="11"/>
      <c r="L49" s="13"/>
      <c r="M49" s="12"/>
    </row>
    <row r="50" spans="1:13" x14ac:dyDescent="0.25">
      <c r="A50" s="10">
        <v>19</v>
      </c>
      <c r="B50" s="11"/>
      <c r="C50" s="11"/>
      <c r="D50" s="12"/>
      <c r="E50" s="11"/>
      <c r="F50" s="11"/>
      <c r="G50" s="11"/>
      <c r="H50" s="11"/>
      <c r="I50" s="11"/>
      <c r="J50" s="11"/>
      <c r="K50" s="11"/>
      <c r="L50" s="13"/>
      <c r="M50" s="12"/>
    </row>
    <row r="51" spans="1:13" x14ac:dyDescent="0.25">
      <c r="A51" s="10">
        <v>20</v>
      </c>
      <c r="B51" s="11"/>
      <c r="C51" s="11"/>
      <c r="D51" s="12"/>
      <c r="E51" s="11"/>
      <c r="F51" s="11"/>
      <c r="G51" s="11"/>
      <c r="H51" s="11"/>
      <c r="I51" s="11"/>
      <c r="J51" s="11"/>
      <c r="K51" s="11"/>
      <c r="L51" s="13"/>
      <c r="M51" s="12"/>
    </row>
    <row r="52" spans="1:13" x14ac:dyDescent="0.25">
      <c r="A52" s="10">
        <v>21</v>
      </c>
      <c r="B52" s="11"/>
      <c r="C52" s="11"/>
      <c r="D52" s="12"/>
      <c r="E52" s="11"/>
      <c r="F52" s="11"/>
      <c r="G52" s="11"/>
      <c r="H52" s="11"/>
      <c r="I52" s="11"/>
      <c r="J52" s="11"/>
      <c r="K52" s="11"/>
      <c r="L52" s="13"/>
      <c r="M52" s="12"/>
    </row>
    <row r="53" spans="1:13" x14ac:dyDescent="0.25">
      <c r="A53" s="10">
        <v>22</v>
      </c>
      <c r="B53" s="11"/>
      <c r="C53" s="11"/>
      <c r="D53" s="12"/>
      <c r="E53" s="11"/>
      <c r="F53" s="11"/>
      <c r="G53" s="11"/>
      <c r="H53" s="11"/>
      <c r="I53" s="11"/>
      <c r="J53" s="11"/>
      <c r="K53" s="11"/>
      <c r="L53" s="13"/>
      <c r="M53" s="12"/>
    </row>
    <row r="54" spans="1:13" x14ac:dyDescent="0.25">
      <c r="A54" s="10">
        <v>23</v>
      </c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3"/>
      <c r="M54" s="12"/>
    </row>
    <row r="55" spans="1:13" x14ac:dyDescent="0.25">
      <c r="A55" s="14">
        <v>24</v>
      </c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7"/>
      <c r="M55" s="16"/>
    </row>
  </sheetData>
  <pageMargins left="0.7" right="0.7" top="0.75" bottom="0.75" header="0.3" footer="0.3"/>
  <pageSetup paperSize="2833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8ED0-79F6-4C64-93CC-8AA1E3FE2DC8}">
  <dimension ref="A1:Q55"/>
  <sheetViews>
    <sheetView tabSelected="1" zoomScaleNormal="100" workbookViewId="0">
      <selection activeCell="K20" sqref="K20"/>
    </sheetView>
  </sheetViews>
  <sheetFormatPr defaultRowHeight="15" x14ac:dyDescent="0.25"/>
  <cols>
    <col min="1" max="2" width="10.5703125" customWidth="1"/>
    <col min="3" max="3" width="9.5703125" bestFit="1" customWidth="1"/>
    <col min="4" max="4" width="10.5703125" customWidth="1"/>
    <col min="5" max="5" width="11.85546875" customWidth="1"/>
    <col min="6" max="6" width="10.7109375" customWidth="1"/>
    <col min="7" max="7" width="11.42578125" customWidth="1"/>
    <col min="8" max="8" width="13.5703125" customWidth="1"/>
    <col min="9" max="9" width="20.5703125" customWidth="1"/>
    <col min="10" max="10" width="10.5703125" style="1" customWidth="1"/>
    <col min="11" max="11" width="15.28515625" customWidth="1"/>
    <col min="12" max="12" width="36.85546875" bestFit="1" customWidth="1"/>
    <col min="13" max="13" width="19.5703125" bestFit="1" customWidth="1"/>
    <col min="14" max="14" width="24.42578125" style="1" customWidth="1"/>
  </cols>
  <sheetData>
    <row r="1" spans="1:17" s="2" customFormat="1" x14ac:dyDescent="0.25">
      <c r="A1" s="4" t="s">
        <v>44</v>
      </c>
      <c r="B1" s="4"/>
      <c r="E1" s="2">
        <v>2</v>
      </c>
    </row>
    <row r="3" spans="1:17" ht="30" x14ac:dyDescent="0.25">
      <c r="A3" s="2" t="s">
        <v>63</v>
      </c>
      <c r="B3" s="2" t="s">
        <v>64</v>
      </c>
      <c r="C3" s="2" t="s">
        <v>26</v>
      </c>
      <c r="D3" s="2" t="s">
        <v>25</v>
      </c>
      <c r="E3" s="2" t="s">
        <v>27</v>
      </c>
      <c r="F3" s="2" t="s">
        <v>24</v>
      </c>
      <c r="G3" s="2" t="s">
        <v>66</v>
      </c>
      <c r="H3" s="2" t="s">
        <v>65</v>
      </c>
      <c r="I3" s="3" t="s">
        <v>67</v>
      </c>
      <c r="J3" s="2"/>
      <c r="K3" s="2" t="s">
        <v>41</v>
      </c>
      <c r="L3" s="2" t="s">
        <v>57</v>
      </c>
      <c r="M3" s="3" t="s">
        <v>68</v>
      </c>
      <c r="N3" s="2" t="s">
        <v>42</v>
      </c>
      <c r="P3" t="s">
        <v>25</v>
      </c>
      <c r="Q3" s="22" t="s">
        <v>94</v>
      </c>
    </row>
    <row r="4" spans="1:17" x14ac:dyDescent="0.25">
      <c r="A4" t="s">
        <v>30</v>
      </c>
      <c r="B4" t="s">
        <v>38</v>
      </c>
      <c r="C4" s="20" t="s">
        <v>69</v>
      </c>
      <c r="D4" t="s">
        <v>0</v>
      </c>
      <c r="E4">
        <v>14819</v>
      </c>
      <c r="F4">
        <v>2702</v>
      </c>
      <c r="G4">
        <f>13*60+25</f>
        <v>805</v>
      </c>
      <c r="H4">
        <f>Table14[[#This Row],[reading time '[s']]]*$E$1</f>
        <v>1610</v>
      </c>
      <c r="I4" s="1">
        <f>Table14[[#This Row],[annotation time '[s']]]/60</f>
        <v>26.833333333333332</v>
      </c>
      <c r="J4"/>
      <c r="K4" t="s">
        <v>29</v>
      </c>
      <c r="L4" t="str" cm="1">
        <f t="array" ref="L4">_xlfn.TEXTJOIN(", ",TRUE,IF($A$4:$I$27=Table25[[#This Row],[pool]],Table14['#],""))</f>
        <v>09, 13, 17, 18, 20, 21</v>
      </c>
      <c r="M4" s="1">
        <f ca="1">SUMIF(Table14[[annotation time '[m']]:[annotation pool 1]],Table25[[#This Row],[pool]],Table14[annotation time '[m']])+SUMIF(Table14[[annotation time '[m']]:[annotation pool 2]],Table25[[#This Row],[pool]],Table14[annotation time '[m']])</f>
        <v>119.39999999999999</v>
      </c>
      <c r="N4" t="s">
        <v>95</v>
      </c>
      <c r="P4" s="20" t="s">
        <v>69</v>
      </c>
      <c r="Q4" s="22">
        <f>SUM(LEN(_xlfn.TEXTJOIN(", ",TRUE,Table25[files '# to annotate]))-LEN(SUBSTITUTE(_xlfn.TEXTJOIN(", ",TRUE,Table25[files '# to annotate]),Table7[[#This Row],[file]],"")))/LEN(Table7[[#This Row],[file]])</f>
        <v>2</v>
      </c>
    </row>
    <row r="5" spans="1:17" x14ac:dyDescent="0.25">
      <c r="A5" t="s">
        <v>37</v>
      </c>
      <c r="C5" s="20" t="s">
        <v>70</v>
      </c>
      <c r="D5" t="s">
        <v>1</v>
      </c>
      <c r="E5">
        <v>2963</v>
      </c>
      <c r="F5">
        <v>500</v>
      </c>
      <c r="G5">
        <f>2*60+31</f>
        <v>151</v>
      </c>
      <c r="H5">
        <f>Table14[[#This Row],[reading time '[s']]]*$E$1</f>
        <v>302</v>
      </c>
      <c r="I5" s="1">
        <f>Table14[[#This Row],[annotation time '[s']]]/60</f>
        <v>5.0333333333333332</v>
      </c>
      <c r="J5"/>
      <c r="K5" t="s">
        <v>37</v>
      </c>
      <c r="L5" t="str" cm="1">
        <f t="array" ref="L5">_xlfn.TEXTJOIN(", ",TRUE,IF($A$4:$I$27=Table25[[#This Row],[pool]],Table14['#],""))</f>
        <v>02, 06, 08, 13, 14, 19</v>
      </c>
      <c r="M5" s="1">
        <f ca="1">SUMIF(Table14[[annotation time '[m']]:[annotation pool 1]],Table25[[#This Row],[pool]],Table14[annotation time '[m']])+SUMIF(Table14[[annotation time '[m']]:[annotation pool 2]],Table25[[#This Row],[pool]],Table14[annotation time '[m']])</f>
        <v>114.26666666666667</v>
      </c>
      <c r="N5" t="s">
        <v>95</v>
      </c>
      <c r="P5" s="20" t="s">
        <v>70</v>
      </c>
      <c r="Q5" s="22">
        <f>SUM(LEN(_xlfn.TEXTJOIN(", ",TRUE,Table25[files '# to annotate]))-LEN(SUBSTITUTE(_xlfn.TEXTJOIN(", ",TRUE,Table25[files '# to annotate]),Table7[[#This Row],[file]],"")))/LEN(Table7[[#This Row],[file]])</f>
        <v>1</v>
      </c>
    </row>
    <row r="6" spans="1:17" x14ac:dyDescent="0.25">
      <c r="A6" t="s">
        <v>30</v>
      </c>
      <c r="B6" t="s">
        <v>31</v>
      </c>
      <c r="C6" s="20" t="s">
        <v>71</v>
      </c>
      <c r="D6" t="s">
        <v>2</v>
      </c>
      <c r="E6">
        <v>5257</v>
      </c>
      <c r="F6">
        <v>906</v>
      </c>
      <c r="G6">
        <f>4*60+26</f>
        <v>266</v>
      </c>
      <c r="H6">
        <f>Table14[[#This Row],[reading time '[s']]]*$E$1</f>
        <v>532</v>
      </c>
      <c r="I6" s="1">
        <f>Table14[[#This Row],[annotation time '[s']]]/60</f>
        <v>8.8666666666666671</v>
      </c>
      <c r="J6"/>
      <c r="K6" t="s">
        <v>30</v>
      </c>
      <c r="L6" t="str" cm="1">
        <f t="array" ref="L6">_xlfn.TEXTJOIN(", ",TRUE,IF($A$4:$I$27=Table25[[#This Row],[pool]],Table14['#],""))</f>
        <v>01, 03, 06, 08, 11, 15</v>
      </c>
      <c r="M6" s="1">
        <f ca="1">SUMIF(Table14[[annotation time '[m']]:[annotation pool 1]],Table25[[#This Row],[pool]],Table14[annotation time '[m']])+SUMIF(Table14[[annotation time '[m']]:[annotation pool 2]],Table25[[#This Row],[pool]],Table14[annotation time '[m']])</f>
        <v>119.76666666666667</v>
      </c>
      <c r="N6" t="s">
        <v>95</v>
      </c>
      <c r="P6" s="20" t="s">
        <v>71</v>
      </c>
      <c r="Q6" s="22">
        <f>SUM(LEN(_xlfn.TEXTJOIN(", ",TRUE,Table25[files '# to annotate]))-LEN(SUBSTITUTE(_xlfn.TEXTJOIN(", ",TRUE,Table25[files '# to annotate]),Table7[[#This Row],[file]],"")))/LEN(Table7[[#This Row],[file]])</f>
        <v>2</v>
      </c>
    </row>
    <row r="7" spans="1:17" x14ac:dyDescent="0.25">
      <c r="A7" t="s">
        <v>38</v>
      </c>
      <c r="C7" s="20" t="s">
        <v>72</v>
      </c>
      <c r="D7" t="s">
        <v>3</v>
      </c>
      <c r="E7">
        <v>5506</v>
      </c>
      <c r="F7">
        <v>969</v>
      </c>
      <c r="G7">
        <f>4*60+49</f>
        <v>289</v>
      </c>
      <c r="H7">
        <f>Table14[[#This Row],[reading time '[s']]]*$E$1</f>
        <v>578</v>
      </c>
      <c r="I7" s="1">
        <f>Table14[[#This Row],[annotation time '[s']]]/60</f>
        <v>9.6333333333333329</v>
      </c>
      <c r="J7"/>
      <c r="K7" t="s">
        <v>38</v>
      </c>
      <c r="L7" t="str" cm="1">
        <f t="array" ref="L7">_xlfn.TEXTJOIN(", ",TRUE,IF($A$4:$I$27=Table25[[#This Row],[pool]],Table14['#],""))</f>
        <v>01, 04, 05, 10, 12, 23</v>
      </c>
      <c r="M7" s="1">
        <f ca="1">SUMIF(Table14[[annotation time '[m']]:[annotation pool 1]],Table25[[#This Row],[pool]],Table14[annotation time '[m']])+SUMIF(Table14[[annotation time '[m']]:[annotation pool 2]],Table25[[#This Row],[pool]],Table14[annotation time '[m']])</f>
        <v>109.83333333333333</v>
      </c>
      <c r="N7" t="s">
        <v>95</v>
      </c>
      <c r="P7" s="20" t="s">
        <v>72</v>
      </c>
      <c r="Q7" s="22">
        <f>SUM(LEN(_xlfn.TEXTJOIN(", ",TRUE,Table25[files '# to annotate]))-LEN(SUBSTITUTE(_xlfn.TEXTJOIN(", ",TRUE,Table25[files '# to annotate]),Table7[[#This Row],[file]],"")))/LEN(Table7[[#This Row],[file]])</f>
        <v>1</v>
      </c>
    </row>
    <row r="8" spans="1:17" x14ac:dyDescent="0.25">
      <c r="A8" t="s">
        <v>38</v>
      </c>
      <c r="C8" s="20" t="s">
        <v>73</v>
      </c>
      <c r="D8" t="s">
        <v>4</v>
      </c>
      <c r="E8">
        <v>4712</v>
      </c>
      <c r="F8">
        <v>816</v>
      </c>
      <c r="G8">
        <f>4*60+1</f>
        <v>241</v>
      </c>
      <c r="H8">
        <f>Table14[[#This Row],[reading time '[s']]]*$E$1</f>
        <v>482</v>
      </c>
      <c r="I8" s="1">
        <f>Table14[[#This Row],[annotation time '[s']]]/60</f>
        <v>8.0333333333333332</v>
      </c>
      <c r="J8"/>
      <c r="K8" t="s">
        <v>31</v>
      </c>
      <c r="L8" s="19" t="str" cm="1">
        <f t="array" ref="L8">_xlfn.TEXTJOIN(", ",TRUE,IF($A$4:$I$27=Table25[[#This Row],[pool]],Table14['#],""))</f>
        <v>03, 16, 17, 19, 22, 23</v>
      </c>
      <c r="M8" s="1">
        <f ca="1">SUMIF(Table14[[annotation time '[m']]:[annotation pool 1]],Table25[[#This Row],[pool]],Table14[annotation time '[m']])+SUMIF(Table14[[annotation time '[m']]:[annotation pool 2]],Table25[[#This Row],[pool]],Table14[annotation time '[m']])</f>
        <v>123.06666666666666</v>
      </c>
      <c r="N8" t="s">
        <v>95</v>
      </c>
      <c r="P8" s="20" t="s">
        <v>73</v>
      </c>
      <c r="Q8" s="22">
        <f>SUM(LEN(_xlfn.TEXTJOIN(", ",TRUE,Table25[files '# to annotate]))-LEN(SUBSTITUTE(_xlfn.TEXTJOIN(", ",TRUE,Table25[files '# to annotate]),Table7[[#This Row],[file]],"")))/LEN(Table7[[#This Row],[file]])</f>
        <v>1</v>
      </c>
    </row>
    <row r="9" spans="1:17" x14ac:dyDescent="0.25">
      <c r="A9" t="s">
        <v>37</v>
      </c>
      <c r="B9" t="s">
        <v>30</v>
      </c>
      <c r="C9" s="20" t="s">
        <v>74</v>
      </c>
      <c r="D9" t="s">
        <v>5</v>
      </c>
      <c r="E9">
        <v>20377</v>
      </c>
      <c r="F9">
        <v>3997</v>
      </c>
      <c r="G9">
        <f>19*60+54</f>
        <v>1194</v>
      </c>
      <c r="H9">
        <f>Table14[[#This Row],[reading time '[s']]]*$E$1</f>
        <v>2388</v>
      </c>
      <c r="I9" s="1">
        <f>Table14[[#This Row],[annotation time '[s']]]/60</f>
        <v>39.799999999999997</v>
      </c>
      <c r="J9"/>
      <c r="K9" t="s">
        <v>32</v>
      </c>
      <c r="L9" s="19" t="str" cm="1">
        <f t="array" ref="L9">_xlfn.TEXTJOIN(", ",TRUE,IF($A$4:$I$27=Table25[[#This Row],[pool]],Table14['#],""))</f>
        <v>07, 10, 12, 15, 21, 24</v>
      </c>
      <c r="M9" s="1">
        <f ca="1">SUMIF(Table14[[annotation time '[m']]:[annotation pool 1]],Table25[[#This Row],[pool]],Table14[annotation time '[m']])+SUMIF(Table14[[annotation time '[m']]:[annotation pool 2]],Table25[[#This Row],[pool]],Table14[annotation time '[m']])</f>
        <v>122.26666666666667</v>
      </c>
      <c r="N9" t="s">
        <v>95</v>
      </c>
      <c r="P9" s="20" t="s">
        <v>74</v>
      </c>
      <c r="Q9" s="22">
        <f>SUM(LEN(_xlfn.TEXTJOIN(", ",TRUE,Table25[files '# to annotate]))-LEN(SUBSTITUTE(_xlfn.TEXTJOIN(", ",TRUE,Table25[files '# to annotate]),Table7[[#This Row],[file]],"")))/LEN(Table7[[#This Row],[file]])</f>
        <v>2</v>
      </c>
    </row>
    <row r="10" spans="1:17" x14ac:dyDescent="0.25">
      <c r="A10" t="s">
        <v>32</v>
      </c>
      <c r="C10" s="20" t="s">
        <v>75</v>
      </c>
      <c r="D10" t="s">
        <v>6</v>
      </c>
      <c r="E10">
        <v>6890</v>
      </c>
      <c r="F10">
        <v>1180</v>
      </c>
      <c r="G10">
        <f>5*60+43</f>
        <v>343</v>
      </c>
      <c r="H10">
        <f>Table14[[#This Row],[reading time '[s']]]*$E$1</f>
        <v>686</v>
      </c>
      <c r="I10" s="1">
        <f>Table14[[#This Row],[annotation time '[s']]]/60</f>
        <v>11.433333333333334</v>
      </c>
      <c r="J10"/>
      <c r="P10" s="20" t="s">
        <v>75</v>
      </c>
      <c r="Q10" s="22">
        <f>SUM(LEN(_xlfn.TEXTJOIN(", ",TRUE,Table25[files '# to annotate]))-LEN(SUBSTITUTE(_xlfn.TEXTJOIN(", ",TRUE,Table25[files '# to annotate]),Table7[[#This Row],[file]],"")))/LEN(Table7[[#This Row],[file]])</f>
        <v>1</v>
      </c>
    </row>
    <row r="11" spans="1:17" x14ac:dyDescent="0.25">
      <c r="A11" t="s">
        <v>30</v>
      </c>
      <c r="B11" t="s">
        <v>37</v>
      </c>
      <c r="C11" s="20" t="s">
        <v>76</v>
      </c>
      <c r="D11" t="s">
        <v>7</v>
      </c>
      <c r="E11">
        <v>11283</v>
      </c>
      <c r="F11">
        <v>2027</v>
      </c>
      <c r="G11">
        <f>10*60+0</f>
        <v>600</v>
      </c>
      <c r="H11">
        <f>Table14[[#This Row],[reading time '[s']]]*$E$1</f>
        <v>1200</v>
      </c>
      <c r="I11" s="1">
        <f>Table14[[#This Row],[annotation time '[s']]]/60</f>
        <v>20</v>
      </c>
      <c r="J11"/>
      <c r="P11" s="20" t="s">
        <v>76</v>
      </c>
      <c r="Q11" s="22">
        <f>SUM(LEN(_xlfn.TEXTJOIN(", ",TRUE,Table25[files '# to annotate]))-LEN(SUBSTITUTE(_xlfn.TEXTJOIN(", ",TRUE,Table25[files '# to annotate]),Table7[[#This Row],[file]],"")))/LEN(Table7[[#This Row],[file]])</f>
        <v>2</v>
      </c>
    </row>
    <row r="12" spans="1:17" x14ac:dyDescent="0.25">
      <c r="A12" t="s">
        <v>29</v>
      </c>
      <c r="C12" s="20" t="s">
        <v>77</v>
      </c>
      <c r="D12" t="s">
        <v>8</v>
      </c>
      <c r="E12">
        <v>6518</v>
      </c>
      <c r="F12">
        <v>1056</v>
      </c>
      <c r="G12">
        <f>5*60+7</f>
        <v>307</v>
      </c>
      <c r="H12">
        <f>Table14[[#This Row],[reading time '[s']]]*$E$1</f>
        <v>614</v>
      </c>
      <c r="I12" s="1">
        <f>Table14[[#This Row],[annotation time '[s']]]/60</f>
        <v>10.233333333333333</v>
      </c>
      <c r="J12"/>
      <c r="K12" s="22" t="s">
        <v>94</v>
      </c>
      <c r="L12" t="s">
        <v>93</v>
      </c>
      <c r="P12" s="20" t="s">
        <v>77</v>
      </c>
      <c r="Q12" s="22">
        <f>SUM(LEN(_xlfn.TEXTJOIN(", ",TRUE,Table25[files '# to annotate]))-LEN(SUBSTITUTE(_xlfn.TEXTJOIN(", ",TRUE,Table25[files '# to annotate]),Table7[[#This Row],[file]],"")))/LEN(Table7[[#This Row],[file]])</f>
        <v>1</v>
      </c>
    </row>
    <row r="13" spans="1:17" x14ac:dyDescent="0.25">
      <c r="A13" t="s">
        <v>38</v>
      </c>
      <c r="B13" t="s">
        <v>32</v>
      </c>
      <c r="C13" s="20" t="s">
        <v>78</v>
      </c>
      <c r="D13" t="s">
        <v>9</v>
      </c>
      <c r="E13">
        <v>5885</v>
      </c>
      <c r="F13">
        <v>885</v>
      </c>
      <c r="G13">
        <f>4*60+29</f>
        <v>269</v>
      </c>
      <c r="H13">
        <f>Table14[[#This Row],[reading time '[s']]]*$E$1</f>
        <v>538</v>
      </c>
      <c r="I13" s="1">
        <f>Table14[[#This Row],[annotation time '[s']]]/60</f>
        <v>8.9666666666666668</v>
      </c>
      <c r="J13"/>
      <c r="K13" s="22">
        <v>1</v>
      </c>
      <c r="L13" t="str" cm="1">
        <f t="array" ref="L13">_xlfn.TEXTJOIN(", ",TRUE,IF(Table7[]=Table8[[#This Row],[n annotations]],Table7[file],""))</f>
        <v>02, 04, 05, 07, 09, 11, 14, 16, 18, 20, 22, 24</v>
      </c>
      <c r="P13" s="20" t="s">
        <v>78</v>
      </c>
      <c r="Q13" s="22">
        <f>SUM(LEN(_xlfn.TEXTJOIN(", ",TRUE,Table25[files '# to annotate]))-LEN(SUBSTITUTE(_xlfn.TEXTJOIN(", ",TRUE,Table25[files '# to annotate]),Table7[[#This Row],[file]],"")))/LEN(Table7[[#This Row],[file]])</f>
        <v>2</v>
      </c>
    </row>
    <row r="14" spans="1:17" x14ac:dyDescent="0.25">
      <c r="A14" t="s">
        <v>30</v>
      </c>
      <c r="C14" s="20" t="s">
        <v>79</v>
      </c>
      <c r="D14" t="s">
        <v>10</v>
      </c>
      <c r="E14">
        <v>7162</v>
      </c>
      <c r="F14">
        <v>1320</v>
      </c>
      <c r="G14">
        <f>6*60+8</f>
        <v>368</v>
      </c>
      <c r="H14">
        <f>Table14[[#This Row],[reading time '[s']]]*$E$1</f>
        <v>736</v>
      </c>
      <c r="I14" s="1">
        <f>Table14[[#This Row],[annotation time '[s']]]/60</f>
        <v>12.266666666666667</v>
      </c>
      <c r="J14"/>
      <c r="K14" s="22">
        <v>2</v>
      </c>
      <c r="L14" t="str" cm="1">
        <f t="array" ref="L14">_xlfn.TEXTJOIN(", ",TRUE,IF(Table7[]=Table8[[#This Row],[n annotations]],Table7[file],""))</f>
        <v>01, 03, 06, 08, 10, 12, 13, 15, 17, 19, 21, 23</v>
      </c>
      <c r="P14" s="20" t="s">
        <v>79</v>
      </c>
      <c r="Q14" s="22">
        <f>SUM(LEN(_xlfn.TEXTJOIN(", ",TRUE,Table25[files '# to annotate]))-LEN(SUBSTITUTE(_xlfn.TEXTJOIN(", ",TRUE,Table25[files '# to annotate]),Table7[[#This Row],[file]],"")))/LEN(Table7[[#This Row],[file]])</f>
        <v>1</v>
      </c>
    </row>
    <row r="15" spans="1:17" x14ac:dyDescent="0.25">
      <c r="A15" t="s">
        <v>38</v>
      </c>
      <c r="B15" t="s">
        <v>32</v>
      </c>
      <c r="C15" s="20" t="s">
        <v>80</v>
      </c>
      <c r="D15" t="s">
        <v>11</v>
      </c>
      <c r="E15">
        <v>28628</v>
      </c>
      <c r="F15">
        <v>5093</v>
      </c>
      <c r="G15">
        <f>25*60+11</f>
        <v>1511</v>
      </c>
      <c r="H15">
        <f>Table14[[#This Row],[reading time '[s']]]*$E$1</f>
        <v>3022</v>
      </c>
      <c r="I15" s="1">
        <f>Table14[[#This Row],[annotation time '[s']]]/60</f>
        <v>50.366666666666667</v>
      </c>
      <c r="J15"/>
      <c r="P15" s="20" t="s">
        <v>80</v>
      </c>
      <c r="Q15" s="22">
        <f>SUM(LEN(_xlfn.TEXTJOIN(", ",TRUE,Table25[files '# to annotate]))-LEN(SUBSTITUTE(_xlfn.TEXTJOIN(", ",TRUE,Table25[files '# to annotate]),Table7[[#This Row],[file]],"")))/LEN(Table7[[#This Row],[file]])</f>
        <v>2</v>
      </c>
    </row>
    <row r="16" spans="1:17" x14ac:dyDescent="0.25">
      <c r="A16" t="s">
        <v>37</v>
      </c>
      <c r="B16" t="s">
        <v>29</v>
      </c>
      <c r="C16" s="20" t="s">
        <v>81</v>
      </c>
      <c r="D16" t="s">
        <v>12</v>
      </c>
      <c r="E16">
        <v>4945</v>
      </c>
      <c r="F16">
        <v>816</v>
      </c>
      <c r="G16">
        <f>3*60+54</f>
        <v>234</v>
      </c>
      <c r="H16">
        <f>Table14[[#This Row],[reading time '[s']]]*$E$1</f>
        <v>468</v>
      </c>
      <c r="I16" s="1">
        <f>Table14[[#This Row],[annotation time '[s']]]/60</f>
        <v>7.8</v>
      </c>
      <c r="J16"/>
      <c r="P16" s="20" t="s">
        <v>81</v>
      </c>
      <c r="Q16" s="23">
        <f>SUM(LEN(_xlfn.TEXTJOIN(", ",TRUE,Table25[files '# to annotate]))-LEN(SUBSTITUTE(_xlfn.TEXTJOIN(", ",TRUE,Table25[files '# to annotate]),Table7[[#This Row],[file]],"")))/LEN(Table7[[#This Row],[file]])</f>
        <v>2</v>
      </c>
    </row>
    <row r="17" spans="1:17" x14ac:dyDescent="0.25">
      <c r="A17" t="s">
        <v>37</v>
      </c>
      <c r="C17" s="20" t="s">
        <v>82</v>
      </c>
      <c r="D17" t="s">
        <v>13</v>
      </c>
      <c r="E17">
        <v>18319</v>
      </c>
      <c r="F17">
        <v>3087</v>
      </c>
      <c r="G17">
        <f>15*60+11</f>
        <v>911</v>
      </c>
      <c r="H17">
        <f>Table14[[#This Row],[reading time '[s']]]*$E$1</f>
        <v>1822</v>
      </c>
      <c r="I17" s="1">
        <f>Table14[[#This Row],[annotation time '[s']]]/60</f>
        <v>30.366666666666667</v>
      </c>
      <c r="J17"/>
      <c r="P17" s="20" t="s">
        <v>82</v>
      </c>
      <c r="Q17" s="23">
        <f>SUM(LEN(_xlfn.TEXTJOIN(", ",TRUE,Table25[files '# to annotate]))-LEN(SUBSTITUTE(_xlfn.TEXTJOIN(", ",TRUE,Table25[files '# to annotate]),Table7[[#This Row],[file]],"")))/LEN(Table7[[#This Row],[file]])</f>
        <v>1</v>
      </c>
    </row>
    <row r="18" spans="1:17" x14ac:dyDescent="0.25">
      <c r="A18" t="s">
        <v>32</v>
      </c>
      <c r="B18" t="s">
        <v>30</v>
      </c>
      <c r="C18" s="20" t="s">
        <v>83</v>
      </c>
      <c r="D18" t="s">
        <v>14</v>
      </c>
      <c r="E18">
        <v>7387</v>
      </c>
      <c r="F18">
        <v>1293</v>
      </c>
      <c r="G18">
        <f>6*60+0</f>
        <v>360</v>
      </c>
      <c r="H18">
        <f>Table14[[#This Row],[reading time '[s']]]*$E$1</f>
        <v>720</v>
      </c>
      <c r="I18" s="1">
        <f>Table14[[#This Row],[annotation time '[s']]]/60</f>
        <v>12</v>
      </c>
      <c r="J18"/>
      <c r="P18" s="20" t="s">
        <v>83</v>
      </c>
      <c r="Q18" s="23">
        <f>SUM(LEN(_xlfn.TEXTJOIN(", ",TRUE,Table25[files '# to annotate]))-LEN(SUBSTITUTE(_xlfn.TEXTJOIN(", ",TRUE,Table25[files '# to annotate]),Table7[[#This Row],[file]],"")))/LEN(Table7[[#This Row],[file]])</f>
        <v>2</v>
      </c>
    </row>
    <row r="19" spans="1:17" x14ac:dyDescent="0.25">
      <c r="A19" t="s">
        <v>31</v>
      </c>
      <c r="C19" s="20" t="s">
        <v>84</v>
      </c>
      <c r="D19" t="s">
        <v>15</v>
      </c>
      <c r="E19">
        <v>19034</v>
      </c>
      <c r="F19">
        <v>3781</v>
      </c>
      <c r="G19">
        <f>18*60+52</f>
        <v>1132</v>
      </c>
      <c r="H19">
        <f>Table14[[#This Row],[reading time '[s']]]*$E$1</f>
        <v>2264</v>
      </c>
      <c r="I19" s="1">
        <f>Table14[[#This Row],[annotation time '[s']]]/60</f>
        <v>37.733333333333334</v>
      </c>
      <c r="J19"/>
      <c r="P19" s="20" t="s">
        <v>84</v>
      </c>
      <c r="Q19" s="23">
        <f>SUM(LEN(_xlfn.TEXTJOIN(", ",TRUE,Table25[files '# to annotate]))-LEN(SUBSTITUTE(_xlfn.TEXTJOIN(", ",TRUE,Table25[files '# to annotate]),Table7[[#This Row],[file]],"")))/LEN(Table7[[#This Row],[file]])</f>
        <v>1</v>
      </c>
    </row>
    <row r="20" spans="1:17" x14ac:dyDescent="0.25">
      <c r="A20" t="s">
        <v>29</v>
      </c>
      <c r="B20" t="s">
        <v>31</v>
      </c>
      <c r="C20" s="20" t="s">
        <v>85</v>
      </c>
      <c r="D20" t="s">
        <v>16</v>
      </c>
      <c r="E20">
        <v>11992</v>
      </c>
      <c r="F20">
        <v>2205</v>
      </c>
      <c r="G20">
        <f>11*60+0</f>
        <v>660</v>
      </c>
      <c r="H20">
        <f>Table14[[#This Row],[reading time '[s']]]*$E$1</f>
        <v>1320</v>
      </c>
      <c r="I20" s="1">
        <f>Table14[[#This Row],[annotation time '[s']]]/60</f>
        <v>22</v>
      </c>
      <c r="J20"/>
      <c r="P20" s="20" t="s">
        <v>85</v>
      </c>
      <c r="Q20" s="23">
        <f>SUM(LEN(_xlfn.TEXTJOIN(", ",TRUE,Table25[files '# to annotate]))-LEN(SUBSTITUTE(_xlfn.TEXTJOIN(", ",TRUE,Table25[files '# to annotate]),Table7[[#This Row],[file]],"")))/LEN(Table7[[#This Row],[file]])</f>
        <v>2</v>
      </c>
    </row>
    <row r="21" spans="1:17" x14ac:dyDescent="0.25">
      <c r="A21" t="s">
        <v>29</v>
      </c>
      <c r="C21" s="20" t="s">
        <v>86</v>
      </c>
      <c r="D21" t="s">
        <v>17</v>
      </c>
      <c r="E21">
        <v>20920</v>
      </c>
      <c r="F21">
        <v>3767</v>
      </c>
      <c r="G21">
        <f>18*60+27</f>
        <v>1107</v>
      </c>
      <c r="H21">
        <f>Table14[[#This Row],[reading time '[s']]]*$E$1</f>
        <v>2214</v>
      </c>
      <c r="I21" s="1">
        <f>Table14[[#This Row],[annotation time '[s']]]/60</f>
        <v>36.9</v>
      </c>
      <c r="J21"/>
      <c r="P21" s="20" t="s">
        <v>86</v>
      </c>
      <c r="Q21" s="23">
        <f>SUM(LEN(_xlfn.TEXTJOIN(", ",TRUE,Table25[files '# to annotate]))-LEN(SUBSTITUTE(_xlfn.TEXTJOIN(", ",TRUE,Table25[files '# to annotate]),Table7[[#This Row],[file]],"")))/LEN(Table7[[#This Row],[file]])</f>
        <v>1</v>
      </c>
    </row>
    <row r="22" spans="1:17" x14ac:dyDescent="0.25">
      <c r="A22" t="s">
        <v>31</v>
      </c>
      <c r="B22" t="s">
        <v>37</v>
      </c>
      <c r="C22" s="20" t="s">
        <v>87</v>
      </c>
      <c r="D22" t="s">
        <v>18</v>
      </c>
      <c r="E22">
        <v>6613</v>
      </c>
      <c r="F22">
        <v>1203</v>
      </c>
      <c r="G22">
        <f>5*60+38</f>
        <v>338</v>
      </c>
      <c r="H22">
        <f>Table14[[#This Row],[reading time '[s']]]*$E$1</f>
        <v>676</v>
      </c>
      <c r="I22" s="1">
        <f>Table14[[#This Row],[annotation time '[s']]]/60</f>
        <v>11.266666666666667</v>
      </c>
      <c r="J22"/>
      <c r="P22" s="20" t="s">
        <v>87</v>
      </c>
      <c r="Q22" s="23">
        <f>SUM(LEN(_xlfn.TEXTJOIN(", ",TRUE,Table25[files '# to annotate]))-LEN(SUBSTITUTE(_xlfn.TEXTJOIN(", ",TRUE,Table25[files '# to annotate]),Table7[[#This Row],[file]],"")))/LEN(Table7[[#This Row],[file]])</f>
        <v>2</v>
      </c>
    </row>
    <row r="23" spans="1:17" x14ac:dyDescent="0.25">
      <c r="A23" t="s">
        <v>29</v>
      </c>
      <c r="C23" s="20" t="s">
        <v>88</v>
      </c>
      <c r="D23" t="s">
        <v>19</v>
      </c>
      <c r="E23">
        <v>6489</v>
      </c>
      <c r="F23">
        <v>1131</v>
      </c>
      <c r="G23">
        <f>5*60+15</f>
        <v>315</v>
      </c>
      <c r="H23">
        <f>Table14[[#This Row],[reading time '[s']]]*$E$1</f>
        <v>630</v>
      </c>
      <c r="I23" s="1">
        <f>Table14[[#This Row],[annotation time '[s']]]/60</f>
        <v>10.5</v>
      </c>
      <c r="J23"/>
      <c r="P23" s="20" t="s">
        <v>88</v>
      </c>
      <c r="Q23" s="23">
        <f>SUM(LEN(_xlfn.TEXTJOIN(", ",TRUE,Table25[files '# to annotate]))-LEN(SUBSTITUTE(_xlfn.TEXTJOIN(", ",TRUE,Table25[files '# to annotate]),Table7[[#This Row],[file]],"")))/LEN(Table7[[#This Row],[file]])</f>
        <v>1</v>
      </c>
    </row>
    <row r="24" spans="1:17" x14ac:dyDescent="0.25">
      <c r="A24" t="s">
        <v>32</v>
      </c>
      <c r="B24" t="s">
        <v>29</v>
      </c>
      <c r="C24" s="20" t="s">
        <v>89</v>
      </c>
      <c r="D24" t="s">
        <v>20</v>
      </c>
      <c r="E24">
        <v>16438</v>
      </c>
      <c r="F24">
        <v>3207</v>
      </c>
      <c r="G24">
        <f>15*60+59</f>
        <v>959</v>
      </c>
      <c r="H24">
        <f>Table14[[#This Row],[reading time '[s']]]*$E$1</f>
        <v>1918</v>
      </c>
      <c r="I24" s="1">
        <f>Table14[[#This Row],[annotation time '[s']]]/60</f>
        <v>31.966666666666665</v>
      </c>
      <c r="J24"/>
      <c r="P24" s="20" t="s">
        <v>89</v>
      </c>
      <c r="Q24" s="23">
        <f>SUM(LEN(_xlfn.TEXTJOIN(", ",TRUE,Table25[files '# to annotate]))-LEN(SUBSTITUTE(_xlfn.TEXTJOIN(", ",TRUE,Table25[files '# to annotate]),Table7[[#This Row],[file]],"")))/LEN(Table7[[#This Row],[file]])</f>
        <v>2</v>
      </c>
    </row>
    <row r="25" spans="1:17" x14ac:dyDescent="0.25">
      <c r="A25" t="s">
        <v>31</v>
      </c>
      <c r="C25" s="20" t="s">
        <v>90</v>
      </c>
      <c r="D25" t="s">
        <v>21</v>
      </c>
      <c r="E25">
        <v>20223</v>
      </c>
      <c r="F25">
        <v>3802</v>
      </c>
      <c r="G25">
        <f>18*60+36</f>
        <v>1116</v>
      </c>
      <c r="H25">
        <f>Table14[[#This Row],[reading time '[s']]]*$E$1</f>
        <v>2232</v>
      </c>
      <c r="I25" s="1">
        <f>Table14[[#This Row],[annotation time '[s']]]/60</f>
        <v>37.200000000000003</v>
      </c>
      <c r="J25"/>
      <c r="P25" s="20" t="s">
        <v>90</v>
      </c>
      <c r="Q25" s="23">
        <f>SUM(LEN(_xlfn.TEXTJOIN(", ",TRUE,Table25[files '# to annotate]))-LEN(SUBSTITUTE(_xlfn.TEXTJOIN(", ",TRUE,Table25[files '# to annotate]),Table7[[#This Row],[file]],"")))/LEN(Table7[[#This Row],[file]])</f>
        <v>1</v>
      </c>
    </row>
    <row r="26" spans="1:17" x14ac:dyDescent="0.25">
      <c r="A26" t="s">
        <v>31</v>
      </c>
      <c r="B26" t="s">
        <v>38</v>
      </c>
      <c r="C26" s="20" t="s">
        <v>91</v>
      </c>
      <c r="D26" t="s">
        <v>22</v>
      </c>
      <c r="E26">
        <v>3634</v>
      </c>
      <c r="F26">
        <v>618</v>
      </c>
      <c r="G26">
        <f>3*60+0</f>
        <v>180</v>
      </c>
      <c r="H26">
        <f>Table14[[#This Row],[reading time '[s']]]*$E$1</f>
        <v>360</v>
      </c>
      <c r="I26" s="1">
        <f>Table14[[#This Row],[annotation time '[s']]]/60</f>
        <v>6</v>
      </c>
      <c r="J26"/>
      <c r="P26" s="20" t="s">
        <v>91</v>
      </c>
      <c r="Q26" s="23">
        <f>SUM(LEN(_xlfn.TEXTJOIN(", ",TRUE,Table25[files '# to annotate]))-LEN(SUBSTITUTE(_xlfn.TEXTJOIN(", ",TRUE,Table25[files '# to annotate]),Table7[[#This Row],[file]],"")))/LEN(Table7[[#This Row],[file]])</f>
        <v>2</v>
      </c>
    </row>
    <row r="27" spans="1:17" x14ac:dyDescent="0.25">
      <c r="A27" t="s">
        <v>32</v>
      </c>
      <c r="C27" s="20" t="s">
        <v>92</v>
      </c>
      <c r="D27" t="s">
        <v>23</v>
      </c>
      <c r="E27">
        <v>4450</v>
      </c>
      <c r="F27">
        <v>761</v>
      </c>
      <c r="G27">
        <f>3*60+46</f>
        <v>226</v>
      </c>
      <c r="H27">
        <f>Table14[[#This Row],[reading time '[s']]]*$E$1</f>
        <v>452</v>
      </c>
      <c r="I27" s="1">
        <f>Table14[[#This Row],[annotation time '[s']]]/60</f>
        <v>7.5333333333333332</v>
      </c>
      <c r="J27"/>
      <c r="P27" s="20" t="s">
        <v>92</v>
      </c>
      <c r="Q27" s="23">
        <f>SUM(LEN(_xlfn.TEXTJOIN(", ",TRUE,Table25[files '# to annotate]))-LEN(SUBSTITUTE(_xlfn.TEXTJOIN(", ",TRUE,Table25[files '# to annotate]),Table7[[#This Row],[file]],"")))/LEN(Table7[[#This Row],[file]])</f>
        <v>1</v>
      </c>
    </row>
    <row r="29" spans="1:17" x14ac:dyDescent="0.25">
      <c r="A29" s="5" t="s">
        <v>58</v>
      </c>
      <c r="C29" s="1"/>
      <c r="J29"/>
      <c r="M29" s="1"/>
    </row>
    <row r="30" spans="1:17" x14ac:dyDescent="0.25">
      <c r="A30" s="6" t="s">
        <v>56</v>
      </c>
      <c r="B30" s="7" t="s">
        <v>45</v>
      </c>
      <c r="C30" s="8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9" t="s">
        <v>55</v>
      </c>
      <c r="M30" s="8" t="s">
        <v>61</v>
      </c>
    </row>
    <row r="31" spans="1:17" x14ac:dyDescent="0.25">
      <c r="A31" s="18"/>
      <c r="B31" s="11" t="s">
        <v>29</v>
      </c>
      <c r="C31" s="12" t="s">
        <v>37</v>
      </c>
      <c r="D31" s="12" t="s">
        <v>30</v>
      </c>
      <c r="E31" s="11" t="s">
        <v>38</v>
      </c>
      <c r="F31" s="11" t="s">
        <v>31</v>
      </c>
      <c r="G31" s="11" t="s">
        <v>32</v>
      </c>
      <c r="H31" s="11" t="s">
        <v>33</v>
      </c>
      <c r="I31" s="11" t="s">
        <v>59</v>
      </c>
      <c r="J31" s="11" t="s">
        <v>60</v>
      </c>
      <c r="K31" s="11" t="s">
        <v>34</v>
      </c>
      <c r="L31" s="13" t="s">
        <v>35</v>
      </c>
      <c r="M31" s="8" t="s">
        <v>36</v>
      </c>
    </row>
    <row r="32" spans="1:17" x14ac:dyDescent="0.25">
      <c r="A32" s="21" t="s">
        <v>69</v>
      </c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3"/>
      <c r="M32" s="12"/>
    </row>
    <row r="33" spans="1:13" x14ac:dyDescent="0.25">
      <c r="A33" s="21" t="s">
        <v>70</v>
      </c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3"/>
      <c r="M33" s="12"/>
    </row>
    <row r="34" spans="1:13" x14ac:dyDescent="0.25">
      <c r="A34" s="21" t="s">
        <v>71</v>
      </c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3"/>
      <c r="M34" s="12"/>
    </row>
    <row r="35" spans="1:13" x14ac:dyDescent="0.25">
      <c r="A35" s="21" t="s">
        <v>72</v>
      </c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3"/>
      <c r="M35" s="12"/>
    </row>
    <row r="36" spans="1:13" x14ac:dyDescent="0.25">
      <c r="A36" s="21" t="s">
        <v>73</v>
      </c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3"/>
      <c r="M36" s="12"/>
    </row>
    <row r="37" spans="1:13" x14ac:dyDescent="0.25">
      <c r="A37" s="21" t="s">
        <v>74</v>
      </c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3"/>
      <c r="M37" s="12"/>
    </row>
    <row r="38" spans="1:13" x14ac:dyDescent="0.25">
      <c r="A38" s="21" t="s">
        <v>75</v>
      </c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3"/>
      <c r="M38" s="12"/>
    </row>
    <row r="39" spans="1:13" x14ac:dyDescent="0.25">
      <c r="A39" s="21" t="s">
        <v>76</v>
      </c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3"/>
      <c r="M39" s="12"/>
    </row>
    <row r="40" spans="1:13" x14ac:dyDescent="0.25">
      <c r="A40" s="21" t="s">
        <v>77</v>
      </c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3"/>
      <c r="M40" s="12"/>
    </row>
    <row r="41" spans="1:13" x14ac:dyDescent="0.25">
      <c r="A41" s="21" t="s">
        <v>78</v>
      </c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3"/>
      <c r="M41" s="12"/>
    </row>
    <row r="42" spans="1:13" x14ac:dyDescent="0.25">
      <c r="A42" s="21" t="s">
        <v>79</v>
      </c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3"/>
      <c r="M42" s="12"/>
    </row>
    <row r="43" spans="1:13" x14ac:dyDescent="0.25">
      <c r="A43" s="21" t="s">
        <v>80</v>
      </c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3"/>
      <c r="M43" s="12"/>
    </row>
    <row r="44" spans="1:13" x14ac:dyDescent="0.25">
      <c r="A44" s="21" t="s">
        <v>81</v>
      </c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3"/>
      <c r="M44" s="12"/>
    </row>
    <row r="45" spans="1:13" x14ac:dyDescent="0.25">
      <c r="A45" s="21" t="s">
        <v>82</v>
      </c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3"/>
      <c r="M45" s="12"/>
    </row>
    <row r="46" spans="1:13" x14ac:dyDescent="0.25">
      <c r="A46" s="21" t="s">
        <v>83</v>
      </c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3"/>
      <c r="M46" s="12"/>
    </row>
    <row r="47" spans="1:13" x14ac:dyDescent="0.25">
      <c r="A47" s="21" t="s">
        <v>84</v>
      </c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3"/>
      <c r="M47" s="12"/>
    </row>
    <row r="48" spans="1:13" x14ac:dyDescent="0.25">
      <c r="A48" s="21" t="s">
        <v>85</v>
      </c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3"/>
      <c r="M48" s="12"/>
    </row>
    <row r="49" spans="1:13" x14ac:dyDescent="0.25">
      <c r="A49" s="21" t="s">
        <v>86</v>
      </c>
      <c r="B49" s="11"/>
      <c r="C49" s="11"/>
      <c r="D49" s="12"/>
      <c r="E49" s="11"/>
      <c r="F49" s="11"/>
      <c r="G49" s="11"/>
      <c r="H49" s="11"/>
      <c r="I49" s="11"/>
      <c r="J49" s="11"/>
      <c r="K49" s="11"/>
      <c r="L49" s="13"/>
      <c r="M49" s="12"/>
    </row>
    <row r="50" spans="1:13" x14ac:dyDescent="0.25">
      <c r="A50" s="21" t="s">
        <v>87</v>
      </c>
      <c r="B50" s="11"/>
      <c r="C50" s="11"/>
      <c r="D50" s="12"/>
      <c r="E50" s="11"/>
      <c r="F50" s="11"/>
      <c r="G50" s="11"/>
      <c r="H50" s="11"/>
      <c r="I50" s="11"/>
      <c r="J50" s="11"/>
      <c r="K50" s="11"/>
      <c r="L50" s="13"/>
      <c r="M50" s="12"/>
    </row>
    <row r="51" spans="1:13" x14ac:dyDescent="0.25">
      <c r="A51" s="21" t="s">
        <v>88</v>
      </c>
      <c r="B51" s="11"/>
      <c r="C51" s="11"/>
      <c r="D51" s="12"/>
      <c r="E51" s="11"/>
      <c r="F51" s="11"/>
      <c r="G51" s="11"/>
      <c r="H51" s="11"/>
      <c r="I51" s="11"/>
      <c r="J51" s="11"/>
      <c r="K51" s="11"/>
      <c r="L51" s="13"/>
      <c r="M51" s="12"/>
    </row>
    <row r="52" spans="1:13" x14ac:dyDescent="0.25">
      <c r="A52" s="21" t="s">
        <v>89</v>
      </c>
      <c r="B52" s="11"/>
      <c r="C52" s="11"/>
      <c r="D52" s="12"/>
      <c r="E52" s="11"/>
      <c r="F52" s="11"/>
      <c r="G52" s="11"/>
      <c r="H52" s="11"/>
      <c r="I52" s="11"/>
      <c r="J52" s="11"/>
      <c r="K52" s="11"/>
      <c r="L52" s="13"/>
      <c r="M52" s="12"/>
    </row>
    <row r="53" spans="1:13" x14ac:dyDescent="0.25">
      <c r="A53" s="21" t="s">
        <v>90</v>
      </c>
      <c r="B53" s="11"/>
      <c r="C53" s="11"/>
      <c r="D53" s="12"/>
      <c r="E53" s="11"/>
      <c r="F53" s="11"/>
      <c r="G53" s="11"/>
      <c r="H53" s="11"/>
      <c r="I53" s="11"/>
      <c r="J53" s="11"/>
      <c r="K53" s="11"/>
      <c r="L53" s="13"/>
      <c r="M53" s="12"/>
    </row>
    <row r="54" spans="1:13" x14ac:dyDescent="0.25">
      <c r="A54" s="21" t="s">
        <v>91</v>
      </c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3"/>
      <c r="M54" s="12"/>
    </row>
    <row r="55" spans="1:13" x14ac:dyDescent="0.25">
      <c r="A55" s="21" t="s">
        <v>92</v>
      </c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7"/>
      <c r="M55" s="16"/>
    </row>
  </sheetData>
  <phoneticPr fontId="2" type="noConversion"/>
  <pageMargins left="0.7" right="0.7" top="0.75" bottom="0.75" header="0.3" footer="0.3"/>
  <pageSetup paperSize="2833" orientation="portrait" horizontalDpi="180" verticalDpi="18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EC7F-80F1-4913-9BC0-05CC59ACF558}">
  <dimension ref="A1:B36"/>
  <sheetViews>
    <sheetView workbookViewId="0">
      <selection activeCell="F20" sqref="F20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6</v>
      </c>
      <c r="B9">
        <v>6</v>
      </c>
    </row>
    <row r="10" spans="1:2" x14ac:dyDescent="0.25">
      <c r="A10">
        <v>7</v>
      </c>
    </row>
    <row r="11" spans="1:2" x14ac:dyDescent="0.25">
      <c r="A11">
        <v>8</v>
      </c>
    </row>
    <row r="12" spans="1:2" x14ac:dyDescent="0.25">
      <c r="A12">
        <v>8</v>
      </c>
      <c r="B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</row>
    <row r="17" spans="1:2" x14ac:dyDescent="0.25">
      <c r="A17">
        <v>12</v>
      </c>
    </row>
    <row r="18" spans="1:2" x14ac:dyDescent="0.25">
      <c r="A18">
        <v>12</v>
      </c>
      <c r="B18">
        <v>12</v>
      </c>
    </row>
    <row r="19" spans="1:2" x14ac:dyDescent="0.25">
      <c r="A19">
        <v>13</v>
      </c>
    </row>
    <row r="20" spans="1:2" x14ac:dyDescent="0.25">
      <c r="A20">
        <v>13</v>
      </c>
      <c r="B20">
        <v>13</v>
      </c>
    </row>
    <row r="21" spans="1:2" x14ac:dyDescent="0.25">
      <c r="A21">
        <v>14</v>
      </c>
    </row>
    <row r="22" spans="1:2" x14ac:dyDescent="0.25">
      <c r="A22">
        <v>15</v>
      </c>
    </row>
    <row r="23" spans="1:2" x14ac:dyDescent="0.25">
      <c r="A23">
        <v>15</v>
      </c>
      <c r="B23">
        <v>15</v>
      </c>
    </row>
    <row r="24" spans="1:2" x14ac:dyDescent="0.25">
      <c r="A24">
        <v>16</v>
      </c>
    </row>
    <row r="25" spans="1:2" x14ac:dyDescent="0.25">
      <c r="A25">
        <v>17</v>
      </c>
    </row>
    <row r="26" spans="1:2" x14ac:dyDescent="0.25">
      <c r="A26">
        <v>17</v>
      </c>
      <c r="B26">
        <v>17</v>
      </c>
    </row>
    <row r="27" spans="1:2" x14ac:dyDescent="0.25">
      <c r="A27">
        <v>18</v>
      </c>
    </row>
    <row r="28" spans="1:2" x14ac:dyDescent="0.25">
      <c r="A28">
        <v>19</v>
      </c>
    </row>
    <row r="29" spans="1:2" x14ac:dyDescent="0.25">
      <c r="A29">
        <v>19</v>
      </c>
      <c r="B29">
        <v>19</v>
      </c>
    </row>
    <row r="30" spans="1:2" x14ac:dyDescent="0.25">
      <c r="A30">
        <v>20</v>
      </c>
    </row>
    <row r="31" spans="1:2" x14ac:dyDescent="0.25">
      <c r="A31">
        <v>21</v>
      </c>
    </row>
    <row r="32" spans="1:2" x14ac:dyDescent="0.25">
      <c r="A32">
        <v>21</v>
      </c>
      <c r="B32">
        <v>21</v>
      </c>
    </row>
    <row r="33" spans="1:2" x14ac:dyDescent="0.25">
      <c r="A33">
        <v>22</v>
      </c>
    </row>
    <row r="34" spans="1:2" x14ac:dyDescent="0.25">
      <c r="A34">
        <v>23</v>
      </c>
    </row>
    <row r="35" spans="1:2" x14ac:dyDescent="0.25">
      <c r="A35">
        <v>23</v>
      </c>
      <c r="B35">
        <v>23</v>
      </c>
    </row>
    <row r="36" spans="1:2" x14ac:dyDescent="0.25">
      <c r="A36">
        <v>24</v>
      </c>
    </row>
  </sheetData>
  <sortState xmlns:xlrd2="http://schemas.microsoft.com/office/spreadsheetml/2017/richdata2" ref="A1:A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 1</vt:lpstr>
      <vt:lpstr>annotation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2022-08-26T14:43:10Z</dcterms:created>
  <dcterms:modified xsi:type="dcterms:W3CDTF">2022-08-29T13:15:28Z</dcterms:modified>
</cp:coreProperties>
</file>