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7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8.xml" ContentType="application/vnd.openxmlformats-officedocument.spreadsheetml.comments+xml"/>
  <Override PartName="/xl/threadedComments/threadedComment1.xml" ContentType="application/vnd.ms-excel.threadedcomments+xml"/>
  <Override PartName="/xl/comments9.xml" ContentType="application/vnd.openxmlformats-officedocument.spreadsheetml.comments+xml"/>
  <Override PartName="/xl/drawings/drawing5.xml" ContentType="application/vnd.openxmlformats-officedocument.drawing+xml"/>
  <Override PartName="/xl/comments10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11.xml" ContentType="application/vnd.openxmlformats-officedocument.spreadsheetml.comments+xml"/>
  <Override PartName="/xl/drawings/drawing6.xml" ContentType="application/vnd.openxmlformats-officedocument.drawing+xml"/>
  <Override PartName="/xl/comments12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omments13.xml" ContentType="application/vnd.openxmlformats-officedocument.spreadsheetml.comments+xml"/>
  <Override PartName="/xl/threadedComments/threadedComment2.xml" ContentType="application/vnd.ms-excel.threaded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threadedComments/threadedComment3.xml" ContentType="application/vnd.ms-excel.threaded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drawings/drawing7.xml" ContentType="application/vnd.openxmlformats-officedocument.drawing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threadedComments/threadedComment4.xml" ContentType="application/vnd.ms-excel.threadedcomments+xml"/>
  <Override PartName="/xl/drawings/drawing8.xml" ContentType="application/vnd.openxmlformats-officedocument.drawing+xml"/>
  <Override PartName="/xl/comments30.xml" ContentType="application/vnd.openxmlformats-officedocument.spreadsheetml.comment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omments31.xml" ContentType="application/vnd.openxmlformats-officedocument.spreadsheetml.comment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5141a47629328be6/Work ^0 Projects/Gender/Global veterinary gender demography/"/>
    </mc:Choice>
  </mc:AlternateContent>
  <xr:revisionPtr revIDLastSave="2479" documentId="11_FDDAB5BD0D7DA822D103CD0789C68BA0AB371B9B" xr6:coauthVersionLast="47" xr6:coauthVersionMax="47" xr10:uidLastSave="{E97228DB-642B-4CA1-B3B0-736BB3C65853}"/>
  <bookViews>
    <workbookView xWindow="-108" yWindow="-108" windowWidth="23256" windowHeight="12456" tabRatio="880" xr2:uid="{00000000-000D-0000-FFFF-FFFF00000000}"/>
  </bookViews>
  <sheets>
    <sheet name="pro" sheetId="44" r:id="rId1"/>
    <sheet name="stu" sheetId="42" r:id="rId2"/>
    <sheet name="dz" sheetId="24" r:id="rId3"/>
    <sheet name="ar" sheetId="40" r:id="rId4"/>
    <sheet name="au" sheetId="12" r:id="rId5"/>
    <sheet name="at" sheetId="14" r:id="rId6"/>
    <sheet name="be" sheetId="20" r:id="rId7"/>
    <sheet name="br" sheetId="25" r:id="rId8"/>
    <sheet name="ca" sheetId="7" r:id="rId9"/>
    <sheet name="cd" sheetId="58" r:id="rId10"/>
    <sheet name="co" sheetId="33" r:id="rId11"/>
    <sheet name="hr" sheetId="16" r:id="rId12"/>
    <sheet name="cz" sheetId="45" r:id="rId13"/>
    <sheet name="dk" sheetId="26" r:id="rId14"/>
    <sheet name="ee" sheetId="46" r:id="rId15"/>
    <sheet name="fi" sheetId="28" r:id="rId16"/>
    <sheet name="fr" sheetId="11" r:id="rId17"/>
    <sheet name="de" sheetId="6" r:id="rId18"/>
    <sheet name="gt" sheetId="43" r:id="rId19"/>
    <sheet name="hu" sheetId="36" r:id="rId20"/>
    <sheet name="is" sheetId="47" r:id="rId21"/>
    <sheet name="ir" sheetId="37" r:id="rId22"/>
    <sheet name="iq" sheetId="57" r:id="rId23"/>
    <sheet name="ie" sheetId="56" r:id="rId24"/>
    <sheet name="it" sheetId="15" r:id="rId25"/>
    <sheet name="jp" sheetId="9" r:id="rId26"/>
    <sheet name="ke" sheetId="39" r:id="rId27"/>
    <sheet name="kg" sheetId="41" r:id="rId28"/>
    <sheet name="lv" sheetId="48" r:id="rId29"/>
    <sheet name="lt" sheetId="23" r:id="rId30"/>
    <sheet name="lx" sheetId="49" r:id="rId31"/>
    <sheet name="mx" sheetId="34" r:id="rId32"/>
    <sheet name="mz" sheetId="21" r:id="rId33"/>
    <sheet name="nl" sheetId="30" r:id="rId34"/>
    <sheet name="nz" sheetId="13" r:id="rId35"/>
    <sheet name="mk" sheetId="50" r:id="rId36"/>
    <sheet name="no" sheetId="27" r:id="rId37"/>
    <sheet name="pl" sheetId="38" r:id="rId38"/>
    <sheet name="pt" sheetId="52" r:id="rId39"/>
    <sheet name="ro" sheetId="53" r:id="rId40"/>
    <sheet name="ru" sheetId="54" r:id="rId41"/>
    <sheet name="rs" sheetId="32" r:id="rId42"/>
    <sheet name="sk" sheetId="35" r:id="rId43"/>
    <sheet name="si" sheetId="55" r:id="rId44"/>
    <sheet name="za" sheetId="19" r:id="rId45"/>
    <sheet name="kr" sheetId="8" r:id="rId46"/>
    <sheet name="es" sheetId="31" r:id="rId47"/>
    <sheet name="se" sheetId="29" r:id="rId48"/>
    <sheet name="ch" sheetId="4" r:id="rId49"/>
    <sheet name="tr" sheetId="18" r:id="rId50"/>
    <sheet name="ug" sheetId="22" r:id="rId51"/>
    <sheet name="gb" sheetId="10" r:id="rId52"/>
    <sheet name="us" sheetId="5" r:id="rId53"/>
    <sheet name="Master Data (old)" sheetId="2" r:id="rId5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73" i="44" l="1"/>
  <c r="AR71" i="44"/>
  <c r="AR72" i="44"/>
  <c r="AR73" i="44"/>
  <c r="AR74" i="44"/>
  <c r="AR75" i="44"/>
  <c r="AR76" i="44"/>
  <c r="AR77" i="44"/>
  <c r="AR4" i="44"/>
  <c r="AR5" i="44"/>
  <c r="AR6" i="44"/>
  <c r="AR7" i="44"/>
  <c r="AR8" i="44"/>
  <c r="AR9" i="44"/>
  <c r="AR10" i="44"/>
  <c r="AR11" i="44"/>
  <c r="AR12" i="44"/>
  <c r="AR13" i="44"/>
  <c r="AR14" i="44"/>
  <c r="AR15" i="44"/>
  <c r="AR16" i="44"/>
  <c r="AR17" i="44"/>
  <c r="AR18" i="44"/>
  <c r="AR19" i="44"/>
  <c r="AR20" i="44"/>
  <c r="AR21" i="44"/>
  <c r="AR22" i="44"/>
  <c r="AR23" i="44"/>
  <c r="AR24" i="44"/>
  <c r="AR25" i="44"/>
  <c r="AR26" i="44"/>
  <c r="AR27" i="44"/>
  <c r="AR28" i="44"/>
  <c r="AR29" i="44"/>
  <c r="AR30" i="44"/>
  <c r="AR31" i="44"/>
  <c r="AR32" i="44"/>
  <c r="AR33" i="44"/>
  <c r="AR34" i="44"/>
  <c r="AR35" i="44"/>
  <c r="AR36" i="44"/>
  <c r="AR37" i="44"/>
  <c r="AR38" i="44"/>
  <c r="AR39" i="44"/>
  <c r="AR40" i="44"/>
  <c r="AR41" i="44"/>
  <c r="AR42" i="44"/>
  <c r="AR43" i="44"/>
  <c r="AR44" i="44"/>
  <c r="AR45" i="44"/>
  <c r="AR46" i="44"/>
  <c r="AR47" i="44"/>
  <c r="AR48" i="44"/>
  <c r="AR49" i="44"/>
  <c r="AR50" i="44"/>
  <c r="AR51" i="44"/>
  <c r="AR52" i="44"/>
  <c r="AR53" i="44"/>
  <c r="AR54" i="44"/>
  <c r="AR55" i="44"/>
  <c r="AR56" i="44"/>
  <c r="AR57" i="44"/>
  <c r="AR58" i="44"/>
  <c r="AR59" i="44"/>
  <c r="AR60" i="44"/>
  <c r="AR61" i="44"/>
  <c r="AR62" i="44"/>
  <c r="AR63" i="44"/>
  <c r="AR64" i="44"/>
  <c r="AR65" i="44"/>
  <c r="AR66" i="44"/>
  <c r="AR67" i="44"/>
  <c r="AR68" i="44"/>
  <c r="AR69" i="44"/>
  <c r="AR70" i="44"/>
  <c r="AR78" i="44"/>
  <c r="AR79" i="44"/>
  <c r="AR80" i="44"/>
  <c r="AR81" i="44"/>
  <c r="AR82" i="44"/>
  <c r="AR83" i="44"/>
  <c r="AR3" i="44"/>
  <c r="N4" i="44"/>
  <c r="N5" i="44"/>
  <c r="N6" i="44"/>
  <c r="N7" i="44"/>
  <c r="N8" i="44"/>
  <c r="N9" i="44"/>
  <c r="N10" i="44"/>
  <c r="N11" i="44"/>
  <c r="N12" i="44"/>
  <c r="N13" i="44"/>
  <c r="N14" i="44"/>
  <c r="N15" i="44"/>
  <c r="N16" i="44"/>
  <c r="N17" i="44"/>
  <c r="N18" i="44"/>
  <c r="N19" i="44"/>
  <c r="N20" i="44"/>
  <c r="N21" i="44"/>
  <c r="N22" i="44"/>
  <c r="N23" i="44"/>
  <c r="N24" i="44"/>
  <c r="N25" i="44"/>
  <c r="N26" i="44"/>
  <c r="N27" i="44"/>
  <c r="N28" i="44"/>
  <c r="N29" i="44"/>
  <c r="N30" i="44"/>
  <c r="N31" i="44"/>
  <c r="N32" i="44"/>
  <c r="N33" i="44"/>
  <c r="N34" i="44"/>
  <c r="N35" i="44"/>
  <c r="N36" i="44"/>
  <c r="N37" i="44"/>
  <c r="N38" i="44"/>
  <c r="N39" i="44"/>
  <c r="N40" i="44"/>
  <c r="N41" i="44"/>
  <c r="N42" i="44"/>
  <c r="N43" i="44"/>
  <c r="N44" i="44"/>
  <c r="N45" i="44"/>
  <c r="N46" i="44"/>
  <c r="N47" i="44"/>
  <c r="N48" i="44"/>
  <c r="N49" i="44"/>
  <c r="N50" i="44"/>
  <c r="N51" i="44"/>
  <c r="N52" i="44"/>
  <c r="N53" i="44"/>
  <c r="N54" i="44"/>
  <c r="N55" i="44"/>
  <c r="N56" i="44"/>
  <c r="N57" i="44"/>
  <c r="N58" i="44"/>
  <c r="N59" i="44"/>
  <c r="N60" i="44"/>
  <c r="N61" i="44"/>
  <c r="N62" i="44"/>
  <c r="N63" i="44"/>
  <c r="N64" i="44"/>
  <c r="N65" i="44"/>
  <c r="N66" i="44"/>
  <c r="N67" i="44"/>
  <c r="N68" i="44"/>
  <c r="N69" i="44"/>
  <c r="N70" i="44"/>
  <c r="N71" i="44"/>
  <c r="N72" i="44"/>
  <c r="N74" i="44"/>
  <c r="N75" i="44"/>
  <c r="N76" i="44"/>
  <c r="N77" i="44"/>
  <c r="N78" i="44"/>
  <c r="N79" i="44"/>
  <c r="N80" i="44"/>
  <c r="N81" i="44"/>
  <c r="N82" i="44"/>
  <c r="N83" i="44"/>
  <c r="N3" i="44"/>
  <c r="H8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3" i="44"/>
  <c r="H24" i="44"/>
  <c r="H25" i="44"/>
  <c r="H26" i="44"/>
  <c r="H27" i="44"/>
  <c r="H28" i="44"/>
  <c r="H29" i="44"/>
  <c r="H30" i="44"/>
  <c r="H31" i="44"/>
  <c r="H32" i="44"/>
  <c r="H33" i="44"/>
  <c r="H34" i="44"/>
  <c r="H35" i="44"/>
  <c r="H36" i="44"/>
  <c r="H37" i="44"/>
  <c r="H38" i="44"/>
  <c r="H39" i="44"/>
  <c r="H40" i="44"/>
  <c r="H41" i="44"/>
  <c r="H42" i="44"/>
  <c r="H43" i="44"/>
  <c r="H44" i="44"/>
  <c r="H45" i="44"/>
  <c r="H46" i="44"/>
  <c r="H47" i="44"/>
  <c r="H48" i="44"/>
  <c r="H49" i="44"/>
  <c r="H50" i="44"/>
  <c r="H51" i="44"/>
  <c r="H52" i="44"/>
  <c r="H53" i="44"/>
  <c r="H54" i="44"/>
  <c r="H55" i="44"/>
  <c r="H56" i="44"/>
  <c r="H57" i="44"/>
  <c r="H58" i="44"/>
  <c r="H59" i="44"/>
  <c r="H60" i="44"/>
  <c r="H61" i="44"/>
  <c r="H62" i="44"/>
  <c r="H63" i="44"/>
  <c r="H64" i="44"/>
  <c r="H65" i="44"/>
  <c r="H66" i="44"/>
  <c r="H67" i="44"/>
  <c r="H68" i="44"/>
  <c r="H69" i="44"/>
  <c r="H70" i="44"/>
  <c r="H71" i="44"/>
  <c r="H72" i="44"/>
  <c r="H73" i="44"/>
  <c r="H74" i="44"/>
  <c r="H75" i="44"/>
  <c r="H76" i="44"/>
  <c r="H77" i="44"/>
  <c r="H78" i="44"/>
  <c r="H79" i="44"/>
  <c r="H80" i="44"/>
  <c r="H81" i="44"/>
  <c r="H82" i="44"/>
  <c r="H3" i="44"/>
  <c r="H71" i="31"/>
  <c r="AH4" i="42"/>
  <c r="AH5" i="42"/>
  <c r="AH6" i="42"/>
  <c r="AH7" i="42"/>
  <c r="AH8" i="42"/>
  <c r="AH9" i="42"/>
  <c r="AH10" i="42"/>
  <c r="AH11" i="42"/>
  <c r="AH12" i="42"/>
  <c r="AH13" i="42"/>
  <c r="AH14" i="42"/>
  <c r="AH15" i="42"/>
  <c r="AH16" i="42"/>
  <c r="AH17" i="42"/>
  <c r="AH18" i="42"/>
  <c r="AH19" i="42"/>
  <c r="AH20" i="42"/>
  <c r="AH21" i="42"/>
  <c r="AH22" i="42"/>
  <c r="AH23" i="42"/>
  <c r="AH24" i="42"/>
  <c r="AH25" i="42"/>
  <c r="AH26" i="42"/>
  <c r="AH27" i="42"/>
  <c r="AH28" i="42"/>
  <c r="AH29" i="42"/>
  <c r="AH30" i="42"/>
  <c r="AH31" i="42"/>
  <c r="AH32" i="42"/>
  <c r="AH33" i="42"/>
  <c r="AH34" i="42"/>
  <c r="AH35" i="42"/>
  <c r="AH36" i="42"/>
  <c r="AH37" i="42"/>
  <c r="AH38" i="42"/>
  <c r="AH39" i="42"/>
  <c r="AH40" i="42"/>
  <c r="AH41" i="42"/>
  <c r="AH42" i="42"/>
  <c r="AH43" i="42"/>
  <c r="AH44" i="42"/>
  <c r="AH45" i="42"/>
  <c r="AH46" i="42"/>
  <c r="AH47" i="42"/>
  <c r="AH48" i="42"/>
  <c r="AH49" i="42"/>
  <c r="AH50" i="42"/>
  <c r="AH51" i="42"/>
  <c r="AH52" i="42"/>
  <c r="AH53" i="42"/>
  <c r="AH54" i="42"/>
  <c r="AH55" i="42"/>
  <c r="AH56" i="42"/>
  <c r="AH57" i="42"/>
  <c r="AH58" i="42"/>
  <c r="AH59" i="42"/>
  <c r="AH60" i="42"/>
  <c r="AH61" i="42"/>
  <c r="AH62" i="42"/>
  <c r="AH63" i="42"/>
  <c r="AH64" i="42"/>
  <c r="AH65" i="42"/>
  <c r="AH66" i="42"/>
  <c r="AH67" i="42"/>
  <c r="AH68" i="42"/>
  <c r="AH69" i="42"/>
  <c r="AH70" i="42"/>
  <c r="AH71" i="42"/>
  <c r="AH72" i="42"/>
  <c r="AH73" i="42"/>
  <c r="AH74" i="42"/>
  <c r="AH75" i="42"/>
  <c r="AH76" i="42"/>
  <c r="AH77" i="42"/>
  <c r="AH78" i="42"/>
  <c r="AH79" i="42"/>
  <c r="AH80" i="42"/>
  <c r="AH81" i="42"/>
  <c r="AH82" i="42"/>
  <c r="AH83" i="42"/>
  <c r="AH84" i="42"/>
  <c r="AH85" i="42"/>
  <c r="AH86" i="42"/>
  <c r="AH87" i="42"/>
  <c r="AH88" i="42"/>
  <c r="AH89" i="42"/>
  <c r="AH90" i="42"/>
  <c r="AH91" i="42"/>
  <c r="AH92" i="42"/>
  <c r="AH93" i="42"/>
  <c r="AH94" i="42"/>
  <c r="AH3" i="42"/>
  <c r="P4" i="42"/>
  <c r="P5" i="42"/>
  <c r="P6" i="42"/>
  <c r="P7" i="42"/>
  <c r="P8" i="42"/>
  <c r="P9" i="42"/>
  <c r="P10" i="42"/>
  <c r="P11" i="42"/>
  <c r="P12" i="42"/>
  <c r="P13" i="42"/>
  <c r="P14" i="42"/>
  <c r="P15" i="42"/>
  <c r="P16" i="42"/>
  <c r="P17" i="42"/>
  <c r="P18" i="42"/>
  <c r="P19" i="42"/>
  <c r="P20" i="42"/>
  <c r="P21" i="42"/>
  <c r="P22" i="42"/>
  <c r="P23" i="42"/>
  <c r="P24" i="42"/>
  <c r="P25" i="42"/>
  <c r="P26" i="42"/>
  <c r="P27" i="42"/>
  <c r="P28" i="42"/>
  <c r="P29" i="42"/>
  <c r="P30" i="42"/>
  <c r="P31" i="42"/>
  <c r="P32" i="42"/>
  <c r="P33" i="42"/>
  <c r="P34" i="42"/>
  <c r="P35" i="42"/>
  <c r="P36" i="42"/>
  <c r="P37" i="42"/>
  <c r="P38" i="42"/>
  <c r="P39" i="42"/>
  <c r="P40" i="42"/>
  <c r="P41" i="42"/>
  <c r="P42" i="42"/>
  <c r="P43" i="42"/>
  <c r="P44" i="42"/>
  <c r="P45" i="42"/>
  <c r="P46" i="42"/>
  <c r="P47" i="42"/>
  <c r="P48" i="42"/>
  <c r="P49" i="42"/>
  <c r="P50" i="42"/>
  <c r="P51" i="42"/>
  <c r="P52" i="42"/>
  <c r="P53" i="42"/>
  <c r="P54" i="42"/>
  <c r="P55" i="42"/>
  <c r="P56" i="42"/>
  <c r="P57" i="42"/>
  <c r="P58" i="42"/>
  <c r="P59" i="42"/>
  <c r="P60" i="42"/>
  <c r="P61" i="42"/>
  <c r="P62" i="42"/>
  <c r="P63" i="42"/>
  <c r="P64" i="42"/>
  <c r="P65" i="42"/>
  <c r="P66" i="42"/>
  <c r="P67" i="42"/>
  <c r="P68" i="42"/>
  <c r="P69" i="42"/>
  <c r="P70" i="42"/>
  <c r="P71" i="42"/>
  <c r="P72" i="42"/>
  <c r="P73" i="42"/>
  <c r="P74" i="42"/>
  <c r="P75" i="42"/>
  <c r="P76" i="42"/>
  <c r="P77" i="42"/>
  <c r="P78" i="42"/>
  <c r="P79" i="42"/>
  <c r="P80" i="42"/>
  <c r="P81" i="42"/>
  <c r="P82" i="42"/>
  <c r="P83" i="42"/>
  <c r="P84" i="42"/>
  <c r="P85" i="42"/>
  <c r="P86" i="42"/>
  <c r="P87" i="42"/>
  <c r="P88" i="42"/>
  <c r="P89" i="42"/>
  <c r="P90" i="42"/>
  <c r="P91" i="42"/>
  <c r="P92" i="42"/>
  <c r="P93" i="42"/>
  <c r="P94" i="42"/>
  <c r="P3" i="42"/>
  <c r="M4" i="42"/>
  <c r="M5" i="42"/>
  <c r="M6" i="42"/>
  <c r="M7" i="42"/>
  <c r="M8" i="42"/>
  <c r="M9" i="42"/>
  <c r="M10" i="42"/>
  <c r="M11" i="42"/>
  <c r="M12" i="42"/>
  <c r="M13" i="42"/>
  <c r="M14" i="42"/>
  <c r="M15" i="42"/>
  <c r="M16" i="42"/>
  <c r="M17" i="42"/>
  <c r="M18" i="42"/>
  <c r="M19" i="42"/>
  <c r="M20" i="42"/>
  <c r="M21" i="42"/>
  <c r="M22" i="42"/>
  <c r="M23" i="42"/>
  <c r="M24" i="42"/>
  <c r="M25" i="42"/>
  <c r="M26" i="42"/>
  <c r="M27" i="42"/>
  <c r="M28" i="42"/>
  <c r="M29" i="42"/>
  <c r="M30" i="42"/>
  <c r="M31" i="42"/>
  <c r="M32" i="42"/>
  <c r="M33" i="42"/>
  <c r="M34" i="42"/>
  <c r="M35" i="42"/>
  <c r="M36" i="42"/>
  <c r="M37" i="42"/>
  <c r="M38" i="42"/>
  <c r="M39" i="42"/>
  <c r="M40" i="42"/>
  <c r="M41" i="42"/>
  <c r="M42" i="42"/>
  <c r="M43" i="42"/>
  <c r="M44" i="42"/>
  <c r="M45" i="42"/>
  <c r="M46" i="42"/>
  <c r="M47" i="42"/>
  <c r="M48" i="42"/>
  <c r="M49" i="42"/>
  <c r="M50" i="42"/>
  <c r="M51" i="42"/>
  <c r="M52" i="42"/>
  <c r="M53" i="42"/>
  <c r="M54" i="42"/>
  <c r="M55" i="42"/>
  <c r="M56" i="42"/>
  <c r="M57" i="42"/>
  <c r="M58" i="42"/>
  <c r="M59" i="42"/>
  <c r="M60" i="42"/>
  <c r="M61" i="42"/>
  <c r="M62" i="42"/>
  <c r="M63" i="42"/>
  <c r="M64" i="42"/>
  <c r="M65" i="42"/>
  <c r="M66" i="42"/>
  <c r="M67" i="42"/>
  <c r="M68" i="42"/>
  <c r="M69" i="42"/>
  <c r="M70" i="42"/>
  <c r="M71" i="42"/>
  <c r="M72" i="42"/>
  <c r="M73" i="42"/>
  <c r="M74" i="42"/>
  <c r="M75" i="42"/>
  <c r="M76" i="42"/>
  <c r="M77" i="42"/>
  <c r="M78" i="42"/>
  <c r="M79" i="42"/>
  <c r="M80" i="42"/>
  <c r="M81" i="42"/>
  <c r="M82" i="42"/>
  <c r="M83" i="42"/>
  <c r="M84" i="42"/>
  <c r="M85" i="42"/>
  <c r="M86" i="42"/>
  <c r="M87" i="42"/>
  <c r="M88" i="42"/>
  <c r="M89" i="42"/>
  <c r="M90" i="42"/>
  <c r="M91" i="42"/>
  <c r="M92" i="42"/>
  <c r="M93" i="42"/>
  <c r="M94" i="42"/>
  <c r="M3" i="42"/>
  <c r="D31" i="34"/>
  <c r="E4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59" i="42"/>
  <c r="E60" i="42"/>
  <c r="E61" i="42"/>
  <c r="E62" i="42"/>
  <c r="E63" i="42"/>
  <c r="E64" i="42"/>
  <c r="E65" i="42"/>
  <c r="E66" i="42"/>
  <c r="E67" i="42"/>
  <c r="E68" i="42"/>
  <c r="E69" i="42"/>
  <c r="E70" i="42"/>
  <c r="E71" i="42"/>
  <c r="E72" i="42"/>
  <c r="E73" i="42"/>
  <c r="E74" i="42"/>
  <c r="E75" i="42"/>
  <c r="E76" i="42"/>
  <c r="E77" i="42"/>
  <c r="E78" i="42"/>
  <c r="E79" i="42"/>
  <c r="E80" i="42"/>
  <c r="E81" i="42"/>
  <c r="E82" i="42"/>
  <c r="E83" i="42"/>
  <c r="E84" i="42"/>
  <c r="E85" i="42"/>
  <c r="E86" i="42"/>
  <c r="E87" i="42"/>
  <c r="E88" i="42"/>
  <c r="E89" i="42"/>
  <c r="E90" i="42"/>
  <c r="E91" i="42"/>
  <c r="E92" i="42"/>
  <c r="E93" i="42"/>
  <c r="E94" i="42"/>
  <c r="E3" i="42"/>
  <c r="D75" i="11"/>
  <c r="D78" i="11"/>
  <c r="D80" i="11"/>
  <c r="D84" i="11"/>
  <c r="D85" i="11"/>
  <c r="D86" i="11"/>
  <c r="D87" i="11"/>
  <c r="D88" i="11"/>
  <c r="D89" i="11"/>
  <c r="D90" i="11"/>
  <c r="D83" i="11"/>
  <c r="D43" i="36"/>
  <c r="K24" i="14"/>
  <c r="K25" i="14"/>
  <c r="K20" i="14"/>
  <c r="K21" i="14"/>
  <c r="K22" i="14"/>
  <c r="I25" i="14"/>
  <c r="I24" i="14"/>
  <c r="I23" i="14"/>
  <c r="I22" i="14"/>
  <c r="I21" i="14"/>
  <c r="I20" i="14"/>
  <c r="G51" i="10"/>
  <c r="G45" i="10"/>
  <c r="H89" i="18"/>
  <c r="I89" i="18" s="1"/>
  <c r="G89" i="18"/>
  <c r="G58" i="27"/>
  <c r="G91" i="27"/>
  <c r="L89" i="11"/>
  <c r="L90" i="11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3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51" i="27"/>
  <c r="D52" i="27"/>
  <c r="D53" i="27"/>
  <c r="D54" i="27"/>
  <c r="D55" i="27"/>
  <c r="D56" i="27"/>
  <c r="D57" i="27"/>
  <c r="D58" i="27"/>
  <c r="D59" i="27"/>
  <c r="D60" i="27"/>
  <c r="D61" i="27"/>
  <c r="D62" i="27"/>
  <c r="D63" i="27"/>
  <c r="D64" i="27"/>
  <c r="D65" i="27"/>
  <c r="D66" i="27"/>
  <c r="D67" i="27"/>
  <c r="D68" i="27"/>
  <c r="D69" i="27"/>
  <c r="D70" i="27"/>
  <c r="D71" i="27"/>
  <c r="D72" i="27"/>
  <c r="D73" i="27"/>
  <c r="D74" i="27"/>
  <c r="D75" i="27"/>
  <c r="D76" i="27"/>
  <c r="D77" i="27"/>
  <c r="D78" i="27"/>
  <c r="D79" i="27"/>
  <c r="D80" i="27"/>
  <c r="D81" i="27"/>
  <c r="D82" i="27"/>
  <c r="D83" i="27"/>
  <c r="D84" i="27"/>
  <c r="D85" i="27"/>
  <c r="D86" i="27"/>
  <c r="D87" i="27"/>
  <c r="D88" i="27"/>
  <c r="D89" i="27"/>
  <c r="D4" i="27"/>
  <c r="Z5" i="27"/>
  <c r="Z6" i="27"/>
  <c r="Z7" i="27"/>
  <c r="Z8" i="27"/>
  <c r="Z9" i="27"/>
  <c r="Z10" i="27"/>
  <c r="Z11" i="27"/>
  <c r="Z12" i="27"/>
  <c r="Z13" i="27"/>
  <c r="Z14" i="27"/>
  <c r="Z15" i="27"/>
  <c r="Z16" i="27"/>
  <c r="Z17" i="27"/>
  <c r="Z18" i="27"/>
  <c r="Z19" i="27"/>
  <c r="Z20" i="27"/>
  <c r="Z21" i="27"/>
  <c r="Z22" i="27"/>
  <c r="Z23" i="27"/>
  <c r="Z24" i="27"/>
  <c r="Z25" i="27"/>
  <c r="Z26" i="27"/>
  <c r="Z27" i="27"/>
  <c r="Z28" i="27"/>
  <c r="Z29" i="27"/>
  <c r="Z30" i="27"/>
  <c r="Z31" i="27"/>
  <c r="Z32" i="27"/>
  <c r="Z33" i="27"/>
  <c r="Z34" i="27"/>
  <c r="Z35" i="27"/>
  <c r="Z36" i="27"/>
  <c r="Z37" i="27"/>
  <c r="Z38" i="27"/>
  <c r="Z39" i="27"/>
  <c r="Z40" i="27"/>
  <c r="Z41" i="27"/>
  <c r="Z42" i="27"/>
  <c r="Z43" i="27"/>
  <c r="Z44" i="27"/>
  <c r="Z45" i="27"/>
  <c r="Z46" i="27"/>
  <c r="Z47" i="27"/>
  <c r="Z48" i="27"/>
  <c r="Z49" i="27"/>
  <c r="Z50" i="27"/>
  <c r="Z51" i="27"/>
  <c r="Z52" i="27"/>
  <c r="Z53" i="27"/>
  <c r="Z54" i="27"/>
  <c r="Z55" i="27"/>
  <c r="Z56" i="27"/>
  <c r="Z57" i="27"/>
  <c r="Z58" i="27"/>
  <c r="Z59" i="27"/>
  <c r="Z60" i="27"/>
  <c r="Z61" i="27"/>
  <c r="Z62" i="27"/>
  <c r="Z63" i="27"/>
  <c r="Z64" i="27"/>
  <c r="Z65" i="27"/>
  <c r="Z66" i="27"/>
  <c r="Z67" i="27"/>
  <c r="Z68" i="27"/>
  <c r="Z69" i="27"/>
  <c r="Z70" i="27"/>
  <c r="Z71" i="27"/>
  <c r="Z72" i="27"/>
  <c r="Z73" i="27"/>
  <c r="Z74" i="27"/>
  <c r="Z75" i="27"/>
  <c r="Z76" i="27"/>
  <c r="Z77" i="27"/>
  <c r="Z78" i="27"/>
  <c r="Z79" i="27"/>
  <c r="Z80" i="27"/>
  <c r="Z81" i="27"/>
  <c r="Z82" i="27"/>
  <c r="Z83" i="27"/>
  <c r="Z84" i="27"/>
  <c r="Z85" i="27"/>
  <c r="Z86" i="27"/>
  <c r="Z87" i="27"/>
  <c r="Z88" i="27"/>
  <c r="Z89" i="27"/>
  <c r="Z4" i="27"/>
  <c r="B5" i="43"/>
  <c r="E5" i="43" s="1"/>
  <c r="B6" i="43"/>
  <c r="E6" i="43" s="1"/>
  <c r="B7" i="43"/>
  <c r="E7" i="43" s="1"/>
  <c r="B8" i="43"/>
  <c r="E8" i="43" s="1"/>
  <c r="B9" i="43"/>
  <c r="B10" i="43"/>
  <c r="B11" i="43"/>
  <c r="E11" i="43" s="1"/>
  <c r="B12" i="43"/>
  <c r="E12" i="43" s="1"/>
  <c r="B13" i="43"/>
  <c r="E13" i="43" s="1"/>
  <c r="B14" i="43"/>
  <c r="E14" i="43" s="1"/>
  <c r="B15" i="43"/>
  <c r="E15" i="43" s="1"/>
  <c r="B16" i="43"/>
  <c r="E16" i="43" s="1"/>
  <c r="B17" i="43"/>
  <c r="B18" i="43"/>
  <c r="E18" i="43" s="1"/>
  <c r="B19" i="43"/>
  <c r="B20" i="43"/>
  <c r="B21" i="43"/>
  <c r="B4" i="43"/>
  <c r="E4" i="43" s="1"/>
  <c r="E9" i="43"/>
  <c r="E10" i="43"/>
  <c r="E17" i="43"/>
  <c r="E19" i="43"/>
  <c r="E20" i="43"/>
  <c r="E21" i="43"/>
  <c r="D127" i="5"/>
  <c r="D126" i="5"/>
  <c r="D125" i="5"/>
  <c r="N67" i="6"/>
  <c r="D69" i="6"/>
  <c r="D68" i="6"/>
  <c r="D67" i="6"/>
  <c r="K69" i="6"/>
  <c r="K68" i="6"/>
  <c r="K67" i="6"/>
  <c r="M69" i="6"/>
  <c r="N69" i="6" s="1"/>
  <c r="M68" i="6"/>
  <c r="M67" i="6"/>
  <c r="N68" i="6"/>
  <c r="Q69" i="6"/>
  <c r="Q68" i="6"/>
  <c r="Q67" i="6"/>
  <c r="F28" i="28"/>
  <c r="F27" i="28"/>
  <c r="C27" i="28"/>
  <c r="B27" i="28"/>
  <c r="C28" i="28"/>
  <c r="B28" i="28"/>
  <c r="E30" i="28"/>
  <c r="E31" i="28"/>
  <c r="E32" i="28"/>
  <c r="I28" i="28"/>
  <c r="I29" i="28"/>
  <c r="I30" i="28"/>
  <c r="I31" i="28"/>
  <c r="I27" i="28"/>
  <c r="C5" i="41"/>
  <c r="D22" i="9"/>
  <c r="D20" i="9"/>
  <c r="D18" i="9"/>
  <c r="D16" i="9"/>
  <c r="D14" i="9"/>
  <c r="D8" i="9"/>
  <c r="C4" i="9"/>
  <c r="E38" i="7"/>
  <c r="E40" i="7"/>
  <c r="E41" i="7"/>
  <c r="E42" i="7"/>
  <c r="E39" i="7"/>
  <c r="F41" i="12"/>
  <c r="F39" i="12"/>
  <c r="E14" i="13"/>
  <c r="G14" i="13"/>
  <c r="D37" i="12"/>
  <c r="D36" i="12"/>
  <c r="D35" i="12"/>
  <c r="D39" i="12"/>
  <c r="D41" i="12"/>
  <c r="E4" i="13"/>
  <c r="F56" i="40" l="1"/>
  <c r="F57" i="40"/>
  <c r="F58" i="40"/>
  <c r="F59" i="40"/>
  <c r="F60" i="40"/>
  <c r="F55" i="40"/>
  <c r="B48" i="5" l="1"/>
  <c r="B99" i="5"/>
  <c r="B94" i="5"/>
  <c r="B84" i="5"/>
  <c r="B74" i="5"/>
  <c r="M111" i="5"/>
  <c r="O111" i="5" s="1"/>
  <c r="B109" i="5"/>
  <c r="D109" i="5" s="1"/>
  <c r="D4" i="39" l="1"/>
  <c r="D4" i="37"/>
  <c r="K23" i="14" l="1"/>
  <c r="H19" i="14"/>
  <c r="E19" i="14"/>
  <c r="H18" i="14"/>
  <c r="E18" i="14"/>
  <c r="H17" i="14"/>
  <c r="E17" i="14"/>
  <c r="H16" i="14"/>
  <c r="E16" i="14"/>
  <c r="H15" i="14"/>
  <c r="E15" i="14"/>
  <c r="H14" i="14"/>
  <c r="E14" i="14"/>
  <c r="H13" i="14"/>
  <c r="E13" i="14"/>
  <c r="H12" i="14"/>
  <c r="E12" i="14"/>
  <c r="H11" i="14"/>
  <c r="E11" i="14"/>
  <c r="H10" i="14"/>
  <c r="E10" i="14"/>
  <c r="H9" i="14"/>
  <c r="E9" i="14"/>
  <c r="H8" i="14"/>
  <c r="E8" i="14"/>
  <c r="H7" i="14"/>
  <c r="E7" i="14"/>
  <c r="H6" i="14"/>
  <c r="E6" i="14"/>
  <c r="H5" i="14"/>
  <c r="E5" i="14"/>
  <c r="H4" i="14"/>
  <c r="E4" i="14"/>
  <c r="D60" i="16" l="1"/>
  <c r="J59" i="16"/>
  <c r="G44" i="16"/>
  <c r="D44" i="16"/>
  <c r="D43" i="16"/>
  <c r="D42" i="16"/>
  <c r="D41" i="16"/>
  <c r="D40" i="16"/>
  <c r="D71" i="31"/>
  <c r="D70" i="31"/>
  <c r="D69" i="31"/>
  <c r="D68" i="31"/>
  <c r="D67" i="31"/>
  <c r="D66" i="31"/>
  <c r="G76" i="27"/>
  <c r="B38" i="27"/>
  <c r="B55" i="26"/>
  <c r="D55" i="26" s="1"/>
  <c r="D53" i="26"/>
  <c r="B4" i="26"/>
  <c r="D4" i="26" s="1"/>
  <c r="B55" i="25"/>
  <c r="D55" i="25" s="1"/>
  <c r="B54" i="25"/>
  <c r="D54" i="25" s="1"/>
  <c r="B53" i="25"/>
  <c r="D53" i="25" s="1"/>
  <c r="B52" i="25"/>
  <c r="D52" i="25" s="1"/>
  <c r="G36" i="25"/>
  <c r="D5" i="22"/>
  <c r="D4" i="22"/>
  <c r="B8" i="21"/>
  <c r="D8" i="21" s="1"/>
  <c r="D47" i="10"/>
  <c r="D37" i="10"/>
  <c r="F37" i="10" s="1"/>
  <c r="D27" i="10"/>
  <c r="F27" i="10" s="1"/>
  <c r="E87" i="20"/>
  <c r="E86" i="20"/>
  <c r="E85" i="20"/>
  <c r="E84" i="20"/>
  <c r="E83" i="20"/>
  <c r="E82" i="20"/>
  <c r="E81" i="20"/>
  <c r="E80" i="20"/>
  <c r="E79" i="20"/>
  <c r="E78" i="20"/>
  <c r="E77" i="20"/>
  <c r="E76" i="20"/>
  <c r="E75" i="20"/>
  <c r="E74" i="20"/>
  <c r="E73" i="20"/>
  <c r="E72" i="20"/>
  <c r="E71" i="20"/>
  <c r="E70" i="20"/>
  <c r="E69" i="20"/>
  <c r="E68" i="20"/>
  <c r="E67" i="20"/>
  <c r="E66" i="20"/>
  <c r="E65" i="20"/>
  <c r="E64" i="20"/>
  <c r="E63" i="20"/>
  <c r="E62" i="20"/>
  <c r="E61" i="20"/>
  <c r="E60" i="20"/>
  <c r="E59" i="20"/>
  <c r="E58" i="20"/>
  <c r="E57" i="20"/>
  <c r="E56" i="20"/>
  <c r="E55" i="20"/>
  <c r="E54" i="20"/>
  <c r="E53" i="20"/>
  <c r="E52" i="20"/>
  <c r="E51" i="20"/>
  <c r="E50" i="20"/>
  <c r="E49" i="20"/>
  <c r="E48" i="20"/>
  <c r="E47" i="20"/>
  <c r="E46" i="20"/>
  <c r="E45" i="20"/>
  <c r="E44" i="20"/>
  <c r="E43" i="20"/>
  <c r="E42" i="20"/>
  <c r="E41" i="20"/>
  <c r="E40" i="20"/>
  <c r="E39" i="20"/>
  <c r="E38" i="20"/>
  <c r="E37" i="20"/>
  <c r="E36" i="20"/>
  <c r="E35" i="20"/>
  <c r="E34" i="20"/>
  <c r="E33" i="20"/>
  <c r="E32" i="20"/>
  <c r="E31" i="20"/>
  <c r="E30" i="20"/>
  <c r="E29" i="20"/>
  <c r="E28" i="20"/>
  <c r="E27" i="20"/>
  <c r="E26" i="20"/>
  <c r="E25" i="20"/>
  <c r="E24" i="20"/>
  <c r="E23" i="20"/>
  <c r="E22" i="20"/>
  <c r="E21" i="20"/>
  <c r="E20" i="20"/>
  <c r="E19" i="20"/>
  <c r="E18" i="20"/>
  <c r="E17" i="20"/>
  <c r="E16" i="20"/>
  <c r="E15" i="20"/>
  <c r="E14" i="20"/>
  <c r="E13" i="20"/>
  <c r="E12" i="20"/>
  <c r="E11" i="20"/>
  <c r="E10" i="20"/>
  <c r="E9" i="20"/>
  <c r="E8" i="20"/>
  <c r="E7" i="20"/>
  <c r="E6" i="20"/>
  <c r="E5" i="20"/>
  <c r="E4" i="20"/>
  <c r="Q66" i="6"/>
  <c r="M66" i="6"/>
  <c r="N66" i="6" s="1"/>
  <c r="K66" i="6"/>
  <c r="G66" i="6"/>
  <c r="H66" i="6" s="1"/>
  <c r="E66" i="6"/>
  <c r="F66" i="6" s="1"/>
  <c r="D66" i="6"/>
  <c r="Q65" i="6"/>
  <c r="M65" i="6"/>
  <c r="N65" i="6" s="1"/>
  <c r="K65" i="6"/>
  <c r="G65" i="6"/>
  <c r="E65" i="6"/>
  <c r="F65" i="6" s="1"/>
  <c r="D65" i="6"/>
  <c r="Q64" i="6"/>
  <c r="M64" i="6"/>
  <c r="N64" i="6" s="1"/>
  <c r="K64" i="6"/>
  <c r="G64" i="6"/>
  <c r="E64" i="6"/>
  <c r="F64" i="6" s="1"/>
  <c r="D64" i="6"/>
  <c r="Q63" i="6"/>
  <c r="M63" i="6"/>
  <c r="N63" i="6" s="1"/>
  <c r="K63" i="6"/>
  <c r="G63" i="6"/>
  <c r="H63" i="6" s="1"/>
  <c r="E63" i="6"/>
  <c r="F63" i="6" s="1"/>
  <c r="D63" i="6"/>
  <c r="Q62" i="6"/>
  <c r="M62" i="6"/>
  <c r="N62" i="6" s="1"/>
  <c r="K62" i="6"/>
  <c r="G62" i="6"/>
  <c r="E62" i="6"/>
  <c r="F62" i="6" s="1"/>
  <c r="D62" i="6"/>
  <c r="Q61" i="6"/>
  <c r="M61" i="6"/>
  <c r="N61" i="6" s="1"/>
  <c r="K61" i="6"/>
  <c r="G61" i="6"/>
  <c r="E61" i="6"/>
  <c r="F61" i="6" s="1"/>
  <c r="D61" i="6"/>
  <c r="Q60" i="6"/>
  <c r="M60" i="6"/>
  <c r="N60" i="6" s="1"/>
  <c r="K60" i="6"/>
  <c r="G60" i="6"/>
  <c r="E60" i="6"/>
  <c r="F60" i="6" s="1"/>
  <c r="D60" i="6"/>
  <c r="Q59" i="6"/>
  <c r="M59" i="6"/>
  <c r="N59" i="6" s="1"/>
  <c r="K59" i="6"/>
  <c r="D59" i="6"/>
  <c r="Q58" i="6"/>
  <c r="M58" i="6"/>
  <c r="N58" i="6" s="1"/>
  <c r="I58" i="6"/>
  <c r="K58" i="6" s="1"/>
  <c r="G58" i="6"/>
  <c r="E58" i="6"/>
  <c r="F58" i="6" s="1"/>
  <c r="D58" i="6"/>
  <c r="Q57" i="6"/>
  <c r="M57" i="6"/>
  <c r="N57" i="6" s="1"/>
  <c r="J57" i="6"/>
  <c r="K57" i="6" s="1"/>
  <c r="D57" i="6"/>
  <c r="Q56" i="6"/>
  <c r="M56" i="6"/>
  <c r="N56" i="6" s="1"/>
  <c r="J56" i="6"/>
  <c r="I56" i="6"/>
  <c r="D56" i="6"/>
  <c r="Q55" i="6"/>
  <c r="M55" i="6"/>
  <c r="N55" i="6" s="1"/>
  <c r="J55" i="6"/>
  <c r="K55" i="6" s="1"/>
  <c r="D55" i="6"/>
  <c r="Q54" i="6"/>
  <c r="M54" i="6"/>
  <c r="N54" i="6" s="1"/>
  <c r="J54" i="6"/>
  <c r="I54" i="6"/>
  <c r="D54" i="6"/>
  <c r="Q53" i="6"/>
  <c r="M53" i="6"/>
  <c r="N53" i="6" s="1"/>
  <c r="J53" i="6"/>
  <c r="I53" i="6"/>
  <c r="D53" i="6"/>
  <c r="Q52" i="6"/>
  <c r="M52" i="6"/>
  <c r="N52" i="6" s="1"/>
  <c r="J52" i="6"/>
  <c r="K52" i="6" s="1"/>
  <c r="I52" i="6"/>
  <c r="D52" i="6"/>
  <c r="Q51" i="6"/>
  <c r="M51" i="6"/>
  <c r="N51" i="6" s="1"/>
  <c r="J51" i="6"/>
  <c r="K51" i="6" s="1"/>
  <c r="I51" i="6"/>
  <c r="D51" i="6"/>
  <c r="Q50" i="6"/>
  <c r="M50" i="6"/>
  <c r="N50" i="6" s="1"/>
  <c r="J50" i="6"/>
  <c r="I50" i="6"/>
  <c r="D50" i="6"/>
  <c r="Q49" i="6"/>
  <c r="M49" i="6"/>
  <c r="N49" i="6" s="1"/>
  <c r="J49" i="6"/>
  <c r="I49" i="6"/>
  <c r="K49" i="6" s="1"/>
  <c r="D49" i="6"/>
  <c r="Q48" i="6"/>
  <c r="M48" i="6"/>
  <c r="N48" i="6" s="1"/>
  <c r="J48" i="6"/>
  <c r="K48" i="6" s="1"/>
  <c r="I48" i="6"/>
  <c r="D48" i="6"/>
  <c r="Q47" i="6"/>
  <c r="M47" i="6"/>
  <c r="N47" i="6" s="1"/>
  <c r="J47" i="6"/>
  <c r="K47" i="6" s="1"/>
  <c r="D47" i="6"/>
  <c r="Q46" i="6"/>
  <c r="M46" i="6"/>
  <c r="N46" i="6" s="1"/>
  <c r="J46" i="6"/>
  <c r="I46" i="6"/>
  <c r="K46" i="6" s="1"/>
  <c r="Q45" i="6"/>
  <c r="M45" i="6"/>
  <c r="N45" i="6" s="1"/>
  <c r="J45" i="6"/>
  <c r="K45" i="6" s="1"/>
  <c r="I45" i="6"/>
  <c r="Q44" i="6"/>
  <c r="M44" i="6"/>
  <c r="N44" i="6" s="1"/>
  <c r="J44" i="6"/>
  <c r="K44" i="6" s="1"/>
  <c r="Q43" i="6"/>
  <c r="M43" i="6"/>
  <c r="N43" i="6" s="1"/>
  <c r="J43" i="6"/>
  <c r="K43" i="6" s="1"/>
  <c r="I43" i="6"/>
  <c r="Q42" i="6"/>
  <c r="M42" i="6"/>
  <c r="N42" i="6" s="1"/>
  <c r="J42" i="6"/>
  <c r="I42" i="6"/>
  <c r="Q41" i="6"/>
  <c r="N41" i="6"/>
  <c r="K41" i="6"/>
  <c r="J41" i="6"/>
  <c r="D41" i="6"/>
  <c r="Q40" i="6"/>
  <c r="N40" i="6"/>
  <c r="K40" i="6"/>
  <c r="D40" i="6"/>
  <c r="Q39" i="6"/>
  <c r="N39" i="6"/>
  <c r="K39" i="6"/>
  <c r="D39" i="6"/>
  <c r="Q38" i="6"/>
  <c r="N38" i="6"/>
  <c r="K38" i="6"/>
  <c r="D38" i="6"/>
  <c r="Q37" i="6"/>
  <c r="N37" i="6"/>
  <c r="K37" i="6"/>
  <c r="D37" i="6"/>
  <c r="Q36" i="6"/>
  <c r="N36" i="6"/>
  <c r="K36" i="6"/>
  <c r="D36" i="6"/>
  <c r="Q35" i="6"/>
  <c r="N35" i="6"/>
  <c r="K35" i="6"/>
  <c r="D35" i="6"/>
  <c r="Q34" i="6"/>
  <c r="N34" i="6"/>
  <c r="K34" i="6"/>
  <c r="D34" i="6"/>
  <c r="Q33" i="6"/>
  <c r="N33" i="6"/>
  <c r="K33" i="6"/>
  <c r="D33" i="6"/>
  <c r="Q32" i="6"/>
  <c r="N32" i="6"/>
  <c r="K32" i="6"/>
  <c r="D32" i="6"/>
  <c r="Q31" i="6"/>
  <c r="N31" i="6"/>
  <c r="K31" i="6"/>
  <c r="D31" i="6"/>
  <c r="Q30" i="6"/>
  <c r="N30" i="6"/>
  <c r="K30" i="6"/>
  <c r="D30" i="6"/>
  <c r="Q29" i="6"/>
  <c r="N29" i="6"/>
  <c r="K29" i="6"/>
  <c r="D29" i="6"/>
  <c r="Q28" i="6"/>
  <c r="N28" i="6"/>
  <c r="K28" i="6"/>
  <c r="D28" i="6"/>
  <c r="Q27" i="6"/>
  <c r="N27" i="6"/>
  <c r="K27" i="6"/>
  <c r="D27" i="6"/>
  <c r="Q26" i="6"/>
  <c r="N26" i="6"/>
  <c r="K26" i="6"/>
  <c r="D26" i="6"/>
  <c r="Q25" i="6"/>
  <c r="N25" i="6"/>
  <c r="K25" i="6"/>
  <c r="D25" i="6"/>
  <c r="Q24" i="6"/>
  <c r="N24" i="6"/>
  <c r="K24" i="6"/>
  <c r="D24" i="6"/>
  <c r="Q23" i="6"/>
  <c r="N23" i="6"/>
  <c r="K23" i="6"/>
  <c r="D23" i="6"/>
  <c r="Q22" i="6"/>
  <c r="N22" i="6"/>
  <c r="K22" i="6"/>
  <c r="D22" i="6"/>
  <c r="Q21" i="6"/>
  <c r="N21" i="6"/>
  <c r="K21" i="6"/>
  <c r="D21" i="6"/>
  <c r="Q20" i="6"/>
  <c r="N20" i="6"/>
  <c r="K20" i="6"/>
  <c r="D20" i="6"/>
  <c r="Q19" i="6"/>
  <c r="N19" i="6"/>
  <c r="K19" i="6"/>
  <c r="D19" i="6"/>
  <c r="N18" i="6"/>
  <c r="K18" i="6"/>
  <c r="D18" i="6"/>
  <c r="Q17" i="6"/>
  <c r="N17" i="6"/>
  <c r="K17" i="6"/>
  <c r="D17" i="6"/>
  <c r="Q16" i="6"/>
  <c r="N16" i="6"/>
  <c r="D16" i="6"/>
  <c r="Q15" i="6"/>
  <c r="N15" i="6"/>
  <c r="D15" i="6"/>
  <c r="Q14" i="6"/>
  <c r="N14" i="6"/>
  <c r="D14" i="6"/>
  <c r="Q13" i="6"/>
  <c r="N13" i="6"/>
  <c r="K13" i="6"/>
  <c r="D13" i="6"/>
  <c r="Q12" i="6"/>
  <c r="N12" i="6"/>
  <c r="K12" i="6"/>
  <c r="D12" i="6"/>
  <c r="Q11" i="6"/>
  <c r="N11" i="6"/>
  <c r="K11" i="6"/>
  <c r="D11" i="6"/>
  <c r="Q10" i="6"/>
  <c r="N10" i="6"/>
  <c r="K10" i="6"/>
  <c r="D10" i="6"/>
  <c r="Q9" i="6"/>
  <c r="N9" i="6"/>
  <c r="K9" i="6"/>
  <c r="Q8" i="6"/>
  <c r="N8" i="6"/>
  <c r="K8" i="6"/>
  <c r="Q7" i="6"/>
  <c r="N7" i="6"/>
  <c r="K7" i="6"/>
  <c r="Q6" i="6"/>
  <c r="N6" i="6"/>
  <c r="K6" i="6"/>
  <c r="Q5" i="6"/>
  <c r="N5" i="6"/>
  <c r="K5" i="6"/>
  <c r="Q4" i="6"/>
  <c r="N4" i="6"/>
  <c r="K4" i="6"/>
  <c r="L88" i="11"/>
  <c r="H88" i="11"/>
  <c r="G88" i="11"/>
  <c r="L87" i="11"/>
  <c r="J86" i="11"/>
  <c r="L86" i="11" s="1"/>
  <c r="L85" i="11"/>
  <c r="J84" i="11"/>
  <c r="L84" i="11" s="1"/>
  <c r="J83" i="11"/>
  <c r="L83" i="11" s="1"/>
  <c r="K78" i="11"/>
  <c r="F23" i="9"/>
  <c r="F22" i="9"/>
  <c r="E22" i="9" s="1"/>
  <c r="F20" i="9"/>
  <c r="E20" i="9" s="1"/>
  <c r="B8" i="9"/>
  <c r="C42" i="7"/>
  <c r="C41" i="7"/>
  <c r="C40" i="7"/>
  <c r="C39" i="7"/>
  <c r="D38" i="7"/>
  <c r="D12" i="8"/>
  <c r="D11" i="8"/>
  <c r="D10" i="8"/>
  <c r="D9" i="8"/>
  <c r="D8" i="8"/>
  <c r="D7" i="8"/>
  <c r="D6" i="8"/>
  <c r="C29" i="12"/>
  <c r="D24" i="12"/>
  <c r="D14" i="12"/>
  <c r="D4" i="12"/>
  <c r="I64" i="4"/>
  <c r="K64" i="4" s="1"/>
  <c r="B60" i="4"/>
  <c r="D60" i="4" s="1"/>
  <c r="E59" i="4"/>
  <c r="G59" i="4" s="1"/>
  <c r="I54" i="4"/>
  <c r="K54" i="4" s="1"/>
  <c r="B54" i="4"/>
  <c r="D54" i="4" s="1"/>
  <c r="I44" i="4"/>
  <c r="K44" i="4" s="1"/>
  <c r="G35" i="4"/>
  <c r="I34" i="4"/>
  <c r="K34" i="4" s="1"/>
  <c r="I24" i="4"/>
  <c r="K24" i="4" s="1"/>
  <c r="K14" i="4"/>
  <c r="K4" i="4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K56" i="6" l="1"/>
  <c r="K53" i="6"/>
  <c r="H58" i="6"/>
  <c r="K42" i="6"/>
  <c r="K50" i="6"/>
  <c r="H62" i="6"/>
  <c r="H64" i="6"/>
  <c r="H65" i="6"/>
  <c r="K54" i="6"/>
  <c r="H60" i="6"/>
  <c r="H61" i="6"/>
  <c r="FZ90" i="2"/>
  <c r="FO60" i="2"/>
  <c r="FU59" i="2"/>
  <c r="FR44" i="2"/>
  <c r="FO41" i="2"/>
  <c r="FO42" i="2"/>
  <c r="FO43" i="2"/>
  <c r="FO44" i="2"/>
  <c r="FO40" i="2"/>
  <c r="FF41" i="2" l="1"/>
  <c r="FK79" i="2"/>
  <c r="FH75" i="2"/>
  <c r="FH79" i="2"/>
  <c r="FG76" i="2"/>
  <c r="FH76" i="2" s="1"/>
  <c r="FH92" i="2"/>
  <c r="FC37" i="2"/>
  <c r="FE37" i="2" s="1"/>
  <c r="FC88" i="2" l="1"/>
  <c r="FE88" i="2" s="1"/>
  <c r="FE86" i="2"/>
  <c r="CS6" i="2"/>
  <c r="CS7" i="2"/>
  <c r="CS8" i="2"/>
  <c r="CS9" i="2"/>
  <c r="CS10" i="2"/>
  <c r="CS11" i="2"/>
  <c r="CS12" i="2"/>
  <c r="CS13" i="2"/>
  <c r="CS14" i="2"/>
  <c r="CS15" i="2"/>
  <c r="CS16" i="2"/>
  <c r="CS17" i="2"/>
  <c r="CS18" i="2"/>
  <c r="CS19" i="2"/>
  <c r="CS20" i="2"/>
  <c r="CS21" i="2"/>
  <c r="CS22" i="2"/>
  <c r="CS23" i="2"/>
  <c r="CS24" i="2"/>
  <c r="CS25" i="2"/>
  <c r="CS26" i="2"/>
  <c r="CS27" i="2"/>
  <c r="CS28" i="2"/>
  <c r="CS29" i="2"/>
  <c r="CS30" i="2"/>
  <c r="CS31" i="2"/>
  <c r="CS32" i="2"/>
  <c r="CS33" i="2"/>
  <c r="CS34" i="2"/>
  <c r="CS35" i="2"/>
  <c r="CS36" i="2"/>
  <c r="CS37" i="2"/>
  <c r="CS38" i="2"/>
  <c r="CS39" i="2"/>
  <c r="CS40" i="2"/>
  <c r="CS41" i="2"/>
  <c r="CS42" i="2"/>
  <c r="CS43" i="2"/>
  <c r="CS44" i="2"/>
  <c r="CS45" i="2"/>
  <c r="CS46" i="2"/>
  <c r="CS47" i="2"/>
  <c r="CS48" i="2"/>
  <c r="CS49" i="2"/>
  <c r="CS50" i="2"/>
  <c r="CS51" i="2"/>
  <c r="CS52" i="2"/>
  <c r="CS53" i="2"/>
  <c r="CS54" i="2"/>
  <c r="CS55" i="2"/>
  <c r="CS56" i="2"/>
  <c r="CS57" i="2"/>
  <c r="CS58" i="2"/>
  <c r="CS59" i="2"/>
  <c r="CS60" i="2"/>
  <c r="CS61" i="2"/>
  <c r="CS62" i="2"/>
  <c r="CS63" i="2"/>
  <c r="CS64" i="2"/>
  <c r="CS65" i="2"/>
  <c r="CS66" i="2"/>
  <c r="CS67" i="2"/>
  <c r="CS68" i="2"/>
  <c r="CS69" i="2"/>
  <c r="CS70" i="2"/>
  <c r="CS71" i="2"/>
  <c r="CS72" i="2"/>
  <c r="CS73" i="2"/>
  <c r="CS74" i="2"/>
  <c r="CS75" i="2"/>
  <c r="CS76" i="2"/>
  <c r="CS77" i="2"/>
  <c r="CS78" i="2"/>
  <c r="CS79" i="2"/>
  <c r="CS80" i="2"/>
  <c r="CS81" i="2"/>
  <c r="CS82" i="2"/>
  <c r="CS83" i="2"/>
  <c r="CS84" i="2"/>
  <c r="CS85" i="2"/>
  <c r="CS86" i="2"/>
  <c r="CS87" i="2"/>
  <c r="CS88" i="2"/>
  <c r="CS5" i="2"/>
  <c r="EU68" i="2" l="1"/>
  <c r="EU69" i="2"/>
  <c r="EU70" i="2"/>
  <c r="EU71" i="2"/>
  <c r="EU72" i="2"/>
  <c r="EU73" i="2"/>
  <c r="EU74" i="2"/>
  <c r="EU75" i="2"/>
  <c r="EU76" i="2"/>
  <c r="EU77" i="2"/>
  <c r="EU78" i="2"/>
  <c r="EU79" i="2"/>
  <c r="EU67" i="2"/>
  <c r="P90" i="2" l="1"/>
  <c r="EL87" i="2"/>
  <c r="EL88" i="2"/>
  <c r="EL91" i="2"/>
  <c r="EL92" i="2"/>
  <c r="EL89" i="2"/>
  <c r="EL90" i="2"/>
  <c r="EE73" i="2" l="1"/>
  <c r="DZ92" i="2"/>
  <c r="EB92" i="2" s="1"/>
  <c r="DZ91" i="2"/>
  <c r="EB91" i="2" s="1"/>
  <c r="DZ90" i="2"/>
  <c r="EB90" i="2" s="1"/>
  <c r="DZ89" i="2"/>
  <c r="EB89" i="2" s="1"/>
  <c r="DR84" i="2"/>
  <c r="DR83" i="2"/>
  <c r="DM73" i="2"/>
  <c r="DO73" i="2" s="1"/>
  <c r="CV65" i="2" l="1"/>
  <c r="CX65" i="2" s="1"/>
  <c r="CV75" i="2"/>
  <c r="CX75" i="2" s="1"/>
  <c r="CV85" i="2" l="1"/>
  <c r="BW82" i="2" l="1"/>
  <c r="BY82" i="2" s="1"/>
  <c r="BW72" i="2"/>
  <c r="BY72" i="2" s="1"/>
  <c r="BW62" i="2"/>
  <c r="BY62" i="2" s="1"/>
  <c r="BW52" i="2"/>
  <c r="BY52" i="2" s="1"/>
  <c r="BW42" i="2"/>
  <c r="BY42" i="2" s="1"/>
  <c r="BY32" i="2"/>
  <c r="BY22" i="2"/>
  <c r="DE74" i="2" l="1"/>
  <c r="DE75" i="2"/>
  <c r="DE76" i="2"/>
  <c r="DE77" i="2"/>
  <c r="DE78" i="2"/>
  <c r="DE79" i="2"/>
  <c r="DE80" i="2"/>
  <c r="DE81" i="2"/>
  <c r="DE82" i="2"/>
  <c r="DE83" i="2"/>
  <c r="DE84" i="2"/>
  <c r="DE85" i="2"/>
  <c r="DE86" i="2"/>
  <c r="DE87" i="2"/>
  <c r="DE88" i="2"/>
  <c r="DE73" i="2"/>
  <c r="DB73" i="2"/>
  <c r="DB74" i="2"/>
  <c r="DB75" i="2"/>
  <c r="DB76" i="2"/>
  <c r="DB77" i="2"/>
  <c r="DB78" i="2"/>
  <c r="DB79" i="2"/>
  <c r="DB80" i="2"/>
  <c r="DB81" i="2"/>
  <c r="DB82" i="2"/>
  <c r="DB83" i="2"/>
  <c r="DB84" i="2"/>
  <c r="DB85" i="2"/>
  <c r="DB86" i="2"/>
  <c r="DB87" i="2"/>
  <c r="DB88" i="2"/>
  <c r="DH92" i="2"/>
  <c r="AM92" i="2" l="1"/>
  <c r="AL92" i="2" s="1"/>
  <c r="AM93" i="2"/>
  <c r="AM90" i="2"/>
  <c r="AL90" i="2" s="1"/>
  <c r="CE84" i="2"/>
  <c r="CC84" i="2"/>
  <c r="CD84" i="2" s="1"/>
  <c r="CE86" i="2"/>
  <c r="CC86" i="2"/>
  <c r="CD86" i="2" s="1"/>
  <c r="CE87" i="2"/>
  <c r="CC87" i="2"/>
  <c r="CD87" i="2" s="1"/>
  <c r="CE88" i="2"/>
  <c r="CC88" i="2"/>
  <c r="CD88" i="2" s="1"/>
  <c r="CE89" i="2"/>
  <c r="CC89" i="2"/>
  <c r="CD89" i="2" s="1"/>
  <c r="CE90" i="2"/>
  <c r="CC90" i="2"/>
  <c r="CD90" i="2" s="1"/>
  <c r="CE91" i="2"/>
  <c r="CC91" i="2"/>
  <c r="CD91" i="2" s="1"/>
  <c r="CE92" i="2"/>
  <c r="CC92" i="2"/>
  <c r="CD92" i="2" s="1"/>
  <c r="CK92" i="2"/>
  <c r="CL92" i="2" s="1"/>
  <c r="CK91" i="2"/>
  <c r="CL91" i="2" s="1"/>
  <c r="CK90" i="2"/>
  <c r="CL90" i="2" s="1"/>
  <c r="CK89" i="2"/>
  <c r="CK88" i="2"/>
  <c r="CL88" i="2" s="1"/>
  <c r="CK87" i="2"/>
  <c r="CL87" i="2" s="1"/>
  <c r="CH67" i="2"/>
  <c r="CI67" i="2" s="1"/>
  <c r="CH68" i="2"/>
  <c r="CH69" i="2"/>
  <c r="CH70" i="2"/>
  <c r="CI70" i="2" s="1"/>
  <c r="CH71" i="2"/>
  <c r="CH72" i="2"/>
  <c r="CH73" i="2"/>
  <c r="CI73" i="2" s="1"/>
  <c r="CH74" i="2"/>
  <c r="CH75" i="2"/>
  <c r="CH76" i="2"/>
  <c r="CH77" i="2"/>
  <c r="CH78" i="2"/>
  <c r="CH79" i="2"/>
  <c r="CH80" i="2"/>
  <c r="CH81" i="2"/>
  <c r="CI81" i="2" s="1"/>
  <c r="CH82" i="2"/>
  <c r="CH83" i="2"/>
  <c r="CI83" i="2" s="1"/>
  <c r="CB36" i="2"/>
  <c r="CB37" i="2"/>
  <c r="CB38" i="2"/>
  <c r="CB39" i="2"/>
  <c r="CB40" i="2"/>
  <c r="CB41" i="2"/>
  <c r="CB42" i="2"/>
  <c r="CB43" i="2"/>
  <c r="CB44" i="2"/>
  <c r="CB45" i="2"/>
  <c r="CB46" i="2"/>
  <c r="CB47" i="2"/>
  <c r="CB48" i="2"/>
  <c r="CB49" i="2"/>
  <c r="CB50" i="2"/>
  <c r="CB51" i="2"/>
  <c r="CB52" i="2"/>
  <c r="CB53" i="2"/>
  <c r="CB54" i="2"/>
  <c r="CB55" i="2"/>
  <c r="CB56" i="2"/>
  <c r="CB57" i="2"/>
  <c r="CB58" i="2"/>
  <c r="CB59" i="2"/>
  <c r="CB60" i="2"/>
  <c r="CB61" i="2"/>
  <c r="CB62" i="2"/>
  <c r="CB63" i="2"/>
  <c r="CB64" i="2"/>
  <c r="CB65" i="2"/>
  <c r="CB66" i="2"/>
  <c r="CB67" i="2"/>
  <c r="CG84" i="2"/>
  <c r="CG82" i="2"/>
  <c r="CG80" i="2"/>
  <c r="CI80" i="2" s="1"/>
  <c r="CG79" i="2"/>
  <c r="CG77" i="2"/>
  <c r="CG78" i="2"/>
  <c r="CG76" i="2"/>
  <c r="CG75" i="2"/>
  <c r="CG74" i="2"/>
  <c r="CG72" i="2"/>
  <c r="CI72" i="2" s="1"/>
  <c r="CG71" i="2"/>
  <c r="CG69" i="2"/>
  <c r="CG68" i="2"/>
  <c r="CI30" i="2"/>
  <c r="CI31" i="2"/>
  <c r="CI32" i="2"/>
  <c r="CI33" i="2"/>
  <c r="CI34" i="2"/>
  <c r="CI35" i="2"/>
  <c r="CI36" i="2"/>
  <c r="CI37" i="2"/>
  <c r="CI38" i="2"/>
  <c r="CI39" i="2"/>
  <c r="CI43" i="2"/>
  <c r="CI44" i="2"/>
  <c r="CI45" i="2"/>
  <c r="CI46" i="2"/>
  <c r="CI47" i="2"/>
  <c r="CI48" i="2"/>
  <c r="CI49" i="2"/>
  <c r="CI50" i="2"/>
  <c r="CI51" i="2"/>
  <c r="CI52" i="2"/>
  <c r="CI53" i="2"/>
  <c r="CI54" i="2"/>
  <c r="CI55" i="2"/>
  <c r="CI56" i="2"/>
  <c r="CI57" i="2"/>
  <c r="CI58" i="2"/>
  <c r="CI59" i="2"/>
  <c r="CI60" i="2"/>
  <c r="CO30" i="2"/>
  <c r="CO31" i="2"/>
  <c r="CO32" i="2"/>
  <c r="CO33" i="2"/>
  <c r="CO34" i="2"/>
  <c r="CO35" i="2"/>
  <c r="CO36" i="2"/>
  <c r="CO37" i="2"/>
  <c r="CO38" i="2"/>
  <c r="CO39" i="2"/>
  <c r="CO40" i="2"/>
  <c r="CO41" i="2"/>
  <c r="CO42" i="2"/>
  <c r="CO43" i="2"/>
  <c r="CO45" i="2"/>
  <c r="CO46" i="2"/>
  <c r="CO47" i="2"/>
  <c r="CO48" i="2"/>
  <c r="CO49" i="2"/>
  <c r="CO50" i="2"/>
  <c r="CO51" i="2"/>
  <c r="CO52" i="2"/>
  <c r="CO53" i="2"/>
  <c r="CO54" i="2"/>
  <c r="CO55" i="2"/>
  <c r="CO56" i="2"/>
  <c r="CO57" i="2"/>
  <c r="CO58" i="2"/>
  <c r="CO59" i="2"/>
  <c r="CO60" i="2"/>
  <c r="CO61" i="2"/>
  <c r="CO62" i="2"/>
  <c r="CO63" i="2"/>
  <c r="CO64" i="2"/>
  <c r="CO65" i="2"/>
  <c r="CO66" i="2"/>
  <c r="CO67" i="2"/>
  <c r="CO68" i="2"/>
  <c r="CO69" i="2"/>
  <c r="CK86" i="2"/>
  <c r="CL86" i="2" s="1"/>
  <c r="CK85" i="2"/>
  <c r="CL85" i="2" s="1"/>
  <c r="CK84" i="2"/>
  <c r="CK81" i="2"/>
  <c r="CL81" i="2" s="1"/>
  <c r="CK82" i="2"/>
  <c r="CK83" i="2"/>
  <c r="CL83" i="2" s="1"/>
  <c r="CK80" i="2"/>
  <c r="CL80" i="2" s="1"/>
  <c r="CK79" i="2"/>
  <c r="CK78" i="2"/>
  <c r="CL78" i="2" s="1"/>
  <c r="CK74" i="2"/>
  <c r="CL74" i="2" s="1"/>
  <c r="CK75" i="2"/>
  <c r="CL75" i="2" s="1"/>
  <c r="CK76" i="2"/>
  <c r="CL76" i="2" s="1"/>
  <c r="CK77" i="2"/>
  <c r="CK73" i="2"/>
  <c r="CL73" i="2" s="1"/>
  <c r="CK72" i="2"/>
  <c r="CL72" i="2" s="1"/>
  <c r="CK71" i="2"/>
  <c r="CL71" i="2" s="1"/>
  <c r="CK70" i="2"/>
  <c r="CK69" i="2"/>
  <c r="CL69" i="2" s="1"/>
  <c r="CK68" i="2"/>
  <c r="CL68" i="2" s="1"/>
  <c r="CL30" i="2"/>
  <c r="CL31" i="2"/>
  <c r="CL32" i="2"/>
  <c r="CL33" i="2"/>
  <c r="CL34" i="2"/>
  <c r="CL35" i="2"/>
  <c r="CL36" i="2"/>
  <c r="CL37" i="2"/>
  <c r="CL38" i="2"/>
  <c r="CL39" i="2"/>
  <c r="CL40" i="2"/>
  <c r="CL41" i="2"/>
  <c r="CL42" i="2"/>
  <c r="CL43" i="2"/>
  <c r="CL44" i="2"/>
  <c r="CL45" i="2"/>
  <c r="CL46" i="2"/>
  <c r="CL47" i="2"/>
  <c r="CL48" i="2"/>
  <c r="CL49" i="2"/>
  <c r="CL50" i="2"/>
  <c r="CL51" i="2"/>
  <c r="CL52" i="2"/>
  <c r="CL53" i="2"/>
  <c r="CL54" i="2"/>
  <c r="CL55" i="2"/>
  <c r="CL56" i="2"/>
  <c r="CL57" i="2"/>
  <c r="CL58" i="2"/>
  <c r="CL59" i="2"/>
  <c r="CL60" i="2"/>
  <c r="CL61" i="2"/>
  <c r="CL62" i="2"/>
  <c r="CL63" i="2"/>
  <c r="Z78" i="2"/>
  <c r="AA73" i="2"/>
  <c r="AA63" i="2"/>
  <c r="AA53" i="2"/>
  <c r="CB77" i="2"/>
  <c r="CB76" i="2"/>
  <c r="CB75" i="2"/>
  <c r="CB73" i="2"/>
  <c r="CB74" i="2"/>
  <c r="CI61" i="2"/>
  <c r="CL64" i="2"/>
  <c r="CL65" i="2"/>
  <c r="CL66" i="2"/>
  <c r="CL67" i="2"/>
  <c r="CB78" i="2"/>
  <c r="CB79" i="2"/>
  <c r="CB80" i="2"/>
  <c r="CB81" i="2"/>
  <c r="CB82" i="2"/>
  <c r="CB83" i="2"/>
  <c r="CB84" i="2"/>
  <c r="CB85" i="2"/>
  <c r="CB86" i="2"/>
  <c r="CB87" i="2"/>
  <c r="CB88" i="2"/>
  <c r="CB89" i="2"/>
  <c r="CB90" i="2"/>
  <c r="CB91" i="2"/>
  <c r="CB92" i="2"/>
  <c r="CL77" i="2"/>
  <c r="CL79" i="2"/>
  <c r="CL82" i="2"/>
  <c r="CL84" i="2"/>
  <c r="CL89" i="2"/>
  <c r="CL70" i="2"/>
  <c r="CI63" i="2"/>
  <c r="CI64" i="2"/>
  <c r="CI65" i="2"/>
  <c r="CI66" i="2"/>
  <c r="CI68" i="2"/>
  <c r="CI76" i="2"/>
  <c r="CI84" i="2"/>
  <c r="CI85" i="2"/>
  <c r="CI86" i="2"/>
  <c r="CI87" i="2"/>
  <c r="CI88" i="2"/>
  <c r="CI89" i="2"/>
  <c r="CI90" i="2"/>
  <c r="CI91" i="2"/>
  <c r="CI92" i="2"/>
  <c r="CI62" i="2"/>
  <c r="CO92" i="2"/>
  <c r="CO71" i="2"/>
  <c r="CO72" i="2"/>
  <c r="CO73" i="2"/>
  <c r="CO74" i="2"/>
  <c r="CO75" i="2"/>
  <c r="CO76" i="2"/>
  <c r="CO77" i="2"/>
  <c r="CO78" i="2"/>
  <c r="CO79" i="2"/>
  <c r="CO80" i="2"/>
  <c r="CO81" i="2"/>
  <c r="CO82" i="2"/>
  <c r="CO83" i="2"/>
  <c r="CO84" i="2"/>
  <c r="CO85" i="2"/>
  <c r="CO86" i="2"/>
  <c r="CO87" i="2"/>
  <c r="CO88" i="2"/>
  <c r="CO89" i="2"/>
  <c r="CO90" i="2"/>
  <c r="CO91" i="2"/>
  <c r="CO70" i="2"/>
  <c r="BB79" i="2"/>
  <c r="P91" i="2"/>
  <c r="P92" i="2"/>
  <c r="P93" i="2"/>
  <c r="BI82" i="2"/>
  <c r="BB84" i="2"/>
  <c r="BS77" i="2"/>
  <c r="BU77" i="2" s="1"/>
  <c r="BU53" i="2"/>
  <c r="BP78" i="2"/>
  <c r="BR78" i="2" s="1"/>
  <c r="BP72" i="2"/>
  <c r="BR72" i="2" s="1"/>
  <c r="BJ89" i="2"/>
  <c r="BJ92" i="2"/>
  <c r="BH87" i="2"/>
  <c r="BJ87" i="2" s="1"/>
  <c r="BH88" i="2"/>
  <c r="BJ88" i="2" s="1"/>
  <c r="BJ91" i="2"/>
  <c r="BH90" i="2"/>
  <c r="BJ90" i="2" s="1"/>
  <c r="BB91" i="2"/>
  <c r="BB87" i="2"/>
  <c r="BB90" i="2"/>
  <c r="BB88" i="2"/>
  <c r="BB89" i="2"/>
  <c r="BB82" i="2"/>
  <c r="BF92" i="2"/>
  <c r="BE92" i="2"/>
  <c r="AJ74" i="2"/>
  <c r="AI78" i="2"/>
  <c r="AK78" i="2" s="1"/>
  <c r="AK84" i="2"/>
  <c r="AK86" i="2"/>
  <c r="AK88" i="2"/>
  <c r="AK90" i="2"/>
  <c r="AK92" i="2"/>
  <c r="AH90" i="2"/>
  <c r="AF90" i="2"/>
  <c r="CI77" i="2" l="1"/>
  <c r="CI69" i="2"/>
  <c r="CF89" i="2"/>
  <c r="CF87" i="2"/>
  <c r="CF84" i="2"/>
  <c r="CF92" i="2"/>
  <c r="CF90" i="2"/>
  <c r="CF88" i="2"/>
  <c r="CF86" i="2"/>
  <c r="CF91" i="2"/>
  <c r="CI71" i="2"/>
  <c r="CI79" i="2"/>
  <c r="CI75" i="2"/>
  <c r="CI82" i="2"/>
  <c r="CI78" i="2"/>
  <c r="CI74" i="2"/>
  <c r="AA84" i="2"/>
  <c r="AA85" i="2"/>
  <c r="AA86" i="2"/>
  <c r="AC88" i="2"/>
  <c r="AC90" i="2"/>
  <c r="AA88" i="2"/>
  <c r="AA90" i="2"/>
  <c r="W86" i="2"/>
  <c r="W87" i="2"/>
  <c r="W88" i="2"/>
  <c r="W89" i="2"/>
  <c r="W90" i="2"/>
  <c r="W91" i="2"/>
  <c r="W85" i="2"/>
  <c r="P89" i="2"/>
  <c r="O89" i="2"/>
  <c r="N90" i="2"/>
  <c r="N91" i="2"/>
  <c r="N92" i="2"/>
  <c r="N93" i="2"/>
  <c r="G96" i="2" l="1"/>
  <c r="G97" i="2"/>
  <c r="G98" i="2"/>
  <c r="G99" i="2"/>
  <c r="G100" i="2"/>
  <c r="G101" i="2"/>
  <c r="G102" i="2"/>
  <c r="G103" i="2"/>
  <c r="G104" i="2"/>
  <c r="G105" i="2"/>
  <c r="G106" i="2"/>
  <c r="G107" i="2"/>
  <c r="G108" i="2"/>
  <c r="G95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79" i="2"/>
  <c r="N73" i="4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Vezeau</author>
  </authors>
  <commentList>
    <comment ref="P73" authorId="0" shapeId="0" xr:uid="{49F8CBD2-DC8D-4E63-ABD9-4F7EED04F206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"Female"</t>
        </r>
      </text>
    </comment>
    <comment ref="AD73" authorId="0" shapeId="0" xr:uid="{5F45C847-BFC9-4288-9B10-C75EC31B1172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"Females"</t>
        </r>
      </text>
    </comment>
    <comment ref="AG73" authorId="0" shapeId="0" xr:uid="{414C207D-57A3-471A-97A5-95B6B275E7F0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"Female"</t>
        </r>
      </text>
    </comment>
    <comment ref="AN73" authorId="0" shapeId="0" xr:uid="{AC875F46-8CF0-4142-A13F-E005265F7475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"Female"</t>
        </r>
      </text>
    </comment>
    <comment ref="AO73" authorId="0" shapeId="0" xr:uid="{45F115F5-1BC3-4156-9932-D698C1B5A2ED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"Female"</t>
        </r>
      </text>
    </comment>
    <comment ref="AP73" authorId="0" shapeId="0" xr:uid="{6CE8E047-2644-4A0C-9DB6-F03B803ED058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"Female"</t>
        </r>
      </text>
    </comment>
    <comment ref="P77" authorId="0" shapeId="0" xr:uid="{8EF517A7-1DB7-4ABD-8446-67B5DE2A530D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"Female"</t>
        </r>
      </text>
    </comment>
    <comment ref="AD77" authorId="0" shapeId="0" xr:uid="{DA1530BF-0E1E-4E71-B40A-500AD22A8345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"Female"</t>
        </r>
      </text>
    </comment>
    <comment ref="AG77" authorId="0" shapeId="0" xr:uid="{28B29441-E525-47EC-894F-EF26C543F491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"Female"</t>
        </r>
      </text>
    </comment>
    <comment ref="AN77" authorId="0" shapeId="0" xr:uid="{8152D0FB-D880-46EA-AB5A-80426E5F9DF4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"Female"</t>
        </r>
      </text>
    </comment>
    <comment ref="AO77" authorId="0" shapeId="0" xr:uid="{EFB1F9F3-2166-42FF-BC01-2B891B159C78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"Female"</t>
        </r>
      </text>
    </comment>
    <comment ref="AP77" authorId="0" shapeId="0" xr:uid="{865C3F0D-B7F7-404E-A47F-BF0CFEA5BC6A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58% Female according to FVE Survey: https://www.fve.org/cms/wp-content/uploads/FVE_Survey_2018_WEB.pdf</t>
        </r>
      </text>
    </comment>
    <comment ref="P82" authorId="0" shapeId="0" xr:uid="{D8EE062A-640E-4FED-8C2B-6832466981B7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"Female"</t>
        </r>
      </text>
    </comment>
    <comment ref="AD82" authorId="0" shapeId="0" xr:uid="{73AA67A9-0A02-4F7D-B2AA-9F818A06E2A5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"Female"</t>
        </r>
      </text>
    </comment>
    <comment ref="AG82" authorId="0" shapeId="0" xr:uid="{035AADF8-A766-4616-A829-DB600CD413A2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"Female"</t>
        </r>
      </text>
    </comment>
    <comment ref="AN82" authorId="0" shapeId="0" xr:uid="{42B74C40-4ADE-48DA-9261-039ACA221D72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"Female"</t>
        </r>
      </text>
    </comment>
    <comment ref="AO82" authorId="0" shapeId="0" xr:uid="{BB101A9E-947A-4C43-AB61-7131295DC874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"Female"</t>
        </r>
      </text>
    </comment>
    <comment ref="AP82" authorId="0" shapeId="0" xr:uid="{FDE871DC-FBD0-4E73-B049-041E95A4AA49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"Female"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Vezeau</author>
  </authors>
  <commentList>
    <comment ref="J95" authorId="0" shapeId="0" xr:uid="{8D661D56-9DF5-4D30-90B1-C8AC0B30E46F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"Female"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Vezeau</author>
    <author>Neil</author>
  </authors>
  <commentList>
    <comment ref="D86" authorId="0" shapeId="0" xr:uid="{7E92D835-A3E7-4771-855F-E7A9559602B9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FVE Survey says 53%: https://www.fve.org/cms/wp-content/uploads/FVE_Survey_2018_WEB.pdf</t>
        </r>
      </text>
    </comment>
    <comment ref="G88" authorId="1" shapeId="0" xr:uid="{00000000-0006-0000-0B00-000001000000}">
      <text>
        <r>
          <rPr>
            <b/>
            <sz val="9"/>
            <color indexed="81"/>
            <rFont val="Tahoma"/>
            <family val="2"/>
          </rPr>
          <t>Neil:</t>
        </r>
        <r>
          <rPr>
            <sz val="9"/>
            <color indexed="81"/>
            <rFont val="Tahoma"/>
            <family val="2"/>
          </rPr>
          <t xml:space="preserve">
Demographic Atlas of Veterinary Profession 2021 states 76.2%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</author>
    <author>Neil Vezeau</author>
  </authors>
  <commentList>
    <comment ref="B1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Neil:</t>
        </r>
        <r>
          <rPr>
            <sz val="9"/>
            <color indexed="81"/>
            <rFont val="Tahoma"/>
            <family val="2"/>
          </rPr>
          <t xml:space="preserve">
https://d-nb.info/961936495/34
other source</t>
        </r>
      </text>
    </comment>
    <comment ref="I2" authorId="0" shapeId="0" xr:uid="{00000000-0006-0000-0C00-000002000000}">
      <text>
        <r>
          <rPr>
            <b/>
            <sz val="9"/>
            <color indexed="81"/>
            <rFont val="Tahoma"/>
            <family val="2"/>
          </rPr>
          <t>Neil:</t>
        </r>
        <r>
          <rPr>
            <sz val="9"/>
            <color indexed="81"/>
            <rFont val="Tahoma"/>
            <family val="2"/>
          </rPr>
          <t xml:space="preserve">
Those who just passed the state exam</t>
        </r>
      </text>
    </comment>
    <comment ref="I3" authorId="0" shapeId="0" xr:uid="{00000000-0006-0000-0C00-000003000000}">
      <text>
        <r>
          <rPr>
            <b/>
            <sz val="9"/>
            <color indexed="81"/>
            <rFont val="Tahoma"/>
            <family val="2"/>
          </rPr>
          <t>Neil:</t>
        </r>
        <r>
          <rPr>
            <sz val="9"/>
            <color indexed="81"/>
            <rFont val="Tahoma"/>
            <family val="2"/>
          </rPr>
          <t xml:space="preserve">
Just German ciitizens that passed</t>
        </r>
      </text>
    </comment>
    <comment ref="O3" authorId="0" shapeId="0" xr:uid="{00000000-0006-0000-0C00-000004000000}">
      <text>
        <r>
          <rPr>
            <b/>
            <sz val="9"/>
            <color indexed="81"/>
            <rFont val="Tahoma"/>
            <family val="2"/>
          </rPr>
          <t>Neil:</t>
        </r>
        <r>
          <rPr>
            <sz val="9"/>
            <color indexed="81"/>
            <rFont val="Tahoma"/>
            <family val="2"/>
          </rPr>
          <t xml:space="preserve">
winter semester only</t>
        </r>
      </text>
    </comment>
    <comment ref="D60" authorId="1" shapeId="0" xr:uid="{67BE19FA-0A29-4ABB-907F-8A439E35864F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FVE Survey says 68%: https://fve.org/cms/wp-content/uploads/FVE-Survey-2023_updated-v3.pdf</t>
        </r>
      </text>
    </comment>
    <comment ref="D64" authorId="1" shapeId="0" xr:uid="{CB0284E9-01FE-4642-BAA5-C8E21984584B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FVE Survey says 72%: https://www.fve.org/cms/wp-content/uploads/FVE_Survey_2018_WEB.pdf</t>
        </r>
      </text>
    </comment>
    <comment ref="D69" authorId="1" shapeId="0" xr:uid="{1F3FEB19-956F-4735-8E1D-FA851645FFCD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FVE Survey says 80%: https://fve.org/cms/wp-content/uploads/FVE-Survey-2023_updated-v3.pdf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tc={7C68C2A5-B61C-4387-B3BA-32EA9F49C991}</author>
  </authors>
  <commentList>
    <comment ref="B2" authorId="0" shapeId="0" xr:uid="{7C68C2A5-B61C-4387-B3BA-32EA9F49C991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veterinary and zootechnical graduates. Zootechnicians constitute a minority of graduates</t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</author>
  </authors>
  <commentList>
    <comment ref="E10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Neil:</t>
        </r>
        <r>
          <rPr>
            <sz val="9"/>
            <color indexed="81"/>
            <rFont val="Tahoma"/>
            <family val="2"/>
          </rPr>
          <t xml:space="preserve">
Averaged (figures given may be anecdotal)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Vezeau</author>
  </authors>
  <commentList>
    <comment ref="C10" authorId="0" shapeId="0" xr:uid="{49947615-357E-4238-8DAC-900BCCDC5990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"Female"</t>
        </r>
      </text>
    </comment>
    <comment ref="C14" authorId="0" shapeId="0" xr:uid="{9AE26B86-2D87-4446-A4AE-8032DB09E928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FVE Survey says 53%: https://www.fve.org/cms/wp-content/uploads/FVE_Survey_2018_WEB.pdf</t>
        </r>
      </text>
    </comment>
    <comment ref="C19" authorId="0" shapeId="0" xr:uid="{45DEBB9C-7019-41D2-B82D-412443C1CDFC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"Female"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</author>
  </authors>
  <commentList>
    <comment ref="R9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Neil: (?)</t>
        </r>
        <r>
          <rPr>
            <sz val="9"/>
            <color indexed="81"/>
            <rFont val="Tahoma"/>
            <family val="2"/>
          </rPr>
          <t xml:space="preserve">
https://www.maff.go.jp/j/study/other/jui_jukyu/pdf/report.pdf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</author>
  </authors>
  <commentList>
    <comment ref="A4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Neil:</t>
        </r>
        <r>
          <rPr>
            <sz val="9"/>
            <color indexed="81"/>
            <rFont val="Tahoma"/>
            <family val="2"/>
          </rPr>
          <t xml:space="preserve">
Unsure if year is correct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tc={E36DC6F1-583A-4EA3-A6CB-1E78744A5D74}</author>
  </authors>
  <commentList>
    <comment ref="B2" authorId="0" shapeId="0" xr:uid="{E36DC6F1-583A-4EA3-A6CB-1E78744A5D74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paraprofessionals and those without higher education</t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</author>
  </authors>
  <commentList>
    <comment ref="B4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Neil:</t>
        </r>
        <r>
          <rPr>
            <sz val="9"/>
            <color indexed="81"/>
            <rFont val="Tahoma"/>
            <family val="2"/>
          </rPr>
          <t xml:space="preserve">
Figure given for all agricultural and veterinary sciences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Vezeau</author>
    <author>Neil</author>
  </authors>
  <commentList>
    <comment ref="F30" authorId="0" shapeId="0" xr:uid="{E355943C-4E90-4124-B841-7E07A45F6F19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  <comment ref="F31" authorId="0" shapeId="0" xr:uid="{0343B58B-6390-4BFF-85FA-064C10B176A1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  <comment ref="F32" authorId="0" shapeId="0" xr:uid="{CBEF573D-22E3-4B35-81A5-83CFB940A033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  <comment ref="F33" authorId="0" shapeId="0" xr:uid="{A1081A28-F39B-4D05-9326-C68FE6719510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  <comment ref="F34" authorId="0" shapeId="0" xr:uid="{F981D9B3-5DFF-4554-8B17-513414CD647A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  <comment ref="F35" authorId="0" shapeId="0" xr:uid="{5AC7B65F-A9C1-46B6-8C37-E54122C3837B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  <comment ref="F36" authorId="0" shapeId="0" xr:uid="{C6F2FFEC-695E-4036-A915-25CFD3446EC3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  <comment ref="F37" authorId="0" shapeId="0" xr:uid="{5C0E27CA-CB7A-4153-A575-2A4997D6E529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  <comment ref="F38" authorId="0" shapeId="0" xr:uid="{17DC2F46-4BB5-4FE1-A847-F0F679EB988B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  <comment ref="F39" authorId="0" shapeId="0" xr:uid="{7DB7AB1B-EDD6-445D-A1D9-87F267CAAD6F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  <comment ref="Z39" authorId="1" shapeId="0" xr:uid="{27FDB9C8-A590-41D9-B1D3-AE03363DAD60}">
      <text>
        <r>
          <rPr>
            <b/>
            <sz val="9"/>
            <color indexed="81"/>
            <rFont val="Tahoma"/>
            <charset val="1"/>
          </rPr>
          <t>Neil:</t>
        </r>
        <r>
          <rPr>
            <sz val="9"/>
            <color indexed="81"/>
            <rFont val="Tahoma"/>
            <charset val="1"/>
          </rPr>
          <t xml:space="preserve">
Veterinærstudiets omslag fra mannsstudium til kvinnestudium
– idé til et forskningsprosjekt</t>
        </r>
      </text>
    </comment>
    <comment ref="F40" authorId="0" shapeId="0" xr:uid="{D7E3CA6E-A562-49E3-A730-5CB5CA37C370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  <comment ref="F41" authorId="0" shapeId="0" xr:uid="{ECA4687D-342B-4B7F-9CC5-07BCB65F1CAE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  <comment ref="Z49" authorId="1" shapeId="0" xr:uid="{09698E02-F4DD-4E37-BE70-E0DE64861947}">
      <text>
        <r>
          <rPr>
            <b/>
            <sz val="9"/>
            <color indexed="81"/>
            <rFont val="Tahoma"/>
            <charset val="1"/>
          </rPr>
          <t>Neil:</t>
        </r>
        <r>
          <rPr>
            <sz val="9"/>
            <color indexed="81"/>
            <rFont val="Tahoma"/>
            <charset val="1"/>
          </rPr>
          <t xml:space="preserve">
Approximate</t>
        </r>
      </text>
    </comment>
    <comment ref="V90" authorId="1" shapeId="0" xr:uid="{C2C446D8-BE34-460A-BEE0-29972EE2D23B}">
      <text>
        <r>
          <rPr>
            <b/>
            <sz val="9"/>
            <color indexed="81"/>
            <rFont val="Tahoma"/>
            <family val="2"/>
          </rPr>
          <t>Neil:</t>
        </r>
        <r>
          <rPr>
            <sz val="9"/>
            <color indexed="81"/>
            <rFont val="Tahoma"/>
            <family val="2"/>
          </rPr>
          <t xml:space="preserve">
Demographic Atlas of Veterinary Profession 2021 states 76.2%</t>
        </r>
      </text>
    </comment>
    <comment ref="F93" authorId="0" shapeId="0" xr:uid="{A8B9BAC5-2D29-4B6A-AAFF-6699D83093C4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  <comment ref="F94" authorId="0" shapeId="0" xr:uid="{2DFE93D4-A3D6-40AE-9B47-9F894E0AA24B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Estimated: "Almost 80%"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Vezeau</author>
  </authors>
  <commentList>
    <comment ref="D31" authorId="0" shapeId="0" xr:uid="{2E6E49C0-5F17-4E0D-A853-627926203366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Computed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Vezeau</author>
  </authors>
  <commentList>
    <comment ref="C49" authorId="0" shapeId="0" xr:uid="{8D439A30-4F4E-4CDC-A285-6283565CC0A5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Approximate</t>
        </r>
      </text>
    </comment>
    <comment ref="C61" authorId="0" shapeId="0" xr:uid="{2C70A1C5-575E-4682-B279-29201F265C25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Approximate</t>
        </r>
      </text>
    </comment>
    <comment ref="C69" authorId="0" shapeId="0" xr:uid="{F1CDF4BE-7270-42BF-85A0-FCEE1D958AB6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Approximate</t>
        </r>
      </text>
    </comment>
    <comment ref="C73" authorId="0" shapeId="0" xr:uid="{7CC82D77-E3BF-4355-8FEF-99AFC8C3F5C5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Approximate</t>
        </r>
      </text>
    </comment>
    <comment ref="C85" authorId="0" shapeId="0" xr:uid="{4CC0356C-D371-40A6-9962-49905CA24CF3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Approximate</t>
        </r>
      </text>
    </comment>
    <comment ref="E93" authorId="0" shapeId="0" xr:uid="{68727493-A6E2-476F-9F59-5435AD99986F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"Females"</t>
        </r>
      </text>
    </comment>
    <comment ref="E97" authorId="0" shapeId="0" xr:uid="{E73189DC-1D39-4D0A-B6CB-EA9973039A0F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"Female"</t>
        </r>
      </text>
    </comment>
    <comment ref="E102" authorId="0" shapeId="0" xr:uid="{86264BEA-B09C-4E4B-B557-02BCA9759F4A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"Female"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</author>
  </authors>
  <commentList>
    <comment ref="C2" authorId="0" shapeId="0" xr:uid="{00000000-0006-0000-1600-000001000000}">
      <text>
        <r>
          <rPr>
            <b/>
            <sz val="9"/>
            <color indexed="81"/>
            <rFont val="Tahoma"/>
            <charset val="1"/>
          </rPr>
          <t>Neil:</t>
        </r>
        <r>
          <rPr>
            <sz val="9"/>
            <color indexed="81"/>
            <rFont val="Tahoma"/>
            <charset val="1"/>
          </rPr>
          <t xml:space="preserve">
Census category is "sex"</t>
        </r>
      </text>
    </comment>
    <comment ref="C4" authorId="0" shapeId="0" xr:uid="{00000000-0006-0000-1600-000002000000}">
      <text>
        <r>
          <rPr>
            <b/>
            <sz val="9"/>
            <color indexed="81"/>
            <rFont val="Tahoma"/>
            <charset val="1"/>
          </rPr>
          <t xml:space="preserve">Neil:
</t>
        </r>
        <r>
          <rPr>
            <sz val="9"/>
            <color indexed="81"/>
            <rFont val="Tahoma"/>
            <family val="2"/>
          </rPr>
          <t>Only includes "full time equivalents" (FTEs), not absolute numbers of personnel</t>
        </r>
      </text>
    </comment>
    <comment ref="D4" authorId="0" shapeId="0" xr:uid="{00000000-0006-0000-1600-000003000000}">
      <text>
        <r>
          <rPr>
            <b/>
            <sz val="9"/>
            <color indexed="81"/>
            <rFont val="Tahoma"/>
            <family val="2"/>
          </rPr>
          <t>Neil:</t>
        </r>
        <r>
          <rPr>
            <sz val="9"/>
            <color indexed="81"/>
            <rFont val="Tahoma"/>
            <family val="2"/>
          </rPr>
          <t xml:space="preserve">
Only includes "full time equivalents" (FTEs), not absolute numbers of personnel</t>
        </r>
      </text>
    </comment>
    <comment ref="E9" authorId="0" shapeId="0" xr:uid="{00000000-0006-0000-1600-000004000000}">
      <text>
        <r>
          <rPr>
            <b/>
            <sz val="9"/>
            <color indexed="81"/>
            <rFont val="Tahoma"/>
            <family val="2"/>
          </rPr>
          <t xml:space="preserve">Neil:
</t>
        </r>
        <r>
          <rPr>
            <sz val="9"/>
            <color indexed="81"/>
            <rFont val="Tahoma"/>
            <family val="2"/>
          </rPr>
          <t>Source: "Retention in the Veterinary Profession
Data from New Zealand" presentation by
Jenny Weston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</author>
    <author>Neil Vezeau</author>
  </authors>
  <commentList>
    <comment ref="C38" authorId="0" shapeId="0" xr:uid="{00000000-0006-0000-1700-000001000000}">
      <text>
        <r>
          <rPr>
            <b/>
            <sz val="9"/>
            <color indexed="81"/>
            <rFont val="Tahoma"/>
            <charset val="1"/>
          </rPr>
          <t>Neil:</t>
        </r>
        <r>
          <rPr>
            <sz val="9"/>
            <color indexed="81"/>
            <rFont val="Tahoma"/>
            <charset val="1"/>
          </rPr>
          <t xml:space="preserve">
Veterinærstudiets omslag fra mannsstudium til kvinnestudium
– idé til et forskningsprosjekt</t>
        </r>
      </text>
    </comment>
    <comment ref="D38" authorId="0" shapeId="0" xr:uid="{00000000-0006-0000-1700-000002000000}">
      <text>
        <r>
          <rPr>
            <b/>
            <sz val="9"/>
            <color indexed="81"/>
            <rFont val="Tahoma"/>
            <charset val="1"/>
          </rPr>
          <t>Neil:</t>
        </r>
        <r>
          <rPr>
            <sz val="9"/>
            <color indexed="81"/>
            <rFont val="Tahoma"/>
            <charset val="1"/>
          </rPr>
          <t xml:space="preserve">
Veterinærstudiets omslag fra mannsstudium til kvinnestudium
– idé til et forskningsprosjekt</t>
        </r>
      </text>
    </comment>
    <comment ref="G48" authorId="0" shapeId="0" xr:uid="{00000000-0006-0000-1700-000003000000}">
      <text>
        <r>
          <rPr>
            <b/>
            <sz val="9"/>
            <color indexed="81"/>
            <rFont val="Tahoma"/>
            <charset val="1"/>
          </rPr>
          <t>Neil:</t>
        </r>
        <r>
          <rPr>
            <sz val="9"/>
            <color indexed="81"/>
            <rFont val="Tahoma"/>
            <charset val="1"/>
          </rPr>
          <t xml:space="preserve">
Approximate</t>
        </r>
      </text>
    </comment>
    <comment ref="B72" authorId="0" shapeId="0" xr:uid="{00000000-0006-0000-1700-000004000000}">
      <text>
        <r>
          <rPr>
            <b/>
            <sz val="9"/>
            <color indexed="81"/>
            <rFont val="Tahoma"/>
            <charset val="1"/>
          </rPr>
          <t>Neil:</t>
        </r>
        <r>
          <rPr>
            <sz val="9"/>
            <color indexed="81"/>
            <rFont val="Tahoma"/>
            <charset val="1"/>
          </rPr>
          <t xml:space="preserve">
Combined stats with this article: https://universitas.no/sak/50498/vellykket-mannskvotering/</t>
        </r>
      </text>
    </comment>
    <comment ref="C72" authorId="0" shapeId="0" xr:uid="{00000000-0006-0000-1700-000005000000}">
      <text>
        <r>
          <rPr>
            <b/>
            <sz val="9"/>
            <color indexed="81"/>
            <rFont val="Tahoma"/>
            <charset val="1"/>
          </rPr>
          <t>Neil:</t>
        </r>
        <r>
          <rPr>
            <sz val="9"/>
            <color indexed="81"/>
            <rFont val="Tahoma"/>
            <charset val="1"/>
          </rPr>
          <t xml:space="preserve">
Combined stats with this article: https://universitas.no/sak/50498/vellykket-mannskvotering/</t>
        </r>
      </text>
    </comment>
    <comment ref="I83" authorId="1" shapeId="0" xr:uid="{30F1DB24-E55F-4A4E-9BDD-2BD23F23503F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"Female"</t>
        </r>
      </text>
    </comment>
    <comment ref="I87" authorId="1" shapeId="0" xr:uid="{46AAE3C5-9DBA-401C-BD1E-D03397FD8BA7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"Female"</t>
        </r>
      </text>
    </comment>
    <comment ref="I92" authorId="1" shapeId="0" xr:uid="{6623D426-348D-4352-BFBE-42F48ACDA304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"Female"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Vezeau</author>
    <author>Neil</author>
  </authors>
  <commentList>
    <comment ref="D81" authorId="0" shapeId="0" xr:uid="{640C661D-4D41-4EF6-A514-680A1EA1AF35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"Female"</t>
        </r>
      </text>
    </comment>
    <comment ref="D85" authorId="0" shapeId="0" xr:uid="{89AA9BF1-5A8B-4439-91D7-58AAE75633DC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"Female"</t>
        </r>
      </text>
    </comment>
    <comment ref="B87" authorId="1" shapeId="0" xr:uid="{00000000-0006-0000-1800-000001000000}">
      <text>
        <r>
          <rPr>
            <b/>
            <sz val="9"/>
            <color indexed="81"/>
            <rFont val="Tahoma"/>
            <family val="2"/>
          </rPr>
          <t>Neil:</t>
        </r>
        <r>
          <rPr>
            <sz val="9"/>
            <color indexed="81"/>
            <rFont val="Tahoma"/>
            <family val="2"/>
          </rPr>
          <t xml:space="preserve">
Likely anecdotal</t>
        </r>
      </text>
    </comment>
    <comment ref="D87" authorId="1" shapeId="0" xr:uid="{00000000-0006-0000-1800-000002000000}">
      <text>
        <r>
          <rPr>
            <b/>
            <sz val="9"/>
            <color indexed="81"/>
            <rFont val="Tahoma"/>
            <family val="2"/>
          </rPr>
          <t>Neil:</t>
        </r>
        <r>
          <rPr>
            <sz val="9"/>
            <color indexed="81"/>
            <rFont val="Tahoma"/>
            <family val="2"/>
          </rPr>
          <t xml:space="preserve">
Likely anecdotal</t>
        </r>
      </text>
    </comment>
    <comment ref="D90" authorId="0" shapeId="0" xr:uid="{AEDAD510-CC6F-4DCC-9695-3DFBFEC30EF9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"Female"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</author>
  </authors>
  <commentList>
    <comment ref="C4" authorId="0" shapeId="0" xr:uid="{00000000-0006-0000-1B00-000001000000}">
      <text>
        <r>
          <rPr>
            <b/>
            <sz val="9"/>
            <color indexed="81"/>
            <rFont val="Tahoma"/>
            <family val="2"/>
          </rPr>
          <t>Neil:</t>
        </r>
        <r>
          <rPr>
            <sz val="9"/>
            <color indexed="81"/>
            <rFont val="Tahoma"/>
            <family val="2"/>
          </rPr>
          <t xml:space="preserve">
Averaged from range given: "ratio is between 67% to 71% women"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Vezeau</author>
  </authors>
  <commentList>
    <comment ref="H65" authorId="0" shapeId="0" xr:uid="{0EDC34E5-0726-4E96-A8E4-A5549CDFA740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"Female"</t>
        </r>
      </text>
    </comment>
    <comment ref="D66" authorId="0" shapeId="0" xr:uid="{CF51EFAD-D65F-4602-A5C4-032D4014E5DC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Computed</t>
        </r>
      </text>
    </comment>
    <comment ref="D67" authorId="0" shapeId="0" xr:uid="{27F817C7-9178-4FF2-8B51-82B9633577DD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Computed</t>
        </r>
      </text>
    </comment>
    <comment ref="D68" authorId="0" shapeId="0" xr:uid="{706CFB07-37DA-4FF6-82C8-FC6E8E9ABE9C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Computed</t>
        </r>
      </text>
    </comment>
    <comment ref="D69" authorId="0" shapeId="0" xr:uid="{69ADFD4D-F53A-415F-86A0-5794DE40ABC0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Computed</t>
        </r>
      </text>
    </comment>
    <comment ref="H69" authorId="0" shapeId="0" xr:uid="{C52E1CEF-1A64-448D-A274-E831859139D9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"Female"</t>
        </r>
      </text>
    </comment>
    <comment ref="D70" authorId="0" shapeId="0" xr:uid="{8CCA3CE5-B7DB-4560-ABA4-675115CD7184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Computed</t>
        </r>
      </text>
    </comment>
    <comment ref="D71" authorId="0" shapeId="0" xr:uid="{DDFE38AC-6E4A-4FFA-957F-B6B87DA6CA1B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Computed</t>
        </r>
      </text>
    </comment>
    <comment ref="H74" authorId="0" shapeId="0" xr:uid="{14B0F489-43D9-4EF0-9DFD-3977EFCA8C0F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"Female"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</author>
    <author>Neil Vezeau</author>
  </authors>
  <commentList>
    <comment ref="C27" authorId="0" shapeId="0" xr:uid="{00000000-0006-0000-1E00-000001000000}">
      <text>
        <r>
          <rPr>
            <b/>
            <sz val="9"/>
            <color indexed="81"/>
            <rFont val="Tahoma"/>
            <family val="2"/>
          </rPr>
          <t>Neil:</t>
        </r>
        <r>
          <rPr>
            <sz val="9"/>
            <color indexed="81"/>
            <rFont val="Tahoma"/>
            <family val="2"/>
          </rPr>
          <t xml:space="preserve">
Approximate</t>
        </r>
      </text>
    </comment>
    <comment ref="C39" authorId="0" shapeId="0" xr:uid="{00000000-0006-0000-1E00-000002000000}">
      <text>
        <r>
          <rPr>
            <b/>
            <sz val="9"/>
            <color indexed="81"/>
            <rFont val="Tahoma"/>
            <family val="2"/>
          </rPr>
          <t>Neil:</t>
        </r>
        <r>
          <rPr>
            <sz val="9"/>
            <color indexed="81"/>
            <rFont val="Tahoma"/>
            <family val="2"/>
          </rPr>
          <t xml:space="preserve">
Approximate</t>
        </r>
      </text>
    </comment>
    <comment ref="C45" authorId="0" shapeId="0" xr:uid="{00000000-0006-0000-1E00-000003000000}">
      <text>
        <r>
          <rPr>
            <b/>
            <sz val="9"/>
            <color indexed="81"/>
            <rFont val="Tahoma"/>
            <family val="2"/>
          </rPr>
          <t>Neil:</t>
        </r>
        <r>
          <rPr>
            <sz val="9"/>
            <color indexed="81"/>
            <rFont val="Tahoma"/>
            <family val="2"/>
          </rPr>
          <t xml:space="preserve">
Approximate</t>
        </r>
      </text>
    </comment>
    <comment ref="C59" authorId="0" shapeId="0" xr:uid="{00000000-0006-0000-1E00-000004000000}">
      <text>
        <r>
          <rPr>
            <b/>
            <sz val="9"/>
            <color indexed="81"/>
            <rFont val="Tahoma"/>
            <family val="2"/>
          </rPr>
          <t>Neil:</t>
        </r>
        <r>
          <rPr>
            <sz val="9"/>
            <color indexed="81"/>
            <rFont val="Tahoma"/>
            <family val="2"/>
          </rPr>
          <t xml:space="preserve">
Approximate</t>
        </r>
      </text>
    </comment>
    <comment ref="C68" authorId="0" shapeId="0" xr:uid="{00000000-0006-0000-1E00-000005000000}">
      <text>
        <r>
          <rPr>
            <b/>
            <sz val="9"/>
            <color indexed="81"/>
            <rFont val="Tahoma"/>
            <family val="2"/>
          </rPr>
          <t>Neil:</t>
        </r>
        <r>
          <rPr>
            <sz val="9"/>
            <color indexed="81"/>
            <rFont val="Tahoma"/>
            <family val="2"/>
          </rPr>
          <t xml:space="preserve">
Approximate</t>
        </r>
      </text>
    </comment>
    <comment ref="F73" authorId="1" shapeId="0" xr:uid="{AE3760EB-05AA-428C-AD56-30065AE346AB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"Female"</t>
        </r>
      </text>
    </comment>
    <comment ref="F77" authorId="1" shapeId="0" xr:uid="{B62C6010-4E26-4B30-B181-3B7A0A875426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"Female"</t>
        </r>
      </text>
    </comment>
    <comment ref="F82" authorId="1" shapeId="0" xr:uid="{19FC21FC-4569-47AF-945E-C6632550EA78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"Female"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Vezeau</author>
  </authors>
  <commentList>
    <comment ref="D68" authorId="0" shapeId="0" xr:uid="{D3D909E9-E819-42D6-A35A-347AFB4DE3EA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"Female"</t>
        </r>
      </text>
    </comment>
    <comment ref="D72" authorId="0" shapeId="0" xr:uid="{158EC22F-B6A4-4F61-B3F6-CEA11C908AB7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58% Female according to FVE Survey: https://www.fve.org/cms/wp-content/uploads/FVE_Survey_2018_WEB.pdf</t>
        </r>
      </text>
    </comment>
    <comment ref="D77" authorId="0" shapeId="0" xr:uid="{8C52A11B-B888-4205-9E09-EACFE770B946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"Female"</t>
        </r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</author>
    <author>tc={0906933E-AFB2-40B5-8C56-37AA8606C26B}</author>
    <author>Neil Vezeau</author>
  </authors>
  <commentList>
    <comment ref="B3" authorId="0" shapeId="0" xr:uid="{00000000-0006-0000-2200-000001000000}">
      <text>
        <r>
          <rPr>
            <b/>
            <sz val="9"/>
            <color indexed="81"/>
            <rFont val="Tahoma"/>
            <family val="2"/>
          </rPr>
          <t>Neil:</t>
        </r>
        <r>
          <rPr>
            <sz val="9"/>
            <color indexed="81"/>
            <rFont val="Tahoma"/>
            <family val="2"/>
          </rPr>
          <t xml:space="preserve">
RCVS Members</t>
        </r>
      </text>
    </comment>
    <comment ref="C3" authorId="0" shapeId="0" xr:uid="{00000000-0006-0000-2200-000002000000}">
      <text>
        <r>
          <rPr>
            <b/>
            <sz val="9"/>
            <color indexed="81"/>
            <rFont val="Tahoma"/>
            <family val="2"/>
          </rPr>
          <t>Neil:</t>
        </r>
        <r>
          <rPr>
            <sz val="9"/>
            <color indexed="81"/>
            <rFont val="Tahoma"/>
            <family val="2"/>
          </rPr>
          <t xml:space="preserve">
only counts those practicing
Includes those not in vet schools</t>
        </r>
      </text>
    </comment>
    <comment ref="G3" authorId="1" shapeId="0" xr:uid="{0906933E-AFB2-40B5-8C56-37AA8606C26B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Approximate: Includes “women” and “men” categories, but not “unspecified”</t>
      </text>
    </comment>
    <comment ref="B48" authorId="2" shapeId="0" xr:uid="{D007BEF7-1FB0-44E6-8963-0FCB2819F4E2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54% Female according to FVE Survey: https://www.colvet.es/files/portalcontenidos/documentos/document-2022-02-09t112347.069.pdf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Vezeau</author>
    <author>Neil</author>
  </authors>
  <commentList>
    <comment ref="N4" authorId="0" shapeId="0" xr:uid="{82F01D94-24ED-4071-8EE2-5E97A2D97957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  <comment ref="N5" authorId="0" shapeId="0" xr:uid="{4AC13557-74D9-4B2E-A786-49C296CC5CE5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  <comment ref="N6" authorId="0" shapeId="0" xr:uid="{1315CB1D-709D-478F-A1DF-D3A406CF6CDE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  <comment ref="N7" authorId="0" shapeId="0" xr:uid="{F32F33D9-945E-4C5F-9DED-CBD54BB902F6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  <comment ref="N8" authorId="0" shapeId="0" xr:uid="{C4C468B2-80CE-428A-BA53-7F11939003D9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  <comment ref="N9" authorId="0" shapeId="0" xr:uid="{D91D1C34-33B4-4B89-A88A-B18AB6CAA4A4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  <comment ref="N10" authorId="0" shapeId="0" xr:uid="{5A16DBA0-C331-4D02-9B3D-C732F9486219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  <comment ref="N11" authorId="0" shapeId="0" xr:uid="{892A63FD-8FAD-4A59-A23F-D8D3AB01CE7A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  <comment ref="N12" authorId="0" shapeId="0" xr:uid="{FD8A2F02-7F22-4419-8E36-18DD36916E63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  <comment ref="N13" authorId="0" shapeId="0" xr:uid="{DF83822E-C0D8-4819-83E5-53B2B07F84C8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  <comment ref="N14" authorId="0" shapeId="0" xr:uid="{058DB447-305B-4B59-887D-AB710EB655B1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  <comment ref="N15" authorId="0" shapeId="0" xr:uid="{3753E1B9-03E3-43FC-AB3F-D6BF86FB8C57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  <comment ref="K20" authorId="1" shapeId="0" xr:uid="{00000000-0006-0000-0100-000001000000}">
      <text>
        <r>
          <rPr>
            <b/>
            <sz val="9"/>
            <color indexed="81"/>
            <rFont val="Tahoma"/>
            <family val="2"/>
          </rPr>
          <t>Neil:</t>
        </r>
        <r>
          <rPr>
            <sz val="9"/>
            <color indexed="81"/>
            <rFont val="Tahoma"/>
            <family val="2"/>
          </rPr>
          <t xml:space="preserve">
Approximate</t>
        </r>
      </text>
    </comment>
    <comment ref="B60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Neil:
only represents the first 2 courses of the study.</t>
        </r>
      </text>
    </comment>
    <comment ref="N67" authorId="0" shapeId="0" xr:uid="{B9100C71-997A-48AE-BA15-48071C2ED44B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  <comment ref="N68" authorId="0" shapeId="0" xr:uid="{BB809548-DA52-464A-9C0A-6DCF65A7E503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Estimated: "Almost 80%"</t>
        </r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</author>
    <author>Neil Vezeau</author>
  </authors>
  <commentList>
    <comment ref="C48" authorId="0" shapeId="0" xr:uid="{00000000-0006-0000-2300-000001000000}">
      <text>
        <r>
          <rPr>
            <b/>
            <sz val="9"/>
            <color indexed="81"/>
            <rFont val="Tahoma"/>
            <charset val="1"/>
          </rPr>
          <t>Neil:</t>
        </r>
        <r>
          <rPr>
            <sz val="9"/>
            <color indexed="81"/>
            <rFont val="Tahoma"/>
            <charset val="1"/>
          </rPr>
          <t xml:space="preserve">
approximate</t>
        </r>
      </text>
    </comment>
    <comment ref="C51" authorId="0" shapeId="0" xr:uid="{00000000-0006-0000-2300-000002000000}">
      <text>
        <r>
          <rPr>
            <b/>
            <sz val="9"/>
            <color indexed="81"/>
            <rFont val="Tahoma"/>
            <charset val="1"/>
          </rPr>
          <t>Neil:</t>
        </r>
        <r>
          <rPr>
            <sz val="9"/>
            <color indexed="81"/>
            <rFont val="Tahoma"/>
            <charset val="1"/>
          </rPr>
          <t xml:space="preserve">
approximate</t>
        </r>
      </text>
    </comment>
    <comment ref="B56" authorId="1" shapeId="0" xr:uid="{B4E43D1B-6905-4B43-87F9-3254910C4BBE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Approximate</t>
        </r>
      </text>
    </comment>
    <comment ref="O73" authorId="0" shapeId="0" xr:uid="{00000000-0006-0000-2300-000003000000}">
      <text>
        <r>
          <rPr>
            <b/>
            <sz val="9"/>
            <color indexed="81"/>
            <rFont val="Tahoma"/>
            <family val="2"/>
          </rPr>
          <t>Neil:</t>
        </r>
        <r>
          <rPr>
            <sz val="9"/>
            <color indexed="81"/>
            <rFont val="Tahoma"/>
            <family val="2"/>
          </rPr>
          <t xml:space="preserve">
rough average over 60's</t>
        </r>
      </text>
    </comment>
    <comment ref="O83" authorId="0" shapeId="0" xr:uid="{00000000-0006-0000-2300-000004000000}">
      <text>
        <r>
          <rPr>
            <b/>
            <sz val="9"/>
            <color indexed="81"/>
            <rFont val="Tahoma"/>
            <family val="2"/>
          </rPr>
          <t>Neil Vezeau:
across for all graduates of '70s</t>
        </r>
      </text>
    </comment>
    <comment ref="D90" authorId="0" shapeId="0" xr:uid="{00000000-0006-0000-2300-000005000000}">
      <text>
        <r>
          <rPr>
            <b/>
            <sz val="9"/>
            <color indexed="81"/>
            <rFont val="Tahoma"/>
            <charset val="1"/>
          </rPr>
          <t>Neil:</t>
        </r>
        <r>
          <rPr>
            <sz val="9"/>
            <color indexed="81"/>
            <rFont val="Tahoma"/>
            <charset val="1"/>
          </rPr>
          <t xml:space="preserve">
Only includes "active" veterinarians</t>
        </r>
      </text>
    </comment>
    <comment ref="O93" authorId="0" shapeId="0" xr:uid="{00000000-0006-0000-2300-000006000000}">
      <text>
        <r>
          <rPr>
            <b/>
            <sz val="9"/>
            <color indexed="81"/>
            <rFont val="Tahoma"/>
            <family val="2"/>
          </rPr>
          <t>Neil:</t>
        </r>
        <r>
          <rPr>
            <sz val="9"/>
            <color indexed="81"/>
            <rFont val="Tahoma"/>
            <family val="2"/>
          </rPr>
          <t xml:space="preserve">
across all graduates of '80s</t>
        </r>
      </text>
    </comment>
    <comment ref="B103" authorId="0" shapeId="0" xr:uid="{00000000-0006-0000-2300-000007000000}">
      <text>
        <r>
          <rPr>
            <b/>
            <sz val="9"/>
            <color indexed="81"/>
            <rFont val="Tahoma"/>
            <family val="2"/>
          </rPr>
          <t>Neil:</t>
        </r>
        <r>
          <rPr>
            <sz val="9"/>
            <color indexed="81"/>
            <rFont val="Tahoma"/>
            <family val="2"/>
          </rPr>
          <t xml:space="preserve">
approximate</t>
        </r>
      </text>
    </comment>
    <comment ref="D129" authorId="0" shapeId="0" xr:uid="{00000000-0006-0000-2300-000008000000}">
      <text>
        <r>
          <rPr>
            <b/>
            <sz val="9"/>
            <color indexed="81"/>
            <rFont val="Tahoma"/>
            <family val="2"/>
          </rPr>
          <t>Neil:</t>
        </r>
        <r>
          <rPr>
            <sz val="9"/>
            <color indexed="81"/>
            <rFont val="Tahoma"/>
            <family val="2"/>
          </rPr>
          <t xml:space="preserve">
Projected</t>
        </r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</author>
  </authors>
  <commentList>
    <comment ref="M1" authorId="0" shapeId="0" xr:uid="{00000000-0006-0000-2400-000001000000}">
      <text>
        <r>
          <rPr>
            <b/>
            <sz val="9"/>
            <color indexed="81"/>
            <rFont val="Tahoma"/>
            <charset val="1"/>
          </rPr>
          <t>Neil:</t>
        </r>
        <r>
          <rPr>
            <sz val="9"/>
            <color indexed="81"/>
            <rFont val="Tahoma"/>
            <charset val="1"/>
          </rPr>
          <t xml:space="preserve">
"based on information collected from provincial veterinary regulatory bodies and from the CVMA itself"</t>
        </r>
      </text>
    </comment>
    <comment ref="BZ1" authorId="0" shapeId="0" xr:uid="{00000000-0006-0000-2400-000002000000}">
      <text>
        <r>
          <rPr>
            <b/>
            <sz val="9"/>
            <color indexed="81"/>
            <rFont val="Tahoma"/>
            <family val="2"/>
          </rPr>
          <t>Neil:</t>
        </r>
        <r>
          <rPr>
            <sz val="9"/>
            <color indexed="81"/>
            <rFont val="Tahoma"/>
            <family val="2"/>
          </rPr>
          <t xml:space="preserve">
https://d-nb.info/961936495/34
other source</t>
        </r>
      </text>
    </comment>
    <comment ref="AD2" authorId="0" shapeId="0" xr:uid="{00000000-0006-0000-2400-000003000000}">
      <text>
        <r>
          <rPr>
            <b/>
            <sz val="9"/>
            <color indexed="81"/>
            <rFont val="Tahoma"/>
            <charset val="1"/>
          </rPr>
          <t>Neil:</t>
        </r>
        <r>
          <rPr>
            <sz val="9"/>
            <color indexed="81"/>
            <rFont val="Tahoma"/>
            <charset val="1"/>
          </rPr>
          <t xml:space="preserve">
Census category is "sex"</t>
        </r>
      </text>
    </comment>
    <comment ref="CG2" authorId="0" shapeId="0" xr:uid="{00000000-0006-0000-2400-000004000000}">
      <text>
        <r>
          <rPr>
            <b/>
            <sz val="9"/>
            <color indexed="81"/>
            <rFont val="Tahoma"/>
            <family val="2"/>
          </rPr>
          <t>Neil:</t>
        </r>
        <r>
          <rPr>
            <sz val="9"/>
            <color indexed="81"/>
            <rFont val="Tahoma"/>
            <family val="2"/>
          </rPr>
          <t xml:space="preserve">
Those who just passed the state exam</t>
        </r>
      </text>
    </comment>
    <comment ref="CG3" authorId="0" shapeId="0" xr:uid="{00000000-0006-0000-2400-000005000000}">
      <text>
        <r>
          <rPr>
            <b/>
            <sz val="9"/>
            <color indexed="81"/>
            <rFont val="Tahoma"/>
            <family val="2"/>
          </rPr>
          <t>Neil:</t>
        </r>
        <r>
          <rPr>
            <sz val="9"/>
            <color indexed="81"/>
            <rFont val="Tahoma"/>
            <family val="2"/>
          </rPr>
          <t xml:space="preserve">
Just German ciitizens that passed</t>
        </r>
      </text>
    </comment>
    <comment ref="CM3" authorId="0" shapeId="0" xr:uid="{00000000-0006-0000-2400-000006000000}">
      <text>
        <r>
          <rPr>
            <b/>
            <sz val="9"/>
            <color indexed="81"/>
            <rFont val="Tahoma"/>
            <family val="2"/>
          </rPr>
          <t>Neil:</t>
        </r>
        <r>
          <rPr>
            <sz val="9"/>
            <color indexed="81"/>
            <rFont val="Tahoma"/>
            <family val="2"/>
          </rPr>
          <t xml:space="preserve">
winter semester only</t>
        </r>
      </text>
    </comment>
    <comment ref="CT3" authorId="0" shapeId="0" xr:uid="{00000000-0006-0000-2400-000007000000}">
      <text>
        <r>
          <rPr>
            <b/>
            <sz val="9"/>
            <color indexed="81"/>
            <rFont val="Tahoma"/>
            <family val="2"/>
          </rPr>
          <t>Neil:</t>
        </r>
        <r>
          <rPr>
            <sz val="9"/>
            <color indexed="81"/>
            <rFont val="Tahoma"/>
            <family val="2"/>
          </rPr>
          <t xml:space="preserve">
RCVS Members</t>
        </r>
      </text>
    </comment>
    <comment ref="CU3" authorId="0" shapeId="0" xr:uid="{00000000-0006-0000-2400-000008000000}">
      <text>
        <r>
          <rPr>
            <b/>
            <sz val="9"/>
            <color indexed="81"/>
            <rFont val="Tahoma"/>
            <family val="2"/>
          </rPr>
          <t>Neil:</t>
        </r>
        <r>
          <rPr>
            <sz val="9"/>
            <color indexed="81"/>
            <rFont val="Tahoma"/>
            <family val="2"/>
          </rPr>
          <t xml:space="preserve">
only counts those practicing
Includes those not in vet schools</t>
        </r>
      </text>
    </comment>
    <comment ref="EE3" authorId="0" shapeId="0" xr:uid="{00000000-0006-0000-2400-000009000000}">
      <text>
        <r>
          <rPr>
            <b/>
            <sz val="9"/>
            <color indexed="81"/>
            <rFont val="Tahoma"/>
            <family val="2"/>
          </rPr>
          <t>Neil:</t>
        </r>
        <r>
          <rPr>
            <sz val="9"/>
            <color indexed="81"/>
            <rFont val="Tahoma"/>
            <family val="2"/>
          </rPr>
          <t xml:space="preserve">
Approximate</t>
        </r>
      </text>
    </comment>
    <comment ref="EY40" authorId="0" shapeId="0" xr:uid="{00000000-0006-0000-2400-00000A000000}">
      <text>
        <r>
          <rPr>
            <b/>
            <sz val="9"/>
            <color indexed="81"/>
            <rFont val="Tahoma"/>
            <family val="2"/>
          </rPr>
          <t>Neil:</t>
        </r>
        <r>
          <rPr>
            <sz val="9"/>
            <color indexed="81"/>
            <rFont val="Tahoma"/>
            <family val="2"/>
          </rPr>
          <t xml:space="preserve">
Approximate</t>
        </r>
      </text>
    </comment>
    <comment ref="FG41" authorId="0" shapeId="0" xr:uid="{00000000-0006-0000-2400-00000B000000}">
      <text>
        <r>
          <rPr>
            <b/>
            <sz val="9"/>
            <color indexed="81"/>
            <rFont val="Tahoma"/>
            <charset val="1"/>
          </rPr>
          <t>Neil:</t>
        </r>
        <r>
          <rPr>
            <sz val="9"/>
            <color indexed="81"/>
            <rFont val="Tahoma"/>
            <charset val="1"/>
          </rPr>
          <t xml:space="preserve">
Veterinærstudiets omslag fra mannsstudium til kvinnestudium
– idé til et forskningsprosjekt</t>
        </r>
      </text>
    </comment>
    <comment ref="FH41" authorId="0" shapeId="0" xr:uid="{00000000-0006-0000-2400-00000C000000}">
      <text>
        <r>
          <rPr>
            <b/>
            <sz val="9"/>
            <color indexed="81"/>
            <rFont val="Tahoma"/>
            <charset val="1"/>
          </rPr>
          <t>Neil:</t>
        </r>
        <r>
          <rPr>
            <sz val="9"/>
            <color indexed="81"/>
            <rFont val="Tahoma"/>
            <charset val="1"/>
          </rPr>
          <t xml:space="preserve">
Veterinærstudiets omslag fra mannsstudium til kvinnestudium
– idé til et forskningsprosjekt</t>
        </r>
      </text>
    </comment>
    <comment ref="FH51" authorId="0" shapeId="0" xr:uid="{00000000-0006-0000-2400-00000D000000}">
      <text>
        <r>
          <rPr>
            <b/>
            <sz val="9"/>
            <color indexed="81"/>
            <rFont val="Tahoma"/>
            <charset val="1"/>
          </rPr>
          <t>Neil:</t>
        </r>
        <r>
          <rPr>
            <sz val="9"/>
            <color indexed="81"/>
            <rFont val="Tahoma"/>
            <charset val="1"/>
          </rPr>
          <t xml:space="preserve">
Approximate</t>
        </r>
      </text>
    </comment>
    <comment ref="EY52" authorId="0" shapeId="0" xr:uid="{00000000-0006-0000-2400-00000E000000}">
      <text>
        <r>
          <rPr>
            <b/>
            <sz val="9"/>
            <color indexed="81"/>
            <rFont val="Tahoma"/>
            <family val="2"/>
          </rPr>
          <t>Neil:</t>
        </r>
        <r>
          <rPr>
            <sz val="9"/>
            <color indexed="81"/>
            <rFont val="Tahoma"/>
            <family val="2"/>
          </rPr>
          <t xml:space="preserve">
Approximate</t>
        </r>
      </text>
    </comment>
    <comment ref="D58" authorId="0" shapeId="0" xr:uid="{00000000-0006-0000-2400-00000F000000}">
      <text>
        <r>
          <rPr>
            <b/>
            <sz val="9"/>
            <color indexed="81"/>
            <rFont val="Tahoma"/>
            <charset val="1"/>
          </rPr>
          <t>Neil:</t>
        </r>
        <r>
          <rPr>
            <sz val="9"/>
            <color indexed="81"/>
            <rFont val="Tahoma"/>
            <charset val="1"/>
          </rPr>
          <t xml:space="preserve">
Only includes "active" veterinarians</t>
        </r>
      </text>
    </comment>
    <comment ref="EY58" authorId="0" shapeId="0" xr:uid="{00000000-0006-0000-2400-000010000000}">
      <text>
        <r>
          <rPr>
            <b/>
            <sz val="9"/>
            <color indexed="81"/>
            <rFont val="Tahoma"/>
            <family val="2"/>
          </rPr>
          <t>Neil:</t>
        </r>
        <r>
          <rPr>
            <sz val="9"/>
            <color indexed="81"/>
            <rFont val="Tahoma"/>
            <family val="2"/>
          </rPr>
          <t xml:space="preserve">
Approximate</t>
        </r>
      </text>
    </comment>
    <comment ref="B71" authorId="0" shapeId="0" xr:uid="{00000000-0006-0000-2400-000011000000}">
      <text>
        <r>
          <rPr>
            <b/>
            <sz val="9"/>
            <color indexed="81"/>
            <rFont val="Tahoma"/>
            <family val="2"/>
          </rPr>
          <t>Neil:</t>
        </r>
        <r>
          <rPr>
            <sz val="9"/>
            <color indexed="81"/>
            <rFont val="Tahoma"/>
            <family val="2"/>
          </rPr>
          <t xml:space="preserve">
approximate</t>
        </r>
      </text>
    </comment>
    <comment ref="EY72" authorId="0" shapeId="0" xr:uid="{00000000-0006-0000-2400-000012000000}">
      <text>
        <r>
          <rPr>
            <b/>
            <sz val="9"/>
            <color indexed="81"/>
            <rFont val="Tahoma"/>
            <family val="2"/>
          </rPr>
          <t>Neil:</t>
        </r>
        <r>
          <rPr>
            <sz val="9"/>
            <color indexed="81"/>
            <rFont val="Tahoma"/>
            <family val="2"/>
          </rPr>
          <t xml:space="preserve">
Approximate</t>
        </r>
      </text>
    </comment>
    <comment ref="FF75" authorId="0" shapeId="0" xr:uid="{00000000-0006-0000-2400-000013000000}">
      <text>
        <r>
          <rPr>
            <b/>
            <sz val="9"/>
            <color indexed="81"/>
            <rFont val="Tahoma"/>
            <charset val="1"/>
          </rPr>
          <t>Neil:</t>
        </r>
        <r>
          <rPr>
            <sz val="9"/>
            <color indexed="81"/>
            <rFont val="Tahoma"/>
            <charset val="1"/>
          </rPr>
          <t xml:space="preserve">
Combined stats with this article: https://universitas.no/sak/50498/vellykket-mannskvotering/</t>
        </r>
      </text>
    </comment>
    <comment ref="FG75" authorId="0" shapeId="0" xr:uid="{00000000-0006-0000-2400-000014000000}">
      <text>
        <r>
          <rPr>
            <b/>
            <sz val="9"/>
            <color indexed="81"/>
            <rFont val="Tahoma"/>
            <charset val="1"/>
          </rPr>
          <t>Neil:</t>
        </r>
        <r>
          <rPr>
            <sz val="9"/>
            <color indexed="81"/>
            <rFont val="Tahoma"/>
            <charset val="1"/>
          </rPr>
          <t xml:space="preserve">
Combined stats with this article: https://universitas.no/sak/50498/vellykket-mannskvotering/</t>
        </r>
      </text>
    </comment>
    <comment ref="AY79" authorId="0" shapeId="0" xr:uid="{00000000-0006-0000-2400-000015000000}">
      <text>
        <r>
          <rPr>
            <b/>
            <sz val="9"/>
            <color indexed="81"/>
            <rFont val="Tahoma"/>
            <family val="2"/>
          </rPr>
          <t>Neil: (?)</t>
        </r>
        <r>
          <rPr>
            <sz val="9"/>
            <color indexed="81"/>
            <rFont val="Tahoma"/>
            <family val="2"/>
          </rPr>
          <t xml:space="preserve">
https://www.maff.go.jp/j/study/other/jui_jukyu/pdf/report.pdf</t>
        </r>
      </text>
    </comment>
    <comment ref="DS79" authorId="0" shapeId="0" xr:uid="{00000000-0006-0000-2400-000016000000}">
      <text>
        <r>
          <rPr>
            <b/>
            <sz val="9"/>
            <color indexed="81"/>
            <rFont val="Tahoma"/>
            <family val="2"/>
          </rPr>
          <t>Neil:</t>
        </r>
        <r>
          <rPr>
            <sz val="9"/>
            <color indexed="81"/>
            <rFont val="Tahoma"/>
            <family val="2"/>
          </rPr>
          <t xml:space="preserve">
Figure given for all agricultural and veterinary sciences</t>
        </r>
      </text>
    </comment>
    <comment ref="EY81" authorId="0" shapeId="0" xr:uid="{00000000-0006-0000-2400-000017000000}">
      <text>
        <r>
          <rPr>
            <b/>
            <sz val="9"/>
            <color indexed="81"/>
            <rFont val="Tahoma"/>
            <family val="2"/>
          </rPr>
          <t>Neil:</t>
        </r>
        <r>
          <rPr>
            <sz val="9"/>
            <color indexed="81"/>
            <rFont val="Tahoma"/>
            <family val="2"/>
          </rPr>
          <t xml:space="preserve">
Approximate</t>
        </r>
      </text>
    </comment>
    <comment ref="BL83" authorId="0" shapeId="0" xr:uid="{00000000-0006-0000-2400-000018000000}">
      <text>
        <r>
          <rPr>
            <b/>
            <sz val="9"/>
            <color indexed="81"/>
            <rFont val="Tahoma"/>
            <family val="2"/>
          </rPr>
          <t>Neil:</t>
        </r>
        <r>
          <rPr>
            <sz val="9"/>
            <color indexed="81"/>
            <rFont val="Tahoma"/>
            <family val="2"/>
          </rPr>
          <t xml:space="preserve">
Averaged from range given: "ratio is between 67% to 71% women"</t>
        </r>
      </text>
    </comment>
    <comment ref="Y84" authorId="0" shapeId="0" xr:uid="{00000000-0006-0000-2400-000019000000}">
      <text>
        <r>
          <rPr>
            <b/>
            <sz val="9"/>
            <color indexed="81"/>
            <rFont val="Tahoma"/>
            <charset val="1"/>
          </rPr>
          <t>Neil:</t>
        </r>
        <r>
          <rPr>
            <sz val="9"/>
            <color indexed="81"/>
            <rFont val="Tahoma"/>
            <charset val="1"/>
          </rPr>
          <t xml:space="preserve">
10,317 vets in AUS</t>
        </r>
      </text>
    </comment>
    <comment ref="Z84" authorId="0" shapeId="0" xr:uid="{00000000-0006-0000-2400-00001A000000}">
      <text>
        <r>
          <rPr>
            <b/>
            <sz val="9"/>
            <color indexed="81"/>
            <rFont val="Tahoma"/>
            <charset val="1"/>
          </rPr>
          <t>Neil:</t>
        </r>
        <r>
          <rPr>
            <sz val="9"/>
            <color indexed="81"/>
            <rFont val="Tahoma"/>
            <charset val="1"/>
          </rPr>
          <t xml:space="preserve">
592 males
72 not stated</t>
        </r>
      </text>
    </comment>
    <comment ref="Y85" authorId="0" shapeId="0" xr:uid="{00000000-0006-0000-2400-00001B000000}">
      <text>
        <r>
          <rPr>
            <b/>
            <sz val="9"/>
            <color indexed="81"/>
            <rFont val="Tahoma"/>
            <charset val="1"/>
          </rPr>
          <t>Neil:</t>
        </r>
        <r>
          <rPr>
            <sz val="9"/>
            <color indexed="81"/>
            <rFont val="Tahoma"/>
            <charset val="1"/>
          </rPr>
          <t xml:space="preserve">
10,436</t>
        </r>
      </text>
    </comment>
    <comment ref="Z85" authorId="0" shapeId="0" xr:uid="{00000000-0006-0000-2400-00001C000000}">
      <text>
        <r>
          <rPr>
            <b/>
            <sz val="9"/>
            <color indexed="81"/>
            <rFont val="Tahoma"/>
            <charset val="1"/>
          </rPr>
          <t>Neil:</t>
        </r>
        <r>
          <rPr>
            <sz val="9"/>
            <color indexed="81"/>
            <rFont val="Tahoma"/>
            <charset val="1"/>
          </rPr>
          <t xml:space="preserve">
869 male
830 not stated</t>
        </r>
      </text>
    </comment>
    <comment ref="Y86" authorId="0" shapeId="0" xr:uid="{00000000-0006-0000-2400-00001D000000}">
      <text>
        <r>
          <rPr>
            <b/>
            <sz val="9"/>
            <color indexed="81"/>
            <rFont val="Tahoma"/>
            <charset val="1"/>
          </rPr>
          <t>Neil:</t>
        </r>
        <r>
          <rPr>
            <sz val="9"/>
            <color indexed="81"/>
            <rFont val="Tahoma"/>
            <charset val="1"/>
          </rPr>
          <t xml:space="preserve">
10,629 vets in AUS</t>
        </r>
      </text>
    </comment>
    <comment ref="Z86" authorId="0" shapeId="0" xr:uid="{00000000-0006-0000-2400-00001E000000}">
      <text>
        <r>
          <rPr>
            <b/>
            <sz val="9"/>
            <color indexed="81"/>
            <rFont val="Tahoma"/>
            <charset val="1"/>
          </rPr>
          <t>Neil:</t>
        </r>
        <r>
          <rPr>
            <sz val="9"/>
            <color indexed="81"/>
            <rFont val="Tahoma"/>
            <charset val="1"/>
          </rPr>
          <t xml:space="preserve">
707 male
811 not stated</t>
        </r>
      </text>
    </comment>
    <comment ref="AA86" authorId="0" shapeId="0" xr:uid="{00000000-0006-0000-2400-00001F000000}">
      <text>
        <r>
          <rPr>
            <b/>
            <sz val="9"/>
            <color indexed="81"/>
            <rFont val="Tahoma"/>
            <charset val="1"/>
          </rPr>
          <t>Neil:</t>
        </r>
        <r>
          <rPr>
            <sz val="9"/>
            <color indexed="81"/>
            <rFont val="Tahoma"/>
            <charset val="1"/>
          </rPr>
          <t xml:space="preserve">
similar result to AVA's stated percentage of 60% on 2016 survey</t>
        </r>
      </text>
    </comment>
    <comment ref="Y88" authorId="0" shapeId="0" xr:uid="{00000000-0006-0000-2400-000020000000}">
      <text>
        <r>
          <rPr>
            <b/>
            <sz val="9"/>
            <color indexed="81"/>
            <rFont val="Tahoma"/>
            <charset val="1"/>
          </rPr>
          <t>Neil:</t>
        </r>
        <r>
          <rPr>
            <sz val="9"/>
            <color indexed="81"/>
            <rFont val="Tahoma"/>
            <charset val="1"/>
          </rPr>
          <t xml:space="preserve">
11418 vets in AUS</t>
        </r>
      </text>
    </comment>
    <comment ref="M90" authorId="0" shapeId="0" xr:uid="{00000000-0006-0000-2400-000021000000}">
      <text>
        <r>
          <rPr>
            <b/>
            <sz val="9"/>
            <color indexed="81"/>
            <rFont val="Tahoma"/>
            <charset val="1"/>
          </rPr>
          <t>Neil:</t>
        </r>
        <r>
          <rPr>
            <sz val="9"/>
            <color indexed="81"/>
            <rFont val="Tahoma"/>
            <charset val="1"/>
          </rPr>
          <t xml:space="preserve">
14,999
https://web.archive.org/web/20180927020321/https://www.canadianveterinarians.net/about/statistics</t>
        </r>
      </text>
    </comment>
    <comment ref="N90" authorId="0" shapeId="0" xr:uid="{00000000-0006-0000-2400-000022000000}">
      <text>
        <r>
          <rPr>
            <b/>
            <sz val="9"/>
            <color indexed="81"/>
            <rFont val="Tahoma"/>
            <charset val="1"/>
          </rPr>
          <t>Neil:</t>
        </r>
        <r>
          <rPr>
            <sz val="9"/>
            <color indexed="81"/>
            <rFont val="Tahoma"/>
            <charset val="1"/>
          </rPr>
          <t xml:space="preserve">
8,393
https://web.archive.org/web/20180927020321/https://www.canadianveterinarians.net/about/statistics</t>
        </r>
      </text>
    </comment>
    <comment ref="P90" authorId="0" shapeId="0" xr:uid="{00000000-0006-0000-2400-000023000000}">
      <text>
        <r>
          <rPr>
            <b/>
            <sz val="9"/>
            <color indexed="81"/>
            <rFont val="Tahoma"/>
            <charset val="1"/>
          </rPr>
          <t>Neil:</t>
        </r>
        <r>
          <rPr>
            <sz val="9"/>
            <color indexed="81"/>
            <rFont val="Tahoma"/>
            <charset val="1"/>
          </rPr>
          <t xml:space="preserve">
203
https://web.archive.org/web/20180927020321/https://www.canadianveterinarians.net/about/statistics</t>
        </r>
      </text>
    </comment>
    <comment ref="Y90" authorId="0" shapeId="0" xr:uid="{00000000-0006-0000-2400-000024000000}">
      <text>
        <r>
          <rPr>
            <b/>
            <sz val="9"/>
            <color indexed="81"/>
            <rFont val="Tahoma"/>
            <charset val="1"/>
          </rPr>
          <t>Neil:</t>
        </r>
        <r>
          <rPr>
            <sz val="9"/>
            <color indexed="81"/>
            <rFont val="Tahoma"/>
            <charset val="1"/>
          </rPr>
          <t xml:space="preserve">
12739 vets in AUS</t>
        </r>
      </text>
    </comment>
    <comment ref="BE92" authorId="0" shapeId="0" xr:uid="{00000000-0006-0000-2400-000025000000}">
      <text>
        <r>
          <rPr>
            <b/>
            <sz val="9"/>
            <color indexed="81"/>
            <rFont val="Tahoma"/>
            <family val="2"/>
          </rPr>
          <t>Neil:</t>
        </r>
        <r>
          <rPr>
            <sz val="9"/>
            <color indexed="81"/>
            <rFont val="Tahoma"/>
            <family val="2"/>
          </rPr>
          <t xml:space="preserve">
Demographic Atlas of Veterinary Profession 2021 states 76.2%</t>
        </r>
      </text>
    </comment>
    <comment ref="D94" authorId="0" shapeId="0" xr:uid="{00000000-0006-0000-2400-000026000000}">
      <text>
        <r>
          <rPr>
            <b/>
            <sz val="9"/>
            <color indexed="81"/>
            <rFont val="Tahoma"/>
            <family val="2"/>
          </rPr>
          <t>Neil:</t>
        </r>
        <r>
          <rPr>
            <sz val="9"/>
            <color indexed="81"/>
            <rFont val="Tahoma"/>
            <family val="2"/>
          </rPr>
          <t xml:space="preserve">
Projected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</author>
  </authors>
  <commentList>
    <comment ref="B35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>Neil:</t>
        </r>
        <r>
          <rPr>
            <sz val="9"/>
            <color indexed="81"/>
            <rFont val="Tahoma"/>
            <charset val="1"/>
          </rPr>
          <t xml:space="preserve">
10,317 vets in AUS</t>
        </r>
      </text>
    </comment>
    <comment ref="C35" authorId="0" shapeId="0" xr:uid="{00000000-0006-0000-0200-000002000000}">
      <text>
        <r>
          <rPr>
            <b/>
            <sz val="9"/>
            <color indexed="81"/>
            <rFont val="Tahoma"/>
            <charset val="1"/>
          </rPr>
          <t>Neil:</t>
        </r>
        <r>
          <rPr>
            <sz val="9"/>
            <color indexed="81"/>
            <rFont val="Tahoma"/>
            <charset val="1"/>
          </rPr>
          <t xml:space="preserve">
592 males
72 not stated</t>
        </r>
      </text>
    </comment>
    <comment ref="B36" authorId="0" shapeId="0" xr:uid="{00000000-0006-0000-0200-000003000000}">
      <text>
        <r>
          <rPr>
            <b/>
            <sz val="9"/>
            <color indexed="81"/>
            <rFont val="Tahoma"/>
            <charset val="1"/>
          </rPr>
          <t>Neil:</t>
        </r>
        <r>
          <rPr>
            <sz val="9"/>
            <color indexed="81"/>
            <rFont val="Tahoma"/>
            <charset val="1"/>
          </rPr>
          <t xml:space="preserve">
10,436</t>
        </r>
      </text>
    </comment>
    <comment ref="C36" authorId="0" shapeId="0" xr:uid="{00000000-0006-0000-0200-000004000000}">
      <text>
        <r>
          <rPr>
            <b/>
            <sz val="9"/>
            <color indexed="81"/>
            <rFont val="Tahoma"/>
            <charset val="1"/>
          </rPr>
          <t>Neil:</t>
        </r>
        <r>
          <rPr>
            <sz val="9"/>
            <color indexed="81"/>
            <rFont val="Tahoma"/>
            <charset val="1"/>
          </rPr>
          <t xml:space="preserve">
869 male
830 not stated</t>
        </r>
      </text>
    </comment>
    <comment ref="B37" authorId="0" shapeId="0" xr:uid="{00000000-0006-0000-0200-000005000000}">
      <text>
        <r>
          <rPr>
            <b/>
            <sz val="9"/>
            <color indexed="81"/>
            <rFont val="Tahoma"/>
            <charset val="1"/>
          </rPr>
          <t>Neil:</t>
        </r>
        <r>
          <rPr>
            <sz val="9"/>
            <color indexed="81"/>
            <rFont val="Tahoma"/>
            <charset val="1"/>
          </rPr>
          <t xml:space="preserve">
10,629 vets in AUS</t>
        </r>
      </text>
    </comment>
    <comment ref="C37" authorId="0" shapeId="0" xr:uid="{00000000-0006-0000-0200-000006000000}">
      <text>
        <r>
          <rPr>
            <b/>
            <sz val="9"/>
            <color indexed="81"/>
            <rFont val="Tahoma"/>
            <charset val="1"/>
          </rPr>
          <t>Neil:</t>
        </r>
        <r>
          <rPr>
            <sz val="9"/>
            <color indexed="81"/>
            <rFont val="Tahoma"/>
            <charset val="1"/>
          </rPr>
          <t xml:space="preserve">
707 male
811 not stated</t>
        </r>
      </text>
    </comment>
    <comment ref="D37" authorId="0" shapeId="0" xr:uid="{00000000-0006-0000-0200-000007000000}">
      <text>
        <r>
          <rPr>
            <b/>
            <sz val="9"/>
            <color indexed="81"/>
            <rFont val="Tahoma"/>
            <charset val="1"/>
          </rPr>
          <t>Neil:</t>
        </r>
        <r>
          <rPr>
            <sz val="9"/>
            <color indexed="81"/>
            <rFont val="Tahoma"/>
            <charset val="1"/>
          </rPr>
          <t xml:space="preserve">
similar result to AVA's stated percentage of 60% on 2016 survey</t>
        </r>
      </text>
    </comment>
    <comment ref="B39" authorId="0" shapeId="0" xr:uid="{00000000-0006-0000-0200-000008000000}">
      <text>
        <r>
          <rPr>
            <b/>
            <sz val="9"/>
            <color indexed="81"/>
            <rFont val="Tahoma"/>
            <charset val="1"/>
          </rPr>
          <t>Neil:</t>
        </r>
        <r>
          <rPr>
            <sz val="9"/>
            <color indexed="81"/>
            <rFont val="Tahoma"/>
            <charset val="1"/>
          </rPr>
          <t xml:space="preserve">
11418 vets in AUS</t>
        </r>
      </text>
    </comment>
    <comment ref="G39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Neil:</t>
        </r>
        <r>
          <rPr>
            <sz val="9"/>
            <color indexed="81"/>
            <rFont val="Tahoma"/>
            <family val="2"/>
          </rPr>
          <t xml:space="preserve">
anecdotal, nonscientific reporting</t>
        </r>
      </text>
    </comment>
    <comment ref="B41" authorId="0" shapeId="0" xr:uid="{00000000-0006-0000-0200-00000A000000}">
      <text>
        <r>
          <rPr>
            <b/>
            <sz val="9"/>
            <color indexed="81"/>
            <rFont val="Tahoma"/>
            <charset val="1"/>
          </rPr>
          <t>Neil:</t>
        </r>
        <r>
          <rPr>
            <sz val="9"/>
            <color indexed="81"/>
            <rFont val="Tahoma"/>
            <charset val="1"/>
          </rPr>
          <t xml:space="preserve">
12739 vets in AUS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Vezeau</author>
  </authors>
  <commentList>
    <comment ref="B17" authorId="0" shapeId="0" xr:uid="{EE4D6D8B-C4D1-4AE2-96CD-0B170B4B0616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"Female"</t>
        </r>
      </text>
    </comment>
    <comment ref="B21" authorId="0" shapeId="0" xr:uid="{2409FB1C-BD1B-4480-86BF-22C4D74FFBA8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"Female"</t>
        </r>
      </text>
    </comment>
    <comment ref="B26" authorId="0" shapeId="0" xr:uid="{3DAE6A38-A5E0-4A69-93E0-2FF0BC33ECDB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"Female"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Vezeau</author>
  </authors>
  <commentList>
    <comment ref="F85" authorId="0" shapeId="0" xr:uid="{A4BCA77A-47FA-4679-A356-166B028E21F2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"Female"</t>
        </r>
      </text>
    </comment>
    <comment ref="F89" authorId="0" shapeId="0" xr:uid="{FE3A9BFE-E95C-4D4D-8BEB-23254BC4E09F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"Female"</t>
        </r>
      </text>
    </comment>
    <comment ref="F94" authorId="0" shapeId="0" xr:uid="{536F24BE-4091-432F-8213-0BA1125233B8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"Female"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</author>
  </authors>
  <commentList>
    <comment ref="G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Neil:</t>
        </r>
        <r>
          <rPr>
            <sz val="9"/>
            <color indexed="81"/>
            <rFont val="Tahoma"/>
            <family val="2"/>
          </rPr>
          <t xml:space="preserve">
Approximate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</author>
    <author>tc={F192ADFC-F0EB-4FAA-B589-10B98872A4E3}</author>
    <author>Neil Vezeau</author>
  </authors>
  <commentList>
    <comment ref="B1" authorId="0" shapeId="0" xr:uid="{00000000-0006-0000-0600-000001000000}">
      <text>
        <r>
          <rPr>
            <b/>
            <sz val="9"/>
            <color indexed="81"/>
            <rFont val="Tahoma"/>
            <charset val="1"/>
          </rPr>
          <t>Neil:</t>
        </r>
        <r>
          <rPr>
            <sz val="9"/>
            <color indexed="81"/>
            <rFont val="Tahoma"/>
            <charset val="1"/>
          </rPr>
          <t xml:space="preserve">
"based on information collected from provincial veterinary regulatory bodies and from the CVMA itself"</t>
        </r>
      </text>
    </comment>
    <comment ref="D24" authorId="1" shapeId="0" xr:uid="{F192ADFC-F0EB-4FAA-B589-10B98872A4E3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be figure for 2001: https://www.researchgate.net/publication/43983529_APROXIMACION_A_LA_HISTORIA_DE_LA_MUJER_EN_LA_MEDICINA_VETERINARIA_EL_CASO_DEL_DECANATO_DE_CIENCIAS_VETERINARIAS_DE_LA_UNIVERSIDAD_CENTROCCIDENTAL_LISANDRO_ALVARADO</t>
      </text>
    </comment>
    <comment ref="D28" authorId="2" shapeId="0" xr:uid="{6911A29C-78A5-40A4-B6C7-C0C040F6C2EE}">
      <text>
        <r>
          <rPr>
            <b/>
            <sz val="9"/>
            <color indexed="81"/>
            <rFont val="Tahoma"/>
            <family val="2"/>
          </rPr>
          <t>Neil Vezeau: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  <comment ref="B39" authorId="0" shapeId="0" xr:uid="{00000000-0006-0000-0600-000002000000}">
      <text>
        <r>
          <rPr>
            <b/>
            <sz val="9"/>
            <color indexed="81"/>
            <rFont val="Tahoma"/>
            <charset val="1"/>
          </rPr>
          <t>Neil:</t>
        </r>
        <r>
          <rPr>
            <sz val="9"/>
            <color indexed="81"/>
            <rFont val="Tahoma"/>
            <charset val="1"/>
          </rPr>
          <t xml:space="preserve">
14,999
https://web.archive.org/web/20180927020321/https://www.canadianveterinarians.net/about/statistics</t>
        </r>
      </text>
    </comment>
    <comment ref="C39" authorId="0" shapeId="0" xr:uid="{00000000-0006-0000-0600-000003000000}">
      <text>
        <r>
          <rPr>
            <b/>
            <sz val="9"/>
            <color indexed="81"/>
            <rFont val="Tahoma"/>
            <charset val="1"/>
          </rPr>
          <t>Neil:</t>
        </r>
        <r>
          <rPr>
            <sz val="9"/>
            <color indexed="81"/>
            <rFont val="Tahoma"/>
            <charset val="1"/>
          </rPr>
          <t xml:space="preserve">
8,393
https://web.archive.org/web/20180927020321/https://www.canadianveterinarians.net/about/statistics</t>
        </r>
      </text>
    </comment>
    <comment ref="E39" authorId="0" shapeId="0" xr:uid="{00000000-0006-0000-0600-000004000000}">
      <text>
        <r>
          <rPr>
            <b/>
            <sz val="9"/>
            <color indexed="81"/>
            <rFont val="Tahoma"/>
            <charset val="1"/>
          </rPr>
          <t>Neil:</t>
        </r>
        <r>
          <rPr>
            <sz val="9"/>
            <color indexed="81"/>
            <rFont val="Tahoma"/>
            <charset val="1"/>
          </rPr>
          <t xml:space="preserve">
203
https://web.archive.org/web/20180927020321/https://www.canadianveterinarians.net/about/statistics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Vezeau</author>
  </authors>
  <commentList>
    <comment ref="B4" authorId="0" shapeId="0" xr:uid="{37EBD8A0-900A-4397-BA74-0559CC2D3A09}">
      <text>
        <r>
          <rPr>
            <b/>
            <sz val="9"/>
            <color indexed="81"/>
            <rFont val="Tahoma"/>
            <charset val="1"/>
          </rPr>
          <t>Neil Vezeau:</t>
        </r>
        <r>
          <rPr>
            <sz val="9"/>
            <color indexed="81"/>
            <rFont val="Tahoma"/>
            <charset val="1"/>
          </rPr>
          <t xml:space="preserve">
Estimate</t>
        </r>
      </text>
    </comment>
    <comment ref="B14" authorId="0" shapeId="0" xr:uid="{81731814-8BB7-4FC2-BD09-A1373F0CFBA0}">
      <text>
        <r>
          <rPr>
            <b/>
            <sz val="9"/>
            <color indexed="81"/>
            <rFont val="Tahoma"/>
            <charset val="1"/>
          </rPr>
          <t>Neil Vezeau:</t>
        </r>
        <r>
          <rPr>
            <sz val="9"/>
            <color indexed="81"/>
            <rFont val="Tahoma"/>
            <charset val="1"/>
          </rPr>
          <t xml:space="preserve">
Estimate</t>
        </r>
      </text>
    </comment>
    <comment ref="B24" authorId="0" shapeId="0" xr:uid="{0B1574C2-9657-409B-84C0-D1D0A08E2D64}">
      <text>
        <r>
          <rPr>
            <b/>
            <sz val="9"/>
            <color indexed="81"/>
            <rFont val="Tahoma"/>
            <charset val="1"/>
          </rPr>
          <t>Neil Vezeau:</t>
        </r>
        <r>
          <rPr>
            <sz val="9"/>
            <color indexed="81"/>
            <rFont val="Tahoma"/>
            <charset val="1"/>
          </rPr>
          <t xml:space="preserve">
Estimate</t>
        </r>
      </text>
    </comment>
    <comment ref="B34" authorId="0" shapeId="0" xr:uid="{C9149339-1378-426D-8D5F-34FF9446F052}">
      <text>
        <r>
          <rPr>
            <b/>
            <sz val="9"/>
            <color indexed="81"/>
            <rFont val="Tahoma"/>
            <charset val="1"/>
          </rPr>
          <t>Neil Vezeau:</t>
        </r>
        <r>
          <rPr>
            <sz val="9"/>
            <color indexed="81"/>
            <rFont val="Tahoma"/>
            <charset val="1"/>
          </rPr>
          <t xml:space="preserve">
Estimate</t>
        </r>
      </text>
    </comment>
  </commentList>
</comments>
</file>

<file path=xl/sharedStrings.xml><?xml version="1.0" encoding="utf-8"?>
<sst xmlns="http://schemas.openxmlformats.org/spreadsheetml/2006/main" count="1003" uniqueCount="222">
  <si>
    <t>Year</t>
  </si>
  <si>
    <t>Algeria</t>
  </si>
  <si>
    <t>University Blida Students</t>
  </si>
  <si>
    <t>% Female</t>
  </si>
  <si>
    <t># 1st year female</t>
  </si>
  <si>
    <t>% 1st year female</t>
  </si>
  <si>
    <t># final year female</t>
  </si>
  <si>
    <t>% final year female</t>
  </si>
  <si>
    <t>Artgentina</t>
  </si>
  <si>
    <t>Córdoba Students</t>
  </si>
  <si>
    <t>UNNE Students</t>
  </si>
  <si>
    <t>UNL</t>
  </si>
  <si>
    <t>UNR</t>
  </si>
  <si>
    <t>U of Buenos Aires</t>
  </si>
  <si>
    <t>Buenos Aires Professionals</t>
  </si>
  <si>
    <t>% Women students</t>
  </si>
  <si>
    <t>Total Students</t>
  </si>
  <si>
    <t>Men Students</t>
  </si>
  <si>
    <t>Women Students</t>
  </si>
  <si>
    <t>% Admitted Women</t>
  </si>
  <si>
    <t>% Women Entering</t>
  </si>
  <si>
    <t>% Women Total</t>
  </si>
  <si>
    <t>Australia</t>
  </si>
  <si>
    <t>Professionals</t>
  </si>
  <si>
    <t>Graduates</t>
  </si>
  <si>
    <t>Respondents</t>
  </si>
  <si>
    <t># females</t>
  </si>
  <si>
    <t>% female</t>
  </si>
  <si>
    <t># Other</t>
  </si>
  <si>
    <t>% Other</t>
  </si>
  <si>
    <t>Austria</t>
  </si>
  <si>
    <t>Entering Students</t>
  </si>
  <si>
    <t>Graduating Students</t>
  </si>
  <si>
    <t>% Women</t>
  </si>
  <si>
    <t># Total</t>
  </si>
  <si>
    <t># Women</t>
  </si>
  <si>
    <t>Belgium</t>
  </si>
  <si>
    <t>Liege Students</t>
  </si>
  <si>
    <t>Ghent Total Students</t>
  </si>
  <si>
    <t>Brazil</t>
  </si>
  <si>
    <t>New Registrants/graduates</t>
  </si>
  <si>
    <t>Entering students</t>
  </si>
  <si>
    <t># total</t>
  </si>
  <si>
    <t># women</t>
  </si>
  <si>
    <t>% women</t>
  </si>
  <si>
    <t>Canada</t>
  </si>
  <si>
    <t>Total students</t>
  </si>
  <si>
    <t>Graduating students</t>
  </si>
  <si>
    <t xml:space="preserve">Quebec </t>
  </si>
  <si>
    <t>Total</t>
  </si>
  <si>
    <t># Female</t>
  </si>
  <si>
    <t># Undisclosed or unknown</t>
  </si>
  <si>
    <t>student %</t>
  </si>
  <si>
    <t>professional %</t>
  </si>
  <si>
    <t>Colombia</t>
  </si>
  <si>
    <t>Croatia</t>
  </si>
  <si>
    <t>Employed Professionals</t>
  </si>
  <si>
    <t>Denmark</t>
  </si>
  <si>
    <t>Students</t>
  </si>
  <si>
    <t>Finland</t>
  </si>
  <si>
    <t>France</t>
  </si>
  <si>
    <t>students</t>
  </si>
  <si>
    <t>first year students</t>
  </si>
  <si>
    <t>First time registrants/graduates</t>
  </si>
  <si>
    <t>total</t>
  </si>
  <si>
    <t># no gender identified</t>
  </si>
  <si>
    <t>Germany</t>
  </si>
  <si>
    <t>Work in Higer Ed</t>
  </si>
  <si>
    <t>New Graduates</t>
  </si>
  <si>
    <t>New Students</t>
  </si>
  <si>
    <t>Total #</t>
  </si>
  <si>
    <t># Workers</t>
  </si>
  <si>
    <t>% Workers</t>
  </si>
  <si>
    <t># Women workers</t>
  </si>
  <si>
    <t>% women of vets who who in higher ed</t>
  </si>
  <si>
    <t>Hungary</t>
  </si>
  <si>
    <t xml:space="preserve">Iran </t>
  </si>
  <si>
    <t>U. of Tehran Entering Students</t>
  </si>
  <si>
    <t>Italy</t>
  </si>
  <si>
    <t>Total %</t>
  </si>
  <si>
    <t>Japan</t>
  </si>
  <si>
    <t>Student</t>
  </si>
  <si>
    <t>Total active</t>
  </si>
  <si>
    <t># female actve</t>
  </si>
  <si>
    <t>% female active</t>
  </si>
  <si>
    <t>Teacher % of Total</t>
  </si>
  <si>
    <t>Total Teachers</t>
  </si>
  <si>
    <t># female teacher all types</t>
  </si>
  <si>
    <t>% female teacher all types</t>
  </si>
  <si>
    <t># female Teaching assistant</t>
  </si>
  <si>
    <t>% female Teaching assistant</t>
  </si>
  <si>
    <t># female lecturer</t>
  </si>
  <si>
    <t>% female lecturer</t>
  </si>
  <si>
    <t># female Associate Professor</t>
  </si>
  <si>
    <t>% female Associate Professor</t>
  </si>
  <si>
    <t># female professor</t>
  </si>
  <si>
    <t>% female professor</t>
  </si>
  <si>
    <t># female</t>
  </si>
  <si>
    <t xml:space="preserve"> </t>
  </si>
  <si>
    <t>Kenya</t>
  </si>
  <si>
    <t>~ % Women</t>
  </si>
  <si>
    <t># private 'veterinarians'</t>
  </si>
  <si>
    <t>% private 'veterinarians'</t>
  </si>
  <si>
    <t>Women</t>
  </si>
  <si>
    <t>Lithuania</t>
  </si>
  <si>
    <t>Mexico</t>
  </si>
  <si>
    <t>Mozambique</t>
  </si>
  <si>
    <t>Netherlands</t>
  </si>
  <si>
    <t># practicing vets.</t>
  </si>
  <si>
    <t>New Zealand</t>
  </si>
  <si>
    <t>total #</t>
  </si>
  <si>
    <t>% females</t>
  </si>
  <si>
    <t># no identified gender</t>
  </si>
  <si>
    <t>% no identified gender</t>
  </si>
  <si>
    <t>Norway</t>
  </si>
  <si>
    <t>Gradautes</t>
  </si>
  <si>
    <t>%Women</t>
  </si>
  <si>
    <t>Poland</t>
  </si>
  <si>
    <t>Licensed Professionals</t>
  </si>
  <si>
    <t>U, of Warsaw Students</t>
  </si>
  <si>
    <t>&gt;50%</t>
  </si>
  <si>
    <t>Serbia</t>
  </si>
  <si>
    <t>Slovakia</t>
  </si>
  <si>
    <t>South Africa</t>
  </si>
  <si>
    <t>South Korea</t>
  </si>
  <si>
    <t>First-year Students</t>
  </si>
  <si>
    <t>Spain</t>
  </si>
  <si>
    <t>Sweden</t>
  </si>
  <si>
    <t>Admitted Students</t>
  </si>
  <si>
    <t>Switzerland</t>
  </si>
  <si>
    <t>Zurich VetSuisse</t>
  </si>
  <si>
    <t>All students</t>
  </si>
  <si>
    <t>New registrants - 10 year avg</t>
  </si>
  <si>
    <t>Entering Class</t>
  </si>
  <si>
    <t>Students (excluding doctoral)</t>
  </si>
  <si>
    <t>Exiting Class</t>
  </si>
  <si>
    <t>Men</t>
  </si>
  <si>
    <t>Turkey</t>
  </si>
  <si>
    <t>Ankara grads - 5 year average</t>
  </si>
  <si>
    <t>Uganda</t>
  </si>
  <si>
    <t>UK</t>
  </si>
  <si>
    <t>Employed by University</t>
  </si>
  <si>
    <t>US</t>
  </si>
  <si>
    <t>Total Professionals</t>
  </si>
  <si>
    <t>College or university staff/faculty</t>
  </si>
  <si>
    <t>graduating students</t>
  </si>
  <si>
    <t>%  Total females</t>
  </si>
  <si>
    <t>% females in academia</t>
  </si>
  <si>
    <t>aca. % of total</t>
  </si>
  <si>
    <t>fem. aca. % of total</t>
  </si>
  <si>
    <t>total students</t>
  </si>
  <si>
    <t>College or university</t>
  </si>
  <si>
    <t>Overall students</t>
  </si>
  <si>
    <t>Applicants</t>
  </si>
  <si>
    <t>USA</t>
  </si>
  <si>
    <t>Veterinary Graduates</t>
  </si>
  <si>
    <t>Female</t>
  </si>
  <si>
    <t>Male</t>
  </si>
  <si>
    <t>U. Istanbul Students</t>
  </si>
  <si>
    <t>NECMETTIN ERBAKAN Stud.</t>
  </si>
  <si>
    <t>AFYON KOCATEPE Stud.</t>
  </si>
  <si>
    <t>AKSARAY UNIVERSITY Stud.</t>
  </si>
  <si>
    <t>Ankara Students</t>
  </si>
  <si>
    <t>Ankara English stud</t>
  </si>
  <si>
    <t>ATATURK Students</t>
  </si>
  <si>
    <t>AYDIN ​​ADNAN MENDERES stud.</t>
  </si>
  <si>
    <t>BALIKESIR stud.</t>
  </si>
  <si>
    <t>bingol stud</t>
  </si>
  <si>
    <t>BURDUR MEHMET AKIF ERSOY stud.</t>
  </si>
  <si>
    <t>BURSA ULUDAG stud.</t>
  </si>
  <si>
    <t>CUKUROVA stud.</t>
  </si>
  <si>
    <t>Dicle Stud.</t>
  </si>
  <si>
    <t>DOKUZ EYLÜL stud.</t>
  </si>
  <si>
    <t>ERCIYES Stud.</t>
  </si>
  <si>
    <t>Firat Stud.</t>
  </si>
  <si>
    <t>Harran stud.</t>
  </si>
  <si>
    <t>HATAY MUSTAFA KEMAL Stud.</t>
  </si>
  <si>
    <t>ISTANBUL UNIVERSITY-CERRAHPAŞA Stud.</t>
  </si>
  <si>
    <t>Kafkas Stud.</t>
  </si>
  <si>
    <t>KASTAMONU Stud.</t>
  </si>
  <si>
    <t>KIRIKKALE Stud.</t>
  </si>
  <si>
    <t>MUGLA SITKI KOÇMAN Stud.</t>
  </si>
  <si>
    <t>NECMETTIN ERBAKAN stud.</t>
  </si>
  <si>
    <t>ONDOKUZ MAYIS Stud.</t>
  </si>
  <si>
    <t>SELCUK Stud.</t>
  </si>
  <si>
    <t>SİİRT Stud.</t>
  </si>
  <si>
    <t>SİVAS REPUBLIC Stud.</t>
  </si>
  <si>
    <t xml:space="preserve">TEKİRDAĞ NAMIK KEMAL </t>
  </si>
  <si>
    <t>VAN YUZUNCUYIL Stud.</t>
  </si>
  <si>
    <t>YOZGAT BOZOK Stud.</t>
  </si>
  <si>
    <t>All Students</t>
  </si>
  <si>
    <t>New Registrants</t>
  </si>
  <si>
    <t>Turkiye</t>
  </si>
  <si>
    <t>Guatemala</t>
  </si>
  <si>
    <t>Accepted Applicants</t>
  </si>
  <si>
    <t>Africa</t>
  </si>
  <si>
    <t>Americas</t>
  </si>
  <si>
    <t>Average</t>
  </si>
  <si>
    <t>Asia</t>
  </si>
  <si>
    <t>Europe</t>
  </si>
  <si>
    <t>UNAM FMVZ Entrants</t>
  </si>
  <si>
    <t>Iceland</t>
  </si>
  <si>
    <t>Iraq</t>
  </si>
  <si>
    <t>Latvia</t>
  </si>
  <si>
    <t>Kyrgyzstan</t>
  </si>
  <si>
    <t>Romania</t>
  </si>
  <si>
    <t>Portugal</t>
  </si>
  <si>
    <t>Russian Federation</t>
  </si>
  <si>
    <t>Slovenia</t>
  </si>
  <si>
    <t>Argentina</t>
  </si>
  <si>
    <t>Middle East</t>
  </si>
  <si>
    <t>Avg.</t>
  </si>
  <si>
    <t>Asia*</t>
  </si>
  <si>
    <t>Africa*</t>
  </si>
  <si>
    <t>Middle East*</t>
  </si>
  <si>
    <t>Americas*</t>
  </si>
  <si>
    <t>Estonia</t>
  </si>
  <si>
    <t>Ireland</t>
  </si>
  <si>
    <t>Luxembourg</t>
  </si>
  <si>
    <t>Northern Macedonia</t>
  </si>
  <si>
    <t>Russia</t>
  </si>
  <si>
    <t>DRC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</si>
</sst>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rgb="FF333333"/>
      <name val="Times New Roman"/>
      <family val="1"/>
    </font>
    <font>
      <sz val="8"/>
      <color rgb="FF333333"/>
      <name val="Arial"/>
      <family val="2"/>
    </font>
    <font>
      <sz val="8"/>
      <color rgb="FF000000"/>
      <name val="Arial"/>
      <family val="2"/>
    </font>
    <font>
      <sz val="9"/>
      <color rgb="FF333333"/>
      <name val="Arial"/>
      <family val="2"/>
    </font>
    <font>
      <sz val="10"/>
      <color rgb="FF2F3538"/>
      <name val="Arial"/>
      <family val="2"/>
    </font>
    <font>
      <sz val="10"/>
      <name val="Arial Unicode MS"/>
    </font>
    <font>
      <sz val="10"/>
      <color rgb="FF1E1E1E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rgb="FFECEDED"/>
      </left>
      <right style="medium">
        <color rgb="FFECEDED"/>
      </right>
      <top style="medium">
        <color rgb="FFECEDED"/>
      </top>
      <bottom style="medium">
        <color rgb="FFECEDE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3" fontId="0" fillId="0" borderId="0" xfId="0" applyNumberFormat="1"/>
    <xf numFmtId="3" fontId="2" fillId="0" borderId="0" xfId="0" applyNumberFormat="1" applyFont="1"/>
    <xf numFmtId="3" fontId="2" fillId="2" borderId="0" xfId="0" applyNumberFormat="1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3" fontId="2" fillId="0" borderId="0" xfId="0" applyNumberFormat="1" applyFont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3" fontId="3" fillId="0" borderId="0" xfId="0" applyNumberFormat="1" applyFont="1"/>
    <xf numFmtId="10" fontId="2" fillId="0" borderId="0" xfId="0" applyNumberFormat="1" applyFont="1"/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0" xfId="0" applyFill="1"/>
    <xf numFmtId="10" fontId="0" fillId="0" borderId="0" xfId="0" applyNumberFormat="1"/>
    <xf numFmtId="0" fontId="4" fillId="0" borderId="0" xfId="2"/>
    <xf numFmtId="3" fontId="4" fillId="0" borderId="0" xfId="2" applyNumberFormat="1"/>
    <xf numFmtId="3" fontId="1" fillId="0" borderId="0" xfId="2" applyNumberFormat="1" applyFont="1"/>
    <xf numFmtId="0" fontId="1" fillId="0" borderId="0" xfId="2" applyFont="1"/>
    <xf numFmtId="3" fontId="9" fillId="0" borderId="0" xfId="0" applyNumberFormat="1" applyFont="1"/>
    <xf numFmtId="0" fontId="2" fillId="0" borderId="0" xfId="0" applyFont="1" applyAlignment="1">
      <alignment wrapText="1"/>
    </xf>
    <xf numFmtId="10" fontId="4" fillId="0" borderId="0" xfId="2" applyNumberFormat="1"/>
    <xf numFmtId="9" fontId="4" fillId="0" borderId="0" xfId="2" applyNumberFormat="1"/>
    <xf numFmtId="3" fontId="10" fillId="0" borderId="0" xfId="0" applyNumberFormat="1" applyFont="1"/>
    <xf numFmtId="0" fontId="11" fillId="2" borderId="0" xfId="0" applyFont="1" applyFill="1" applyAlignment="1">
      <alignment vertical="top" wrapText="1"/>
    </xf>
    <xf numFmtId="10" fontId="11" fillId="2" borderId="0" xfId="0" applyNumberFormat="1" applyFont="1" applyFill="1" applyAlignment="1">
      <alignment vertical="top" wrapText="1"/>
    </xf>
    <xf numFmtId="0" fontId="1" fillId="0" borderId="0" xfId="2" applyFont="1" applyAlignment="1">
      <alignment horizontal="center"/>
    </xf>
    <xf numFmtId="0" fontId="4" fillId="0" borderId="0" xfId="2" applyAlignment="1">
      <alignment horizontal="center"/>
    </xf>
    <xf numFmtId="9" fontId="2" fillId="0" borderId="0" xfId="0" applyNumberFormat="1" applyFont="1"/>
    <xf numFmtId="164" fontId="2" fillId="0" borderId="0" xfId="0" applyNumberFormat="1" applyFont="1"/>
    <xf numFmtId="164" fontId="4" fillId="0" borderId="0" xfId="2" applyNumberFormat="1"/>
    <xf numFmtId="0" fontId="2" fillId="0" borderId="0" xfId="2" applyFont="1"/>
    <xf numFmtId="0" fontId="4" fillId="0" borderId="0" xfId="2" applyNumberFormat="1"/>
    <xf numFmtId="164" fontId="0" fillId="0" borderId="0" xfId="0" applyNumberFormat="1"/>
    <xf numFmtId="0" fontId="4" fillId="0" borderId="0" xfId="2" applyAlignment="1">
      <alignment horizontal="center" wrapText="1"/>
    </xf>
    <xf numFmtId="0" fontId="0" fillId="0" borderId="0" xfId="0" applyAlignment="1">
      <alignment horizontal="center"/>
    </xf>
    <xf numFmtId="10" fontId="12" fillId="0" borderId="0" xfId="0" applyNumberFormat="1" applyFont="1"/>
    <xf numFmtId="9" fontId="0" fillId="0" borderId="0" xfId="0" applyNumberFormat="1"/>
    <xf numFmtId="0" fontId="0" fillId="4" borderId="0" xfId="0" applyFill="1" applyAlignment="1">
      <alignment horizontal="right"/>
    </xf>
    <xf numFmtId="10" fontId="1" fillId="0" borderId="0" xfId="2" applyNumberFormat="1" applyFont="1"/>
    <xf numFmtId="0" fontId="0" fillId="0" borderId="0" xfId="0" applyAlignment="1">
      <alignment horizontal="left"/>
    </xf>
    <xf numFmtId="1" fontId="2" fillId="0" borderId="0" xfId="0" applyNumberFormat="1" applyFont="1"/>
    <xf numFmtId="1" fontId="4" fillId="0" borderId="0" xfId="2" applyNumberFormat="1"/>
    <xf numFmtId="164" fontId="11" fillId="2" borderId="0" xfId="0" applyNumberFormat="1" applyFont="1" applyFill="1" applyAlignment="1">
      <alignment vertical="top" wrapText="1"/>
    </xf>
    <xf numFmtId="3" fontId="13" fillId="0" borderId="0" xfId="0" applyNumberFormat="1" applyFont="1"/>
    <xf numFmtId="0" fontId="14" fillId="0" borderId="0" xfId="0" applyFont="1" applyAlignment="1">
      <alignment vertical="center"/>
    </xf>
    <xf numFmtId="1" fontId="14" fillId="0" borderId="0" xfId="0" applyNumberFormat="1" applyFont="1" applyAlignment="1">
      <alignment vertical="center"/>
    </xf>
    <xf numFmtId="1" fontId="0" fillId="0" borderId="0" xfId="0" applyNumberFormat="1"/>
    <xf numFmtId="164" fontId="15" fillId="0" borderId="0" xfId="0" applyNumberFormat="1" applyFont="1"/>
    <xf numFmtId="0" fontId="0" fillId="3" borderId="0" xfId="0" applyFill="1" applyAlignment="1">
      <alignment horizontal="center"/>
    </xf>
    <xf numFmtId="164" fontId="0" fillId="0" borderId="0" xfId="0" applyNumberFormat="1" applyAlignment="1">
      <alignment horizontal="center" vertical="center"/>
    </xf>
    <xf numFmtId="0" fontId="4" fillId="0" borderId="0" xfId="2" applyAlignme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2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0" fillId="4" borderId="0" xfId="0" applyFill="1" applyAlignment="1">
      <alignment horizontal="center"/>
    </xf>
    <xf numFmtId="0" fontId="4" fillId="4" borderId="0" xfId="2" applyFill="1" applyAlignment="1">
      <alignment horizontal="center" wrapText="1"/>
    </xf>
    <xf numFmtId="0" fontId="4" fillId="0" borderId="0" xfId="2" applyAlignment="1">
      <alignment horizontal="center" wrapText="1"/>
    </xf>
    <xf numFmtId="9" fontId="11" fillId="2" borderId="0" xfId="0" applyNumberFormat="1" applyFont="1" applyFill="1" applyAlignment="1">
      <alignment vertical="top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microsoft.com/office/2017/10/relationships/person" Target="persons/person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</a:rPr>
              <a:t>Average % women among veterinary professionals by WOAH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pro!$AW$2</c:f>
              <c:strCache>
                <c:ptCount val="1"/>
                <c:pt idx="0">
                  <c:v>Americas*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pro!$A$3:$A$82</c:f>
              <c:numCache>
                <c:formatCode>General</c:formatCode>
                <c:ptCount val="80"/>
                <c:pt idx="0">
                  <c:v>1944</c:v>
                </c:pt>
                <c:pt idx="1">
                  <c:v>1945</c:v>
                </c:pt>
                <c:pt idx="2">
                  <c:v>1946</c:v>
                </c:pt>
                <c:pt idx="3">
                  <c:v>1947</c:v>
                </c:pt>
                <c:pt idx="4">
                  <c:v>1948</c:v>
                </c:pt>
                <c:pt idx="5">
                  <c:v>1949</c:v>
                </c:pt>
                <c:pt idx="6">
                  <c:v>1950</c:v>
                </c:pt>
                <c:pt idx="7">
                  <c:v>1951</c:v>
                </c:pt>
                <c:pt idx="8">
                  <c:v>1952</c:v>
                </c:pt>
                <c:pt idx="9">
                  <c:v>1953</c:v>
                </c:pt>
                <c:pt idx="10">
                  <c:v>1954</c:v>
                </c:pt>
                <c:pt idx="11">
                  <c:v>1955</c:v>
                </c:pt>
                <c:pt idx="12">
                  <c:v>1956</c:v>
                </c:pt>
                <c:pt idx="13">
                  <c:v>1957</c:v>
                </c:pt>
                <c:pt idx="14">
                  <c:v>1958</c:v>
                </c:pt>
                <c:pt idx="15">
                  <c:v>1959</c:v>
                </c:pt>
                <c:pt idx="16">
                  <c:v>1960</c:v>
                </c:pt>
                <c:pt idx="17">
                  <c:v>1961</c:v>
                </c:pt>
                <c:pt idx="18">
                  <c:v>1962</c:v>
                </c:pt>
                <c:pt idx="19">
                  <c:v>1963</c:v>
                </c:pt>
                <c:pt idx="20">
                  <c:v>1964</c:v>
                </c:pt>
                <c:pt idx="21">
                  <c:v>1965</c:v>
                </c:pt>
                <c:pt idx="22">
                  <c:v>1966</c:v>
                </c:pt>
                <c:pt idx="23">
                  <c:v>1967</c:v>
                </c:pt>
                <c:pt idx="24">
                  <c:v>1968</c:v>
                </c:pt>
                <c:pt idx="25">
                  <c:v>1969</c:v>
                </c:pt>
                <c:pt idx="26">
                  <c:v>1970</c:v>
                </c:pt>
                <c:pt idx="27">
                  <c:v>1971</c:v>
                </c:pt>
                <c:pt idx="28">
                  <c:v>1972</c:v>
                </c:pt>
                <c:pt idx="29">
                  <c:v>1973</c:v>
                </c:pt>
                <c:pt idx="30">
                  <c:v>1974</c:v>
                </c:pt>
                <c:pt idx="31">
                  <c:v>1975</c:v>
                </c:pt>
                <c:pt idx="32">
                  <c:v>1976</c:v>
                </c:pt>
                <c:pt idx="33">
                  <c:v>1977</c:v>
                </c:pt>
                <c:pt idx="34">
                  <c:v>1978</c:v>
                </c:pt>
                <c:pt idx="35">
                  <c:v>1979</c:v>
                </c:pt>
                <c:pt idx="36">
                  <c:v>1980</c:v>
                </c:pt>
                <c:pt idx="37">
                  <c:v>1981</c:v>
                </c:pt>
                <c:pt idx="38">
                  <c:v>1982</c:v>
                </c:pt>
                <c:pt idx="39">
                  <c:v>1983</c:v>
                </c:pt>
                <c:pt idx="40">
                  <c:v>1984</c:v>
                </c:pt>
                <c:pt idx="41">
                  <c:v>1985</c:v>
                </c:pt>
                <c:pt idx="42">
                  <c:v>1986</c:v>
                </c:pt>
                <c:pt idx="43">
                  <c:v>1987</c:v>
                </c:pt>
                <c:pt idx="44">
                  <c:v>1988</c:v>
                </c:pt>
                <c:pt idx="45">
                  <c:v>1989</c:v>
                </c:pt>
                <c:pt idx="46">
                  <c:v>1990</c:v>
                </c:pt>
                <c:pt idx="47">
                  <c:v>1991</c:v>
                </c:pt>
                <c:pt idx="48">
                  <c:v>1992</c:v>
                </c:pt>
                <c:pt idx="49">
                  <c:v>1993</c:v>
                </c:pt>
                <c:pt idx="50">
                  <c:v>1994</c:v>
                </c:pt>
                <c:pt idx="51">
                  <c:v>1995</c:v>
                </c:pt>
                <c:pt idx="52">
                  <c:v>1996</c:v>
                </c:pt>
                <c:pt idx="53">
                  <c:v>1997</c:v>
                </c:pt>
                <c:pt idx="54">
                  <c:v>1998</c:v>
                </c:pt>
                <c:pt idx="55">
                  <c:v>1999</c:v>
                </c:pt>
                <c:pt idx="56">
                  <c:v>2000</c:v>
                </c:pt>
                <c:pt idx="57">
                  <c:v>2001</c:v>
                </c:pt>
                <c:pt idx="58">
                  <c:v>2002</c:v>
                </c:pt>
                <c:pt idx="59">
                  <c:v>2003</c:v>
                </c:pt>
                <c:pt idx="60">
                  <c:v>2004</c:v>
                </c:pt>
                <c:pt idx="61">
                  <c:v>2005</c:v>
                </c:pt>
                <c:pt idx="62">
                  <c:v>2006</c:v>
                </c:pt>
                <c:pt idx="63">
                  <c:v>2007</c:v>
                </c:pt>
                <c:pt idx="64">
                  <c:v>2008</c:v>
                </c:pt>
                <c:pt idx="65">
                  <c:v>2009</c:v>
                </c:pt>
                <c:pt idx="66">
                  <c:v>2010</c:v>
                </c:pt>
                <c:pt idx="67">
                  <c:v>2011</c:v>
                </c:pt>
                <c:pt idx="68">
                  <c:v>2012</c:v>
                </c:pt>
                <c:pt idx="69">
                  <c:v>2013</c:v>
                </c:pt>
                <c:pt idx="70">
                  <c:v>2014</c:v>
                </c:pt>
                <c:pt idx="71">
                  <c:v>2015</c:v>
                </c:pt>
                <c:pt idx="72">
                  <c:v>2016</c:v>
                </c:pt>
                <c:pt idx="73">
                  <c:v>2017</c:v>
                </c:pt>
                <c:pt idx="74">
                  <c:v>2018</c:v>
                </c:pt>
                <c:pt idx="75">
                  <c:v>2019</c:v>
                </c:pt>
                <c:pt idx="76">
                  <c:v>2020</c:v>
                </c:pt>
                <c:pt idx="77">
                  <c:v>2021</c:v>
                </c:pt>
                <c:pt idx="78">
                  <c:v>2022</c:v>
                </c:pt>
                <c:pt idx="79">
                  <c:v>2023</c:v>
                </c:pt>
              </c:numCache>
            </c:numRef>
          </c:xVal>
          <c:yVal>
            <c:numRef>
              <c:f>pro!$AW$3:$AW$82</c:f>
              <c:numCache>
                <c:formatCode>0%</c:formatCode>
                <c:ptCount val="80"/>
                <c:pt idx="0">
                  <c:v>0.02</c:v>
                </c:pt>
                <c:pt idx="26">
                  <c:v>5.0999999999999997E-2</c:v>
                </c:pt>
                <c:pt idx="36">
                  <c:v>9.9000000000000005E-2</c:v>
                </c:pt>
                <c:pt idx="42">
                  <c:v>0.16</c:v>
                </c:pt>
                <c:pt idx="43">
                  <c:v>0.17</c:v>
                </c:pt>
                <c:pt idx="46">
                  <c:v>0.25600000000000001</c:v>
                </c:pt>
                <c:pt idx="51">
                  <c:v>0.32700000000000001</c:v>
                </c:pt>
                <c:pt idx="55">
                  <c:v>0.435</c:v>
                </c:pt>
                <c:pt idx="56">
                  <c:v>0.316</c:v>
                </c:pt>
                <c:pt idx="59">
                  <c:v>0.43</c:v>
                </c:pt>
                <c:pt idx="61">
                  <c:v>0.45725093943621259</c:v>
                </c:pt>
                <c:pt idx="63">
                  <c:v>0.49705183327361752</c:v>
                </c:pt>
                <c:pt idx="64">
                  <c:v>0.496528141247078</c:v>
                </c:pt>
                <c:pt idx="65">
                  <c:v>0.50912520739107703</c:v>
                </c:pt>
                <c:pt idx="66">
                  <c:v>0.48548491701865848</c:v>
                </c:pt>
                <c:pt idx="67">
                  <c:v>0.53327498460241796</c:v>
                </c:pt>
                <c:pt idx="68">
                  <c:v>0.54068025249456797</c:v>
                </c:pt>
                <c:pt idx="69">
                  <c:v>0.55408142799839599</c:v>
                </c:pt>
                <c:pt idx="70">
                  <c:v>0.56683855999532096</c:v>
                </c:pt>
                <c:pt idx="71">
                  <c:v>0.57886444313673402</c:v>
                </c:pt>
                <c:pt idx="72">
                  <c:v>0.59129589332839505</c:v>
                </c:pt>
                <c:pt idx="73">
                  <c:v>0.55107595051409142</c:v>
                </c:pt>
                <c:pt idx="74">
                  <c:v>0.56674562424539243</c:v>
                </c:pt>
                <c:pt idx="75">
                  <c:v>0.59296760715681551</c:v>
                </c:pt>
                <c:pt idx="76">
                  <c:v>0.59531713184363366</c:v>
                </c:pt>
                <c:pt idx="77">
                  <c:v>0.6353925128230461</c:v>
                </c:pt>
                <c:pt idx="78">
                  <c:v>0.66121271228106937</c:v>
                </c:pt>
                <c:pt idx="79">
                  <c:v>0.67125248759153944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8D-47EB-A5F3-D8A8B6865E77}"/>
            </c:ext>
          </c:extLst>
        </c:ser>
        <c:ser>
          <c:idx val="1"/>
          <c:order val="1"/>
          <c:tx>
            <c:strRef>
              <c:f>pro!$AX$2</c:f>
              <c:strCache>
                <c:ptCount val="1"/>
                <c:pt idx="0">
                  <c:v>Asia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pro!$A$3:$A$82</c:f>
              <c:numCache>
                <c:formatCode>General</c:formatCode>
                <c:ptCount val="80"/>
                <c:pt idx="0">
                  <c:v>1944</c:v>
                </c:pt>
                <c:pt idx="1">
                  <c:v>1945</c:v>
                </c:pt>
                <c:pt idx="2">
                  <c:v>1946</c:v>
                </c:pt>
                <c:pt idx="3">
                  <c:v>1947</c:v>
                </c:pt>
                <c:pt idx="4">
                  <c:v>1948</c:v>
                </c:pt>
                <c:pt idx="5">
                  <c:v>1949</c:v>
                </c:pt>
                <c:pt idx="6">
                  <c:v>1950</c:v>
                </c:pt>
                <c:pt idx="7">
                  <c:v>1951</c:v>
                </c:pt>
                <c:pt idx="8">
                  <c:v>1952</c:v>
                </c:pt>
                <c:pt idx="9">
                  <c:v>1953</c:v>
                </c:pt>
                <c:pt idx="10">
                  <c:v>1954</c:v>
                </c:pt>
                <c:pt idx="11">
                  <c:v>1955</c:v>
                </c:pt>
                <c:pt idx="12">
                  <c:v>1956</c:v>
                </c:pt>
                <c:pt idx="13">
                  <c:v>1957</c:v>
                </c:pt>
                <c:pt idx="14">
                  <c:v>1958</c:v>
                </c:pt>
                <c:pt idx="15">
                  <c:v>1959</c:v>
                </c:pt>
                <c:pt idx="16">
                  <c:v>1960</c:v>
                </c:pt>
                <c:pt idx="17">
                  <c:v>1961</c:v>
                </c:pt>
                <c:pt idx="18">
                  <c:v>1962</c:v>
                </c:pt>
                <c:pt idx="19">
                  <c:v>1963</c:v>
                </c:pt>
                <c:pt idx="20">
                  <c:v>1964</c:v>
                </c:pt>
                <c:pt idx="21">
                  <c:v>1965</c:v>
                </c:pt>
                <c:pt idx="22">
                  <c:v>1966</c:v>
                </c:pt>
                <c:pt idx="23">
                  <c:v>1967</c:v>
                </c:pt>
                <c:pt idx="24">
                  <c:v>1968</c:v>
                </c:pt>
                <c:pt idx="25">
                  <c:v>1969</c:v>
                </c:pt>
                <c:pt idx="26">
                  <c:v>1970</c:v>
                </c:pt>
                <c:pt idx="27">
                  <c:v>1971</c:v>
                </c:pt>
                <c:pt idx="28">
                  <c:v>1972</c:v>
                </c:pt>
                <c:pt idx="29">
                  <c:v>1973</c:v>
                </c:pt>
                <c:pt idx="30">
                  <c:v>1974</c:v>
                </c:pt>
                <c:pt idx="31">
                  <c:v>1975</c:v>
                </c:pt>
                <c:pt idx="32">
                  <c:v>1976</c:v>
                </c:pt>
                <c:pt idx="33">
                  <c:v>1977</c:v>
                </c:pt>
                <c:pt idx="34">
                  <c:v>1978</c:v>
                </c:pt>
                <c:pt idx="35">
                  <c:v>1979</c:v>
                </c:pt>
                <c:pt idx="36">
                  <c:v>1980</c:v>
                </c:pt>
                <c:pt idx="37">
                  <c:v>1981</c:v>
                </c:pt>
                <c:pt idx="38">
                  <c:v>1982</c:v>
                </c:pt>
                <c:pt idx="39">
                  <c:v>1983</c:v>
                </c:pt>
                <c:pt idx="40">
                  <c:v>1984</c:v>
                </c:pt>
                <c:pt idx="41">
                  <c:v>1985</c:v>
                </c:pt>
                <c:pt idx="42">
                  <c:v>1986</c:v>
                </c:pt>
                <c:pt idx="43">
                  <c:v>1987</c:v>
                </c:pt>
                <c:pt idx="44">
                  <c:v>1988</c:v>
                </c:pt>
                <c:pt idx="45">
                  <c:v>1989</c:v>
                </c:pt>
                <c:pt idx="46">
                  <c:v>1990</c:v>
                </c:pt>
                <c:pt idx="47">
                  <c:v>1991</c:v>
                </c:pt>
                <c:pt idx="48">
                  <c:v>1992</c:v>
                </c:pt>
                <c:pt idx="49">
                  <c:v>1993</c:v>
                </c:pt>
                <c:pt idx="50">
                  <c:v>1994</c:v>
                </c:pt>
                <c:pt idx="51">
                  <c:v>1995</c:v>
                </c:pt>
                <c:pt idx="52">
                  <c:v>1996</c:v>
                </c:pt>
                <c:pt idx="53">
                  <c:v>1997</c:v>
                </c:pt>
                <c:pt idx="54">
                  <c:v>1998</c:v>
                </c:pt>
                <c:pt idx="55">
                  <c:v>1999</c:v>
                </c:pt>
                <c:pt idx="56">
                  <c:v>2000</c:v>
                </c:pt>
                <c:pt idx="57">
                  <c:v>2001</c:v>
                </c:pt>
                <c:pt idx="58">
                  <c:v>2002</c:v>
                </c:pt>
                <c:pt idx="59">
                  <c:v>2003</c:v>
                </c:pt>
                <c:pt idx="60">
                  <c:v>2004</c:v>
                </c:pt>
                <c:pt idx="61">
                  <c:v>2005</c:v>
                </c:pt>
                <c:pt idx="62">
                  <c:v>2006</c:v>
                </c:pt>
                <c:pt idx="63">
                  <c:v>2007</c:v>
                </c:pt>
                <c:pt idx="64">
                  <c:v>2008</c:v>
                </c:pt>
                <c:pt idx="65">
                  <c:v>2009</c:v>
                </c:pt>
                <c:pt idx="66">
                  <c:v>2010</c:v>
                </c:pt>
                <c:pt idx="67">
                  <c:v>2011</c:v>
                </c:pt>
                <c:pt idx="68">
                  <c:v>2012</c:v>
                </c:pt>
                <c:pt idx="69">
                  <c:v>2013</c:v>
                </c:pt>
                <c:pt idx="70">
                  <c:v>2014</c:v>
                </c:pt>
                <c:pt idx="71">
                  <c:v>2015</c:v>
                </c:pt>
                <c:pt idx="72">
                  <c:v>2016</c:v>
                </c:pt>
                <c:pt idx="73">
                  <c:v>2017</c:v>
                </c:pt>
                <c:pt idx="74">
                  <c:v>2018</c:v>
                </c:pt>
                <c:pt idx="75">
                  <c:v>2019</c:v>
                </c:pt>
                <c:pt idx="76">
                  <c:v>2020</c:v>
                </c:pt>
                <c:pt idx="77">
                  <c:v>2021</c:v>
                </c:pt>
                <c:pt idx="78">
                  <c:v>2022</c:v>
                </c:pt>
                <c:pt idx="79">
                  <c:v>2023</c:v>
                </c:pt>
              </c:numCache>
            </c:numRef>
          </c:xVal>
          <c:yVal>
            <c:numRef>
              <c:f>pro!$AX$3:$AX$82</c:f>
              <c:numCache>
                <c:formatCode>0%</c:formatCode>
                <c:ptCount val="80"/>
                <c:pt idx="37">
                  <c:v>0.14699401951526597</c:v>
                </c:pt>
                <c:pt idx="47">
                  <c:v>0.29955854530166071</c:v>
                </c:pt>
                <c:pt idx="57">
                  <c:v>0.38817238125196601</c:v>
                </c:pt>
                <c:pt idx="58">
                  <c:v>0.17799999999999999</c:v>
                </c:pt>
                <c:pt idx="62">
                  <c:v>0.34617539740457531</c:v>
                </c:pt>
                <c:pt idx="64">
                  <c:v>0.4212488350419385</c:v>
                </c:pt>
                <c:pt idx="68">
                  <c:v>0.43867289249348806</c:v>
                </c:pt>
                <c:pt idx="69">
                  <c:v>0.42568563827184519</c:v>
                </c:pt>
                <c:pt idx="70">
                  <c:v>0.3272320474039101</c:v>
                </c:pt>
                <c:pt idx="71">
                  <c:v>0.24149659863945599</c:v>
                </c:pt>
                <c:pt idx="72">
                  <c:v>0.39200784319676912</c:v>
                </c:pt>
                <c:pt idx="73">
                  <c:v>0.238520801232666</c:v>
                </c:pt>
                <c:pt idx="74">
                  <c:v>0.46026339741566502</c:v>
                </c:pt>
                <c:pt idx="75">
                  <c:v>0.26072041166380799</c:v>
                </c:pt>
                <c:pt idx="76">
                  <c:v>0.23691465625435784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8D-47EB-A5F3-D8A8B6865E77}"/>
            </c:ext>
          </c:extLst>
        </c:ser>
        <c:ser>
          <c:idx val="2"/>
          <c:order val="2"/>
          <c:tx>
            <c:strRef>
              <c:f>pro!$AY$2</c:f>
              <c:strCache>
                <c:ptCount val="1"/>
                <c:pt idx="0">
                  <c:v>Europe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pro!$A$3:$A$82</c:f>
              <c:numCache>
                <c:formatCode>General</c:formatCode>
                <c:ptCount val="80"/>
                <c:pt idx="0">
                  <c:v>1944</c:v>
                </c:pt>
                <c:pt idx="1">
                  <c:v>1945</c:v>
                </c:pt>
                <c:pt idx="2">
                  <c:v>1946</c:v>
                </c:pt>
                <c:pt idx="3">
                  <c:v>1947</c:v>
                </c:pt>
                <c:pt idx="4">
                  <c:v>1948</c:v>
                </c:pt>
                <c:pt idx="5">
                  <c:v>1949</c:v>
                </c:pt>
                <c:pt idx="6">
                  <c:v>1950</c:v>
                </c:pt>
                <c:pt idx="7">
                  <c:v>1951</c:v>
                </c:pt>
                <c:pt idx="8">
                  <c:v>1952</c:v>
                </c:pt>
                <c:pt idx="9">
                  <c:v>1953</c:v>
                </c:pt>
                <c:pt idx="10">
                  <c:v>1954</c:v>
                </c:pt>
                <c:pt idx="11">
                  <c:v>1955</c:v>
                </c:pt>
                <c:pt idx="12">
                  <c:v>1956</c:v>
                </c:pt>
                <c:pt idx="13">
                  <c:v>1957</c:v>
                </c:pt>
                <c:pt idx="14">
                  <c:v>1958</c:v>
                </c:pt>
                <c:pt idx="15">
                  <c:v>1959</c:v>
                </c:pt>
                <c:pt idx="16">
                  <c:v>1960</c:v>
                </c:pt>
                <c:pt idx="17">
                  <c:v>1961</c:v>
                </c:pt>
                <c:pt idx="18">
                  <c:v>1962</c:v>
                </c:pt>
                <c:pt idx="19">
                  <c:v>1963</c:v>
                </c:pt>
                <c:pt idx="20">
                  <c:v>1964</c:v>
                </c:pt>
                <c:pt idx="21">
                  <c:v>1965</c:v>
                </c:pt>
                <c:pt idx="22">
                  <c:v>1966</c:v>
                </c:pt>
                <c:pt idx="23">
                  <c:v>1967</c:v>
                </c:pt>
                <c:pt idx="24">
                  <c:v>1968</c:v>
                </c:pt>
                <c:pt idx="25">
                  <c:v>1969</c:v>
                </c:pt>
                <c:pt idx="26">
                  <c:v>1970</c:v>
                </c:pt>
                <c:pt idx="27">
                  <c:v>1971</c:v>
                </c:pt>
                <c:pt idx="28">
                  <c:v>1972</c:v>
                </c:pt>
                <c:pt idx="29">
                  <c:v>1973</c:v>
                </c:pt>
                <c:pt idx="30">
                  <c:v>1974</c:v>
                </c:pt>
                <c:pt idx="31">
                  <c:v>1975</c:v>
                </c:pt>
                <c:pt idx="32">
                  <c:v>1976</c:v>
                </c:pt>
                <c:pt idx="33">
                  <c:v>1977</c:v>
                </c:pt>
                <c:pt idx="34">
                  <c:v>1978</c:v>
                </c:pt>
                <c:pt idx="35">
                  <c:v>1979</c:v>
                </c:pt>
                <c:pt idx="36">
                  <c:v>1980</c:v>
                </c:pt>
                <c:pt idx="37">
                  <c:v>1981</c:v>
                </c:pt>
                <c:pt idx="38">
                  <c:v>1982</c:v>
                </c:pt>
                <c:pt idx="39">
                  <c:v>1983</c:v>
                </c:pt>
                <c:pt idx="40">
                  <c:v>1984</c:v>
                </c:pt>
                <c:pt idx="41">
                  <c:v>1985</c:v>
                </c:pt>
                <c:pt idx="42">
                  <c:v>1986</c:v>
                </c:pt>
                <c:pt idx="43">
                  <c:v>1987</c:v>
                </c:pt>
                <c:pt idx="44">
                  <c:v>1988</c:v>
                </c:pt>
                <c:pt idx="45">
                  <c:v>1989</c:v>
                </c:pt>
                <c:pt idx="46">
                  <c:v>1990</c:v>
                </c:pt>
                <c:pt idx="47">
                  <c:v>1991</c:v>
                </c:pt>
                <c:pt idx="48">
                  <c:v>1992</c:v>
                </c:pt>
                <c:pt idx="49">
                  <c:v>1993</c:v>
                </c:pt>
                <c:pt idx="50">
                  <c:v>1994</c:v>
                </c:pt>
                <c:pt idx="51">
                  <c:v>1995</c:v>
                </c:pt>
                <c:pt idx="52">
                  <c:v>1996</c:v>
                </c:pt>
                <c:pt idx="53">
                  <c:v>1997</c:v>
                </c:pt>
                <c:pt idx="54">
                  <c:v>1998</c:v>
                </c:pt>
                <c:pt idx="55">
                  <c:v>1999</c:v>
                </c:pt>
                <c:pt idx="56">
                  <c:v>2000</c:v>
                </c:pt>
                <c:pt idx="57">
                  <c:v>2001</c:v>
                </c:pt>
                <c:pt idx="58">
                  <c:v>2002</c:v>
                </c:pt>
                <c:pt idx="59">
                  <c:v>2003</c:v>
                </c:pt>
                <c:pt idx="60">
                  <c:v>2004</c:v>
                </c:pt>
                <c:pt idx="61">
                  <c:v>2005</c:v>
                </c:pt>
                <c:pt idx="62">
                  <c:v>2006</c:v>
                </c:pt>
                <c:pt idx="63">
                  <c:v>2007</c:v>
                </c:pt>
                <c:pt idx="64">
                  <c:v>2008</c:v>
                </c:pt>
                <c:pt idx="65">
                  <c:v>2009</c:v>
                </c:pt>
                <c:pt idx="66">
                  <c:v>2010</c:v>
                </c:pt>
                <c:pt idx="67">
                  <c:v>2011</c:v>
                </c:pt>
                <c:pt idx="68">
                  <c:v>2012</c:v>
                </c:pt>
                <c:pt idx="69">
                  <c:v>2013</c:v>
                </c:pt>
                <c:pt idx="70">
                  <c:v>2014</c:v>
                </c:pt>
                <c:pt idx="71">
                  <c:v>2015</c:v>
                </c:pt>
                <c:pt idx="72">
                  <c:v>2016</c:v>
                </c:pt>
                <c:pt idx="73">
                  <c:v>2017</c:v>
                </c:pt>
                <c:pt idx="74">
                  <c:v>2018</c:v>
                </c:pt>
                <c:pt idx="75">
                  <c:v>2019</c:v>
                </c:pt>
                <c:pt idx="76">
                  <c:v>2020</c:v>
                </c:pt>
                <c:pt idx="77">
                  <c:v>2021</c:v>
                </c:pt>
                <c:pt idx="78">
                  <c:v>2022</c:v>
                </c:pt>
                <c:pt idx="79">
                  <c:v>2023</c:v>
                </c:pt>
              </c:numCache>
            </c:numRef>
          </c:xVal>
          <c:yVal>
            <c:numRef>
              <c:f>pro!$AY$3:$AY$82</c:f>
              <c:numCache>
                <c:formatCode>0%</c:formatCode>
                <c:ptCount val="80"/>
                <c:pt idx="1">
                  <c:v>0.01</c:v>
                </c:pt>
                <c:pt idx="9">
                  <c:v>1.1999999999999999E-3</c:v>
                </c:pt>
                <c:pt idx="16">
                  <c:v>1.5E-3</c:v>
                </c:pt>
                <c:pt idx="18">
                  <c:v>4.3999999999999997E-2</c:v>
                </c:pt>
                <c:pt idx="19">
                  <c:v>4.3999999999999997E-2</c:v>
                </c:pt>
                <c:pt idx="20">
                  <c:v>3.2945955094211894E-2</c:v>
                </c:pt>
                <c:pt idx="21">
                  <c:v>6.1715043074884027E-2</c:v>
                </c:pt>
                <c:pt idx="22">
                  <c:v>3.958673191952148E-2</c:v>
                </c:pt>
                <c:pt idx="23">
                  <c:v>4.3543223052294557E-2</c:v>
                </c:pt>
                <c:pt idx="24">
                  <c:v>4.6811184417216462E-2</c:v>
                </c:pt>
                <c:pt idx="25">
                  <c:v>5.8625761714645931E-2</c:v>
                </c:pt>
                <c:pt idx="26">
                  <c:v>3.7687256089355407E-2</c:v>
                </c:pt>
                <c:pt idx="27">
                  <c:v>6.0240963855421686E-2</c:v>
                </c:pt>
                <c:pt idx="28">
                  <c:v>6.7008237894313843E-2</c:v>
                </c:pt>
                <c:pt idx="29">
                  <c:v>8.2716289945440377E-2</c:v>
                </c:pt>
                <c:pt idx="30">
                  <c:v>8.9050131926121379E-2</c:v>
                </c:pt>
                <c:pt idx="31">
                  <c:v>7.526230114687385E-2</c:v>
                </c:pt>
                <c:pt idx="32">
                  <c:v>0.10147567862998724</c:v>
                </c:pt>
                <c:pt idx="33">
                  <c:v>0.11110109929717066</c:v>
                </c:pt>
                <c:pt idx="34">
                  <c:v>0.12126507076708021</c:v>
                </c:pt>
                <c:pt idx="35">
                  <c:v>0.1327659574468085</c:v>
                </c:pt>
                <c:pt idx="36">
                  <c:v>8.116672844082036E-2</c:v>
                </c:pt>
                <c:pt idx="37">
                  <c:v>0.15290912005129026</c:v>
                </c:pt>
                <c:pt idx="38">
                  <c:v>0.16315830056288072</c:v>
                </c:pt>
                <c:pt idx="39">
                  <c:v>0.17440214557103478</c:v>
                </c:pt>
                <c:pt idx="40">
                  <c:v>0.19137389317337902</c:v>
                </c:pt>
                <c:pt idx="41">
                  <c:v>0.20894603652280966</c:v>
                </c:pt>
                <c:pt idx="42">
                  <c:v>0.2245232321908382</c:v>
                </c:pt>
                <c:pt idx="43">
                  <c:v>0.19230252164847356</c:v>
                </c:pt>
                <c:pt idx="44">
                  <c:v>0.25865506615914446</c:v>
                </c:pt>
                <c:pt idx="45">
                  <c:v>0.27281699953553179</c:v>
                </c:pt>
                <c:pt idx="46">
                  <c:v>0.25562233937124923</c:v>
                </c:pt>
                <c:pt idx="47">
                  <c:v>0.29101660795168593</c:v>
                </c:pt>
                <c:pt idx="48">
                  <c:v>0.3028748269403046</c:v>
                </c:pt>
                <c:pt idx="49">
                  <c:v>0.31753909173264011</c:v>
                </c:pt>
                <c:pt idx="50">
                  <c:v>0.33011716057891111</c:v>
                </c:pt>
                <c:pt idx="51">
                  <c:v>0.23109757908807366</c:v>
                </c:pt>
                <c:pt idx="53">
                  <c:v>0.214</c:v>
                </c:pt>
                <c:pt idx="55">
                  <c:v>0.34</c:v>
                </c:pt>
                <c:pt idx="56">
                  <c:v>0.2846939290294998</c:v>
                </c:pt>
                <c:pt idx="57">
                  <c:v>0.42301841602744605</c:v>
                </c:pt>
                <c:pt idx="58">
                  <c:v>0.39800006357077011</c:v>
                </c:pt>
                <c:pt idx="59">
                  <c:v>0.44915307012081207</c:v>
                </c:pt>
                <c:pt idx="60">
                  <c:v>0.46046511627906977</c:v>
                </c:pt>
                <c:pt idx="61">
                  <c:v>0.47339060915219855</c:v>
                </c:pt>
                <c:pt idx="62">
                  <c:v>0.42833447641643824</c:v>
                </c:pt>
                <c:pt idx="63">
                  <c:v>0.42995852577823723</c:v>
                </c:pt>
                <c:pt idx="64">
                  <c:v>0.44024804832184172</c:v>
                </c:pt>
                <c:pt idx="65">
                  <c:v>0.51827836780324199</c:v>
                </c:pt>
                <c:pt idx="66">
                  <c:v>0.4640508965938111</c:v>
                </c:pt>
                <c:pt idx="67">
                  <c:v>0.54321749631021066</c:v>
                </c:pt>
                <c:pt idx="68">
                  <c:v>0.49750692740875707</c:v>
                </c:pt>
                <c:pt idx="69">
                  <c:v>0.56608639587362997</c:v>
                </c:pt>
                <c:pt idx="70">
                  <c:v>0.51208806061988821</c:v>
                </c:pt>
                <c:pt idx="71">
                  <c:v>0.53571753199692806</c:v>
                </c:pt>
                <c:pt idx="72">
                  <c:v>0.55475333108640645</c:v>
                </c:pt>
                <c:pt idx="73">
                  <c:v>0.58877421431316312</c:v>
                </c:pt>
                <c:pt idx="74">
                  <c:v>0.58438388284725373</c:v>
                </c:pt>
                <c:pt idx="75">
                  <c:v>0.60099178070152814</c:v>
                </c:pt>
                <c:pt idx="76">
                  <c:v>0.56620128707289252</c:v>
                </c:pt>
                <c:pt idx="77">
                  <c:v>0.57580307240122919</c:v>
                </c:pt>
                <c:pt idx="78">
                  <c:v>0.61668960881333523</c:v>
                </c:pt>
                <c:pt idx="79">
                  <c:v>0.62119404206405981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8D-47EB-A5F3-D8A8B6865E77}"/>
            </c:ext>
          </c:extLst>
        </c:ser>
        <c:ser>
          <c:idx val="3"/>
          <c:order val="3"/>
          <c:tx>
            <c:strRef>
              <c:f>pro!$AV$2</c:f>
              <c:strCache>
                <c:ptCount val="1"/>
                <c:pt idx="0">
                  <c:v>Africa*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pro!$A$3:$A$82</c:f>
              <c:numCache>
                <c:formatCode>General</c:formatCode>
                <c:ptCount val="80"/>
                <c:pt idx="0">
                  <c:v>1944</c:v>
                </c:pt>
                <c:pt idx="1">
                  <c:v>1945</c:v>
                </c:pt>
                <c:pt idx="2">
                  <c:v>1946</c:v>
                </c:pt>
                <c:pt idx="3">
                  <c:v>1947</c:v>
                </c:pt>
                <c:pt idx="4">
                  <c:v>1948</c:v>
                </c:pt>
                <c:pt idx="5">
                  <c:v>1949</c:v>
                </c:pt>
                <c:pt idx="6">
                  <c:v>1950</c:v>
                </c:pt>
                <c:pt idx="7">
                  <c:v>1951</c:v>
                </c:pt>
                <c:pt idx="8">
                  <c:v>1952</c:v>
                </c:pt>
                <c:pt idx="9">
                  <c:v>1953</c:v>
                </c:pt>
                <c:pt idx="10">
                  <c:v>1954</c:v>
                </c:pt>
                <c:pt idx="11">
                  <c:v>1955</c:v>
                </c:pt>
                <c:pt idx="12">
                  <c:v>1956</c:v>
                </c:pt>
                <c:pt idx="13">
                  <c:v>1957</c:v>
                </c:pt>
                <c:pt idx="14">
                  <c:v>1958</c:v>
                </c:pt>
                <c:pt idx="15">
                  <c:v>1959</c:v>
                </c:pt>
                <c:pt idx="16">
                  <c:v>1960</c:v>
                </c:pt>
                <c:pt idx="17">
                  <c:v>1961</c:v>
                </c:pt>
                <c:pt idx="18">
                  <c:v>1962</c:v>
                </c:pt>
                <c:pt idx="19">
                  <c:v>1963</c:v>
                </c:pt>
                <c:pt idx="20">
                  <c:v>1964</c:v>
                </c:pt>
                <c:pt idx="21">
                  <c:v>1965</c:v>
                </c:pt>
                <c:pt idx="22">
                  <c:v>1966</c:v>
                </c:pt>
                <c:pt idx="23">
                  <c:v>1967</c:v>
                </c:pt>
                <c:pt idx="24">
                  <c:v>1968</c:v>
                </c:pt>
                <c:pt idx="25">
                  <c:v>1969</c:v>
                </c:pt>
                <c:pt idx="26">
                  <c:v>1970</c:v>
                </c:pt>
                <c:pt idx="27">
                  <c:v>1971</c:v>
                </c:pt>
                <c:pt idx="28">
                  <c:v>1972</c:v>
                </c:pt>
                <c:pt idx="29">
                  <c:v>1973</c:v>
                </c:pt>
                <c:pt idx="30">
                  <c:v>1974</c:v>
                </c:pt>
                <c:pt idx="31">
                  <c:v>1975</c:v>
                </c:pt>
                <c:pt idx="32">
                  <c:v>1976</c:v>
                </c:pt>
                <c:pt idx="33">
                  <c:v>1977</c:v>
                </c:pt>
                <c:pt idx="34">
                  <c:v>1978</c:v>
                </c:pt>
                <c:pt idx="35">
                  <c:v>1979</c:v>
                </c:pt>
                <c:pt idx="36">
                  <c:v>1980</c:v>
                </c:pt>
                <c:pt idx="37">
                  <c:v>1981</c:v>
                </c:pt>
                <c:pt idx="38">
                  <c:v>1982</c:v>
                </c:pt>
                <c:pt idx="39">
                  <c:v>1983</c:v>
                </c:pt>
                <c:pt idx="40">
                  <c:v>1984</c:v>
                </c:pt>
                <c:pt idx="41">
                  <c:v>1985</c:v>
                </c:pt>
                <c:pt idx="42">
                  <c:v>1986</c:v>
                </c:pt>
                <c:pt idx="43">
                  <c:v>1987</c:v>
                </c:pt>
                <c:pt idx="44">
                  <c:v>1988</c:v>
                </c:pt>
                <c:pt idx="45">
                  <c:v>1989</c:v>
                </c:pt>
                <c:pt idx="46">
                  <c:v>1990</c:v>
                </c:pt>
                <c:pt idx="47">
                  <c:v>1991</c:v>
                </c:pt>
                <c:pt idx="48">
                  <c:v>1992</c:v>
                </c:pt>
                <c:pt idx="49">
                  <c:v>1993</c:v>
                </c:pt>
                <c:pt idx="50">
                  <c:v>1994</c:v>
                </c:pt>
                <c:pt idx="51">
                  <c:v>1995</c:v>
                </c:pt>
                <c:pt idx="52">
                  <c:v>1996</c:v>
                </c:pt>
                <c:pt idx="53">
                  <c:v>1997</c:v>
                </c:pt>
                <c:pt idx="54">
                  <c:v>1998</c:v>
                </c:pt>
                <c:pt idx="55">
                  <c:v>1999</c:v>
                </c:pt>
                <c:pt idx="56">
                  <c:v>2000</c:v>
                </c:pt>
                <c:pt idx="57">
                  <c:v>2001</c:v>
                </c:pt>
                <c:pt idx="58">
                  <c:v>2002</c:v>
                </c:pt>
                <c:pt idx="59">
                  <c:v>2003</c:v>
                </c:pt>
                <c:pt idx="60">
                  <c:v>2004</c:v>
                </c:pt>
                <c:pt idx="61">
                  <c:v>2005</c:v>
                </c:pt>
                <c:pt idx="62">
                  <c:v>2006</c:v>
                </c:pt>
                <c:pt idx="63">
                  <c:v>2007</c:v>
                </c:pt>
                <c:pt idx="64">
                  <c:v>2008</c:v>
                </c:pt>
                <c:pt idx="65">
                  <c:v>2009</c:v>
                </c:pt>
                <c:pt idx="66">
                  <c:v>2010</c:v>
                </c:pt>
                <c:pt idx="67">
                  <c:v>2011</c:v>
                </c:pt>
                <c:pt idx="68">
                  <c:v>2012</c:v>
                </c:pt>
                <c:pt idx="69">
                  <c:v>2013</c:v>
                </c:pt>
                <c:pt idx="70">
                  <c:v>2014</c:v>
                </c:pt>
                <c:pt idx="71">
                  <c:v>2015</c:v>
                </c:pt>
                <c:pt idx="72">
                  <c:v>2016</c:v>
                </c:pt>
                <c:pt idx="73">
                  <c:v>2017</c:v>
                </c:pt>
                <c:pt idx="74">
                  <c:v>2018</c:v>
                </c:pt>
                <c:pt idx="75">
                  <c:v>2019</c:v>
                </c:pt>
                <c:pt idx="76">
                  <c:v>2020</c:v>
                </c:pt>
                <c:pt idx="77">
                  <c:v>2021</c:v>
                </c:pt>
                <c:pt idx="78">
                  <c:v>2022</c:v>
                </c:pt>
                <c:pt idx="79">
                  <c:v>2023</c:v>
                </c:pt>
              </c:numCache>
            </c:numRef>
          </c:xVal>
          <c:yVal>
            <c:numRef>
              <c:f>pro!$AV$3:$AV$82</c:f>
              <c:numCache>
                <c:formatCode>0%</c:formatCode>
                <c:ptCount val="80"/>
                <c:pt idx="67">
                  <c:v>0.35</c:v>
                </c:pt>
                <c:pt idx="76">
                  <c:v>9.9000000000000005E-2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8D-47EB-A5F3-D8A8B6865E77}"/>
            </c:ext>
          </c:extLst>
        </c:ser>
        <c:ser>
          <c:idx val="4"/>
          <c:order val="4"/>
          <c:tx>
            <c:strRef>
              <c:f>pro!$AZ$2</c:f>
              <c:strCache>
                <c:ptCount val="1"/>
                <c:pt idx="0">
                  <c:v>Middle East*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pro!$A$3:$A$82</c:f>
              <c:numCache>
                <c:formatCode>General</c:formatCode>
                <c:ptCount val="80"/>
                <c:pt idx="0">
                  <c:v>1944</c:v>
                </c:pt>
                <c:pt idx="1">
                  <c:v>1945</c:v>
                </c:pt>
                <c:pt idx="2">
                  <c:v>1946</c:v>
                </c:pt>
                <c:pt idx="3">
                  <c:v>1947</c:v>
                </c:pt>
                <c:pt idx="4">
                  <c:v>1948</c:v>
                </c:pt>
                <c:pt idx="5">
                  <c:v>1949</c:v>
                </c:pt>
                <c:pt idx="6">
                  <c:v>1950</c:v>
                </c:pt>
                <c:pt idx="7">
                  <c:v>1951</c:v>
                </c:pt>
                <c:pt idx="8">
                  <c:v>1952</c:v>
                </c:pt>
                <c:pt idx="9">
                  <c:v>1953</c:v>
                </c:pt>
                <c:pt idx="10">
                  <c:v>1954</c:v>
                </c:pt>
                <c:pt idx="11">
                  <c:v>1955</c:v>
                </c:pt>
                <c:pt idx="12">
                  <c:v>1956</c:v>
                </c:pt>
                <c:pt idx="13">
                  <c:v>1957</c:v>
                </c:pt>
                <c:pt idx="14">
                  <c:v>1958</c:v>
                </c:pt>
                <c:pt idx="15">
                  <c:v>1959</c:v>
                </c:pt>
                <c:pt idx="16">
                  <c:v>1960</c:v>
                </c:pt>
                <c:pt idx="17">
                  <c:v>1961</c:v>
                </c:pt>
                <c:pt idx="18">
                  <c:v>1962</c:v>
                </c:pt>
                <c:pt idx="19">
                  <c:v>1963</c:v>
                </c:pt>
                <c:pt idx="20">
                  <c:v>1964</c:v>
                </c:pt>
                <c:pt idx="21">
                  <c:v>1965</c:v>
                </c:pt>
                <c:pt idx="22">
                  <c:v>1966</c:v>
                </c:pt>
                <c:pt idx="23">
                  <c:v>1967</c:v>
                </c:pt>
                <c:pt idx="24">
                  <c:v>1968</c:v>
                </c:pt>
                <c:pt idx="25">
                  <c:v>1969</c:v>
                </c:pt>
                <c:pt idx="26">
                  <c:v>1970</c:v>
                </c:pt>
                <c:pt idx="27">
                  <c:v>1971</c:v>
                </c:pt>
                <c:pt idx="28">
                  <c:v>1972</c:v>
                </c:pt>
                <c:pt idx="29">
                  <c:v>1973</c:v>
                </c:pt>
                <c:pt idx="30">
                  <c:v>1974</c:v>
                </c:pt>
                <c:pt idx="31">
                  <c:v>1975</c:v>
                </c:pt>
                <c:pt idx="32">
                  <c:v>1976</c:v>
                </c:pt>
                <c:pt idx="33">
                  <c:v>1977</c:v>
                </c:pt>
                <c:pt idx="34">
                  <c:v>1978</c:v>
                </c:pt>
                <c:pt idx="35">
                  <c:v>1979</c:v>
                </c:pt>
                <c:pt idx="36">
                  <c:v>1980</c:v>
                </c:pt>
                <c:pt idx="37">
                  <c:v>1981</c:v>
                </c:pt>
                <c:pt idx="38">
                  <c:v>1982</c:v>
                </c:pt>
                <c:pt idx="39">
                  <c:v>1983</c:v>
                </c:pt>
                <c:pt idx="40">
                  <c:v>1984</c:v>
                </c:pt>
                <c:pt idx="41">
                  <c:v>1985</c:v>
                </c:pt>
                <c:pt idx="42">
                  <c:v>1986</c:v>
                </c:pt>
                <c:pt idx="43">
                  <c:v>1987</c:v>
                </c:pt>
                <c:pt idx="44">
                  <c:v>1988</c:v>
                </c:pt>
                <c:pt idx="45">
                  <c:v>1989</c:v>
                </c:pt>
                <c:pt idx="46">
                  <c:v>1990</c:v>
                </c:pt>
                <c:pt idx="47">
                  <c:v>1991</c:v>
                </c:pt>
                <c:pt idx="48">
                  <c:v>1992</c:v>
                </c:pt>
                <c:pt idx="49">
                  <c:v>1993</c:v>
                </c:pt>
                <c:pt idx="50">
                  <c:v>1994</c:v>
                </c:pt>
                <c:pt idx="51">
                  <c:v>1995</c:v>
                </c:pt>
                <c:pt idx="52">
                  <c:v>1996</c:v>
                </c:pt>
                <c:pt idx="53">
                  <c:v>1997</c:v>
                </c:pt>
                <c:pt idx="54">
                  <c:v>1998</c:v>
                </c:pt>
                <c:pt idx="55">
                  <c:v>1999</c:v>
                </c:pt>
                <c:pt idx="56">
                  <c:v>2000</c:v>
                </c:pt>
                <c:pt idx="57">
                  <c:v>2001</c:v>
                </c:pt>
                <c:pt idx="58">
                  <c:v>2002</c:v>
                </c:pt>
                <c:pt idx="59">
                  <c:v>2003</c:v>
                </c:pt>
                <c:pt idx="60">
                  <c:v>2004</c:v>
                </c:pt>
                <c:pt idx="61">
                  <c:v>2005</c:v>
                </c:pt>
                <c:pt idx="62">
                  <c:v>2006</c:v>
                </c:pt>
                <c:pt idx="63">
                  <c:v>2007</c:v>
                </c:pt>
                <c:pt idx="64">
                  <c:v>2008</c:v>
                </c:pt>
                <c:pt idx="65">
                  <c:v>2009</c:v>
                </c:pt>
                <c:pt idx="66">
                  <c:v>2010</c:v>
                </c:pt>
                <c:pt idx="67">
                  <c:v>2011</c:v>
                </c:pt>
                <c:pt idx="68">
                  <c:v>2012</c:v>
                </c:pt>
                <c:pt idx="69">
                  <c:v>2013</c:v>
                </c:pt>
                <c:pt idx="70">
                  <c:v>2014</c:v>
                </c:pt>
                <c:pt idx="71">
                  <c:v>2015</c:v>
                </c:pt>
                <c:pt idx="72">
                  <c:v>2016</c:v>
                </c:pt>
                <c:pt idx="73">
                  <c:v>2017</c:v>
                </c:pt>
                <c:pt idx="74">
                  <c:v>2018</c:v>
                </c:pt>
                <c:pt idx="75">
                  <c:v>2019</c:v>
                </c:pt>
                <c:pt idx="76">
                  <c:v>2020</c:v>
                </c:pt>
                <c:pt idx="77">
                  <c:v>2021</c:v>
                </c:pt>
                <c:pt idx="78">
                  <c:v>2022</c:v>
                </c:pt>
                <c:pt idx="79">
                  <c:v>2023</c:v>
                </c:pt>
              </c:numCache>
            </c:numRef>
          </c:xVal>
          <c:yVal>
            <c:numRef>
              <c:f>pro!$AZ$3:$AZ$83</c:f>
              <c:numCache>
                <c:formatCode>0%</c:formatCode>
                <c:ptCount val="81"/>
                <c:pt idx="70">
                  <c:v>0.28595000000000004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B8E-47A3-81EC-E3216F224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41008"/>
        <c:axId val="26935728"/>
      </c:scatterChart>
      <c:valAx>
        <c:axId val="26941008"/>
        <c:scaling>
          <c:orientation val="minMax"/>
          <c:min val="19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35728"/>
        <c:crosses val="autoZero"/>
        <c:crossBetween val="midCat"/>
      </c:valAx>
      <c:valAx>
        <c:axId val="269357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410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Turkish % Women </a:t>
            </a:r>
            <a:r>
              <a:rPr lang="en-US" b="1" baseline="0">
                <a:solidFill>
                  <a:schemeClr val="tx1"/>
                </a:solidFill>
              </a:rPr>
              <a:t>Graduates</a:t>
            </a:r>
            <a:endParaRPr lang="en-US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0949300087489062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Turkish Vet Grads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us!$A$79:$A$109</c:f>
              <c:numCache>
                <c:formatCode>General</c:formatCode>
                <c:ptCount val="31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</c:numCache>
            </c:numRef>
          </c:xVal>
          <c:yVal>
            <c:numRef>
              <c:f>us!$BN$79:$BN$109</c:f>
              <c:numCache>
                <c:formatCode>0.00%</c:formatCode>
                <c:ptCount val="3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98-4E4C-806C-83C269AD1A0A}"/>
            </c:ext>
          </c:extLst>
        </c:ser>
        <c:ser>
          <c:idx val="1"/>
          <c:order val="1"/>
          <c:tx>
            <c:v>Ankara Vet Grads 5 Yr. Avg.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us!$A$43:$A$78</c:f>
              <c:numCache>
                <c:formatCode>General</c:formatCode>
                <c:ptCount val="36"/>
                <c:pt idx="0">
                  <c:v>1939</c:v>
                </c:pt>
                <c:pt idx="1">
                  <c:v>1940</c:v>
                </c:pt>
                <c:pt idx="2">
                  <c:v>1941</c:v>
                </c:pt>
                <c:pt idx="3">
                  <c:v>1942</c:v>
                </c:pt>
                <c:pt idx="4">
                  <c:v>1943</c:v>
                </c:pt>
                <c:pt idx="5">
                  <c:v>1944</c:v>
                </c:pt>
                <c:pt idx="6">
                  <c:v>1945</c:v>
                </c:pt>
                <c:pt idx="7">
                  <c:v>1946</c:v>
                </c:pt>
                <c:pt idx="8">
                  <c:v>1947</c:v>
                </c:pt>
                <c:pt idx="9">
                  <c:v>1948</c:v>
                </c:pt>
                <c:pt idx="10">
                  <c:v>1949</c:v>
                </c:pt>
                <c:pt idx="11">
                  <c:v>1950</c:v>
                </c:pt>
                <c:pt idx="12">
                  <c:v>1951</c:v>
                </c:pt>
                <c:pt idx="13">
                  <c:v>1952</c:v>
                </c:pt>
                <c:pt idx="14">
                  <c:v>1953</c:v>
                </c:pt>
                <c:pt idx="15">
                  <c:v>1954</c:v>
                </c:pt>
                <c:pt idx="16">
                  <c:v>1955</c:v>
                </c:pt>
                <c:pt idx="17">
                  <c:v>1956</c:v>
                </c:pt>
                <c:pt idx="18">
                  <c:v>1957</c:v>
                </c:pt>
                <c:pt idx="19">
                  <c:v>1958</c:v>
                </c:pt>
                <c:pt idx="20">
                  <c:v>1959</c:v>
                </c:pt>
                <c:pt idx="21">
                  <c:v>1960</c:v>
                </c:pt>
                <c:pt idx="22">
                  <c:v>1961</c:v>
                </c:pt>
                <c:pt idx="23">
                  <c:v>1962</c:v>
                </c:pt>
                <c:pt idx="24">
                  <c:v>1963</c:v>
                </c:pt>
                <c:pt idx="25">
                  <c:v>1964</c:v>
                </c:pt>
                <c:pt idx="26">
                  <c:v>1965</c:v>
                </c:pt>
                <c:pt idx="27">
                  <c:v>1966</c:v>
                </c:pt>
                <c:pt idx="28">
                  <c:v>1967</c:v>
                </c:pt>
                <c:pt idx="29">
                  <c:v>1968</c:v>
                </c:pt>
                <c:pt idx="30">
                  <c:v>1969</c:v>
                </c:pt>
                <c:pt idx="31">
                  <c:v>1970</c:v>
                </c:pt>
                <c:pt idx="32">
                  <c:v>1971</c:v>
                </c:pt>
                <c:pt idx="33">
                  <c:v>1972</c:v>
                </c:pt>
                <c:pt idx="34">
                  <c:v>1973</c:v>
                </c:pt>
                <c:pt idx="35">
                  <c:v>1974</c:v>
                </c:pt>
              </c:numCache>
            </c:numRef>
          </c:xVal>
          <c:yVal>
            <c:numRef>
              <c:f>us!$BO$43:$BO$78</c:f>
              <c:numCache>
                <c:formatCode>General</c:formatCode>
                <c:ptCount val="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98-4E4C-806C-83C269AD1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658431"/>
        <c:axId val="2142654271"/>
      </c:scatterChart>
      <c:valAx>
        <c:axId val="214265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654271"/>
        <c:crosses val="autoZero"/>
        <c:crossBetween val="midCat"/>
      </c:valAx>
      <c:valAx>
        <c:axId val="214265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658431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  <a:effectLst/>
              </a:rPr>
              <a:t>% Female US Veterinary Professionals &amp; Students</a:t>
            </a:r>
            <a:endParaRPr lang="en-US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0.102354111986001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900481189851273E-2"/>
          <c:y val="0.30532407407407414"/>
          <c:w val="0.8469884076990376"/>
          <c:h val="0.49063247302420532"/>
        </c:manualLayout>
      </c:layout>
      <c:scatterChart>
        <c:scatterStyle val="lineMarker"/>
        <c:varyColors val="0"/>
        <c:ser>
          <c:idx val="0"/>
          <c:order val="0"/>
          <c:tx>
            <c:v>Students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us!$A$72:$A$124</c:f>
              <c:numCache>
                <c:formatCode>General</c:formatCode>
                <c:ptCount val="53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</c:numCache>
            </c:numRef>
          </c:xVal>
          <c:yVal>
            <c:numRef>
              <c:f>us!$L$72:$L$124</c:f>
              <c:numCache>
                <c:formatCode>0.0%</c:formatCode>
                <c:ptCount val="53"/>
                <c:pt idx="0" formatCode="0%">
                  <c:v>0.09</c:v>
                </c:pt>
                <c:pt idx="1">
                  <c:v>0.11</c:v>
                </c:pt>
                <c:pt idx="7" formatCode="0.00%">
                  <c:v>0.24399999999999999</c:v>
                </c:pt>
                <c:pt idx="10">
                  <c:v>0.30841663045052875</c:v>
                </c:pt>
                <c:pt idx="11">
                  <c:v>0.33793763676148797</c:v>
                </c:pt>
                <c:pt idx="12">
                  <c:v>0.36021121735407452</c:v>
                </c:pt>
                <c:pt idx="13">
                  <c:v>0.38800000000000001</c:v>
                </c:pt>
                <c:pt idx="14">
                  <c:v>0.4176442422791477</c:v>
                </c:pt>
                <c:pt idx="15">
                  <c:v>0.45784381478921909</c:v>
                </c:pt>
                <c:pt idx="16">
                  <c:v>0.47096188747731399</c:v>
                </c:pt>
                <c:pt idx="17">
                  <c:v>0.48895368397443084</c:v>
                </c:pt>
                <c:pt idx="18">
                  <c:v>0.49481748535376296</c:v>
                </c:pt>
                <c:pt idx="19">
                  <c:v>0.53031148822150276</c:v>
                </c:pt>
                <c:pt idx="20">
                  <c:v>0.55112219451371569</c:v>
                </c:pt>
                <c:pt idx="21">
                  <c:v>0.57311429893567789</c:v>
                </c:pt>
                <c:pt idx="22">
                  <c:v>0.61047145800509028</c:v>
                </c:pt>
                <c:pt idx="23">
                  <c:v>0.60118764845605699</c:v>
                </c:pt>
                <c:pt idx="24">
                  <c:v>0.62075091792017056</c:v>
                </c:pt>
                <c:pt idx="25">
                  <c:v>0.63850254983773758</c:v>
                </c:pt>
                <c:pt idx="26">
                  <c:v>0.64824063564131673</c:v>
                </c:pt>
                <c:pt idx="27">
                  <c:v>0.65889014722536809</c:v>
                </c:pt>
                <c:pt idx="28">
                  <c:v>0.66367254121660035</c:v>
                </c:pt>
                <c:pt idx="29">
                  <c:v>0.66872543514879279</c:v>
                </c:pt>
                <c:pt idx="30">
                  <c:v>0.67879870492352345</c:v>
                </c:pt>
                <c:pt idx="31">
                  <c:v>0.69574397155239476</c:v>
                </c:pt>
                <c:pt idx="32">
                  <c:v>0.70444272957777532</c:v>
                </c:pt>
                <c:pt idx="33">
                  <c:v>0.71747945205479458</c:v>
                </c:pt>
                <c:pt idx="34">
                  <c:v>0.73167823070251514</c:v>
                </c:pt>
                <c:pt idx="35">
                  <c:v>0.74736955121322735</c:v>
                </c:pt>
                <c:pt idx="36">
                  <c:v>0.74739667203435323</c:v>
                </c:pt>
                <c:pt idx="37">
                  <c:v>0.76836797694998971</c:v>
                </c:pt>
                <c:pt idx="38">
                  <c:v>0.77842331964339373</c:v>
                </c:pt>
                <c:pt idx="39">
                  <c:v>0.77735368956743001</c:v>
                </c:pt>
                <c:pt idx="40">
                  <c:v>0.77463697967086154</c:v>
                </c:pt>
                <c:pt idx="41">
                  <c:v>0.77561300133054556</c:v>
                </c:pt>
                <c:pt idx="42">
                  <c:v>0.775310254735467</c:v>
                </c:pt>
                <c:pt idx="43">
                  <c:v>0.77909738717339672</c:v>
                </c:pt>
                <c:pt idx="44">
                  <c:v>0.77447568049977689</c:v>
                </c:pt>
                <c:pt idx="45">
                  <c:v>0.78608786610878656</c:v>
                </c:pt>
                <c:pt idx="46">
                  <c:v>0.79625151148730355</c:v>
                </c:pt>
                <c:pt idx="47">
                  <c:v>0.79152884227511089</c:v>
                </c:pt>
                <c:pt idx="48">
                  <c:v>0.80034956701358539</c:v>
                </c:pt>
                <c:pt idx="49">
                  <c:v>0.80513784461152882</c:v>
                </c:pt>
                <c:pt idx="50">
                  <c:v>0.80497190795043483</c:v>
                </c:pt>
                <c:pt idx="51">
                  <c:v>0.81499999999999995</c:v>
                </c:pt>
                <c:pt idx="52">
                  <c:v>0.81799999999999995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82-440F-A67C-B21BE2D6D406}"/>
            </c:ext>
          </c:extLst>
        </c:ser>
        <c:ser>
          <c:idx val="1"/>
          <c:order val="1"/>
          <c:tx>
            <c:v>Professionals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us!$A$74:$A$124</c:f>
              <c:numCache>
                <c:formatCode>General</c:formatCode>
                <c:ptCount val="5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</c:numCache>
            </c:numRef>
          </c:xVal>
          <c:yVal>
            <c:numRef>
              <c:f>us!$D$74:$D$124</c:f>
              <c:numCache>
                <c:formatCode>General</c:formatCode>
                <c:ptCount val="51"/>
                <c:pt idx="0" formatCode="0.00%">
                  <c:v>5.0999999999999997E-2</c:v>
                </c:pt>
                <c:pt idx="10" formatCode="0.00%">
                  <c:v>9.9000000000000005E-2</c:v>
                </c:pt>
                <c:pt idx="16" formatCode="0%">
                  <c:v>0.16</c:v>
                </c:pt>
                <c:pt idx="17" formatCode="0.0%">
                  <c:v>0.17</c:v>
                </c:pt>
                <c:pt idx="20" formatCode="0.00%">
                  <c:v>0.25600000000000001</c:v>
                </c:pt>
                <c:pt idx="25" formatCode="0.00%">
                  <c:v>0.32700000000000001</c:v>
                </c:pt>
                <c:pt idx="29" formatCode="0.00%">
                  <c:v>0.435</c:v>
                </c:pt>
                <c:pt idx="35">
                  <c:v>0.45725093943621259</c:v>
                </c:pt>
                <c:pt idx="37" formatCode="0.00%">
                  <c:v>0.48410366654723502</c:v>
                </c:pt>
                <c:pt idx="38" formatCode="0.00%">
                  <c:v>0.496528141247078</c:v>
                </c:pt>
                <c:pt idx="39" formatCode="0.00%">
                  <c:v>0.50912520739107703</c:v>
                </c:pt>
                <c:pt idx="40" formatCode="0.00%">
                  <c:v>0.520969834037317</c:v>
                </c:pt>
                <c:pt idx="41" formatCode="0.00%">
                  <c:v>0.53327498460241796</c:v>
                </c:pt>
                <c:pt idx="42" formatCode="0.00%">
                  <c:v>0.54068025249456797</c:v>
                </c:pt>
                <c:pt idx="43" formatCode="0.00%">
                  <c:v>0.55408142799839599</c:v>
                </c:pt>
                <c:pt idx="44" formatCode="0.00%">
                  <c:v>0.56683855999532096</c:v>
                </c:pt>
                <c:pt idx="45" formatCode="0.00%">
                  <c:v>0.57886444313673402</c:v>
                </c:pt>
                <c:pt idx="46" formatCode="0.00%">
                  <c:v>0.59129589332839505</c:v>
                </c:pt>
                <c:pt idx="47" formatCode="0.00%">
                  <c:v>0.60373107996851605</c:v>
                </c:pt>
                <c:pt idx="48" formatCode="0.00%">
                  <c:v>0.61650528246644398</c:v>
                </c:pt>
                <c:pt idx="49" formatCode="0.00%">
                  <c:v>0.62819684557803801</c:v>
                </c:pt>
                <c:pt idx="50" formatCode="0.00%">
                  <c:v>0.63983679525222503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82-440F-A67C-B21BE2D6D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866527"/>
        <c:axId val="1603867359"/>
      </c:scatterChart>
      <c:valAx>
        <c:axId val="1603866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867359"/>
        <c:crosses val="autoZero"/>
        <c:crossBetween val="midCat"/>
      </c:valAx>
      <c:valAx>
        <c:axId val="160386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866527"/>
        <c:crosses val="autoZero"/>
        <c:crossBetween val="midCat"/>
      </c:valAx>
      <c:spPr>
        <a:noFill/>
        <a:ln w="9525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% Women of</a:t>
            </a:r>
            <a:r>
              <a:rPr lang="en-US" b="1" baseline="0">
                <a:solidFill>
                  <a:sysClr val="windowText" lastClr="000000"/>
                </a:solidFill>
              </a:rPr>
              <a:t> t</a:t>
            </a:r>
            <a:r>
              <a:rPr lang="en-US" b="1">
                <a:solidFill>
                  <a:sysClr val="windowText" lastClr="000000"/>
                </a:solidFill>
              </a:rPr>
              <a:t>otal</a:t>
            </a:r>
            <a:r>
              <a:rPr lang="en-US" b="1" baseline="0">
                <a:solidFill>
                  <a:sysClr val="windowText" lastClr="000000"/>
                </a:solidFill>
              </a:rPr>
              <a:t> and entering Norwegian veterinary students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Women entering students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us!$A$39:$A$129</c:f>
              <c:numCache>
                <c:formatCode>General</c:formatCode>
                <c:ptCount val="91"/>
                <c:pt idx="0">
                  <c:v>1935</c:v>
                </c:pt>
                <c:pt idx="1">
                  <c:v>1936</c:v>
                </c:pt>
                <c:pt idx="2">
                  <c:v>1937</c:v>
                </c:pt>
                <c:pt idx="3">
                  <c:v>1938</c:v>
                </c:pt>
                <c:pt idx="4">
                  <c:v>1939</c:v>
                </c:pt>
                <c:pt idx="5">
                  <c:v>1940</c:v>
                </c:pt>
                <c:pt idx="6">
                  <c:v>1941</c:v>
                </c:pt>
                <c:pt idx="7">
                  <c:v>1942</c:v>
                </c:pt>
                <c:pt idx="8">
                  <c:v>1943</c:v>
                </c:pt>
                <c:pt idx="9">
                  <c:v>1944</c:v>
                </c:pt>
                <c:pt idx="10">
                  <c:v>1945</c:v>
                </c:pt>
                <c:pt idx="11">
                  <c:v>1946</c:v>
                </c:pt>
                <c:pt idx="12">
                  <c:v>1947</c:v>
                </c:pt>
                <c:pt idx="13">
                  <c:v>1948</c:v>
                </c:pt>
                <c:pt idx="14">
                  <c:v>1949</c:v>
                </c:pt>
                <c:pt idx="15">
                  <c:v>1950</c:v>
                </c:pt>
                <c:pt idx="16">
                  <c:v>1951</c:v>
                </c:pt>
                <c:pt idx="17">
                  <c:v>1952</c:v>
                </c:pt>
                <c:pt idx="18">
                  <c:v>1953</c:v>
                </c:pt>
                <c:pt idx="19">
                  <c:v>1954</c:v>
                </c:pt>
                <c:pt idx="20">
                  <c:v>1955</c:v>
                </c:pt>
                <c:pt idx="21">
                  <c:v>1956</c:v>
                </c:pt>
                <c:pt idx="22">
                  <c:v>1957</c:v>
                </c:pt>
                <c:pt idx="23">
                  <c:v>1958</c:v>
                </c:pt>
                <c:pt idx="24">
                  <c:v>1959</c:v>
                </c:pt>
                <c:pt idx="25">
                  <c:v>1960</c:v>
                </c:pt>
                <c:pt idx="26">
                  <c:v>1961</c:v>
                </c:pt>
                <c:pt idx="27">
                  <c:v>1962</c:v>
                </c:pt>
                <c:pt idx="28">
                  <c:v>1963</c:v>
                </c:pt>
                <c:pt idx="29">
                  <c:v>1964</c:v>
                </c:pt>
                <c:pt idx="30">
                  <c:v>1965</c:v>
                </c:pt>
                <c:pt idx="31">
                  <c:v>1966</c:v>
                </c:pt>
                <c:pt idx="32">
                  <c:v>1967</c:v>
                </c:pt>
                <c:pt idx="33">
                  <c:v>1968</c:v>
                </c:pt>
                <c:pt idx="34">
                  <c:v>1969</c:v>
                </c:pt>
                <c:pt idx="35">
                  <c:v>1970</c:v>
                </c:pt>
                <c:pt idx="36">
                  <c:v>1971</c:v>
                </c:pt>
                <c:pt idx="37">
                  <c:v>1972</c:v>
                </c:pt>
                <c:pt idx="38">
                  <c:v>1973</c:v>
                </c:pt>
                <c:pt idx="39">
                  <c:v>1974</c:v>
                </c:pt>
                <c:pt idx="40">
                  <c:v>1975</c:v>
                </c:pt>
                <c:pt idx="41">
                  <c:v>1976</c:v>
                </c:pt>
                <c:pt idx="42">
                  <c:v>1977</c:v>
                </c:pt>
                <c:pt idx="43">
                  <c:v>1978</c:v>
                </c:pt>
                <c:pt idx="44">
                  <c:v>1979</c:v>
                </c:pt>
                <c:pt idx="45">
                  <c:v>1980</c:v>
                </c:pt>
                <c:pt idx="46">
                  <c:v>1981</c:v>
                </c:pt>
                <c:pt idx="47">
                  <c:v>1982</c:v>
                </c:pt>
                <c:pt idx="48">
                  <c:v>1983</c:v>
                </c:pt>
                <c:pt idx="49">
                  <c:v>1984</c:v>
                </c:pt>
                <c:pt idx="50">
                  <c:v>1985</c:v>
                </c:pt>
                <c:pt idx="51">
                  <c:v>1986</c:v>
                </c:pt>
                <c:pt idx="52">
                  <c:v>1987</c:v>
                </c:pt>
                <c:pt idx="53">
                  <c:v>1988</c:v>
                </c:pt>
                <c:pt idx="54">
                  <c:v>1989</c:v>
                </c:pt>
                <c:pt idx="55">
                  <c:v>1990</c:v>
                </c:pt>
                <c:pt idx="56">
                  <c:v>1991</c:v>
                </c:pt>
                <c:pt idx="57">
                  <c:v>1992</c:v>
                </c:pt>
                <c:pt idx="58">
                  <c:v>1993</c:v>
                </c:pt>
                <c:pt idx="59">
                  <c:v>1994</c:v>
                </c:pt>
                <c:pt idx="60">
                  <c:v>1995</c:v>
                </c:pt>
                <c:pt idx="61">
                  <c:v>1996</c:v>
                </c:pt>
                <c:pt idx="62">
                  <c:v>1997</c:v>
                </c:pt>
                <c:pt idx="63">
                  <c:v>1998</c:v>
                </c:pt>
                <c:pt idx="64">
                  <c:v>1999</c:v>
                </c:pt>
                <c:pt idx="65">
                  <c:v>2000</c:v>
                </c:pt>
                <c:pt idx="66">
                  <c:v>2001</c:v>
                </c:pt>
                <c:pt idx="67">
                  <c:v>2002</c:v>
                </c:pt>
                <c:pt idx="68">
                  <c:v>2003</c:v>
                </c:pt>
                <c:pt idx="69">
                  <c:v>2004</c:v>
                </c:pt>
                <c:pt idx="70">
                  <c:v>2005</c:v>
                </c:pt>
                <c:pt idx="71">
                  <c:v>2006</c:v>
                </c:pt>
                <c:pt idx="72">
                  <c:v>2007</c:v>
                </c:pt>
                <c:pt idx="73">
                  <c:v>2008</c:v>
                </c:pt>
                <c:pt idx="74">
                  <c:v>2009</c:v>
                </c:pt>
                <c:pt idx="75">
                  <c:v>2010</c:v>
                </c:pt>
                <c:pt idx="76">
                  <c:v>2011</c:v>
                </c:pt>
                <c:pt idx="77">
                  <c:v>2012</c:v>
                </c:pt>
                <c:pt idx="78">
                  <c:v>2013</c:v>
                </c:pt>
                <c:pt idx="79">
                  <c:v>2014</c:v>
                </c:pt>
                <c:pt idx="80">
                  <c:v>2015</c:v>
                </c:pt>
                <c:pt idx="81">
                  <c:v>2016</c:v>
                </c:pt>
                <c:pt idx="82">
                  <c:v>2017</c:v>
                </c:pt>
                <c:pt idx="83">
                  <c:v>2018</c:v>
                </c:pt>
                <c:pt idx="84">
                  <c:v>2019</c:v>
                </c:pt>
                <c:pt idx="85">
                  <c:v>2020</c:v>
                </c:pt>
                <c:pt idx="86">
                  <c:v>2021</c:v>
                </c:pt>
                <c:pt idx="87">
                  <c:v>2022</c:v>
                </c:pt>
                <c:pt idx="88">
                  <c:v>2023</c:v>
                </c:pt>
                <c:pt idx="89">
                  <c:v>2024</c:v>
                </c:pt>
                <c:pt idx="90">
                  <c:v>2030</c:v>
                </c:pt>
              </c:numCache>
            </c:numRef>
          </c:xVal>
          <c:yVal>
            <c:numRef>
              <c:f>us!$FH$39:$FH$129</c:f>
              <c:numCache>
                <c:formatCode>0.0%</c:formatCode>
                <c:ptCount val="9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1A-43C9-B88C-DF26E1364EB2}"/>
            </c:ext>
          </c:extLst>
        </c:ser>
        <c:ser>
          <c:idx val="1"/>
          <c:order val="1"/>
          <c:tx>
            <c:v>% Women total students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us!$A$39:$A$129</c:f>
              <c:numCache>
                <c:formatCode>General</c:formatCode>
                <c:ptCount val="91"/>
                <c:pt idx="0">
                  <c:v>1935</c:v>
                </c:pt>
                <c:pt idx="1">
                  <c:v>1936</c:v>
                </c:pt>
                <c:pt idx="2">
                  <c:v>1937</c:v>
                </c:pt>
                <c:pt idx="3">
                  <c:v>1938</c:v>
                </c:pt>
                <c:pt idx="4">
                  <c:v>1939</c:v>
                </c:pt>
                <c:pt idx="5">
                  <c:v>1940</c:v>
                </c:pt>
                <c:pt idx="6">
                  <c:v>1941</c:v>
                </c:pt>
                <c:pt idx="7">
                  <c:v>1942</c:v>
                </c:pt>
                <c:pt idx="8">
                  <c:v>1943</c:v>
                </c:pt>
                <c:pt idx="9">
                  <c:v>1944</c:v>
                </c:pt>
                <c:pt idx="10">
                  <c:v>1945</c:v>
                </c:pt>
                <c:pt idx="11">
                  <c:v>1946</c:v>
                </c:pt>
                <c:pt idx="12">
                  <c:v>1947</c:v>
                </c:pt>
                <c:pt idx="13">
                  <c:v>1948</c:v>
                </c:pt>
                <c:pt idx="14">
                  <c:v>1949</c:v>
                </c:pt>
                <c:pt idx="15">
                  <c:v>1950</c:v>
                </c:pt>
                <c:pt idx="16">
                  <c:v>1951</c:v>
                </c:pt>
                <c:pt idx="17">
                  <c:v>1952</c:v>
                </c:pt>
                <c:pt idx="18">
                  <c:v>1953</c:v>
                </c:pt>
                <c:pt idx="19">
                  <c:v>1954</c:v>
                </c:pt>
                <c:pt idx="20">
                  <c:v>1955</c:v>
                </c:pt>
                <c:pt idx="21">
                  <c:v>1956</c:v>
                </c:pt>
                <c:pt idx="22">
                  <c:v>1957</c:v>
                </c:pt>
                <c:pt idx="23">
                  <c:v>1958</c:v>
                </c:pt>
                <c:pt idx="24">
                  <c:v>1959</c:v>
                </c:pt>
                <c:pt idx="25">
                  <c:v>1960</c:v>
                </c:pt>
                <c:pt idx="26">
                  <c:v>1961</c:v>
                </c:pt>
                <c:pt idx="27">
                  <c:v>1962</c:v>
                </c:pt>
                <c:pt idx="28">
                  <c:v>1963</c:v>
                </c:pt>
                <c:pt idx="29">
                  <c:v>1964</c:v>
                </c:pt>
                <c:pt idx="30">
                  <c:v>1965</c:v>
                </c:pt>
                <c:pt idx="31">
                  <c:v>1966</c:v>
                </c:pt>
                <c:pt idx="32">
                  <c:v>1967</c:v>
                </c:pt>
                <c:pt idx="33">
                  <c:v>1968</c:v>
                </c:pt>
                <c:pt idx="34">
                  <c:v>1969</c:v>
                </c:pt>
                <c:pt idx="35">
                  <c:v>1970</c:v>
                </c:pt>
                <c:pt idx="36">
                  <c:v>1971</c:v>
                </c:pt>
                <c:pt idx="37">
                  <c:v>1972</c:v>
                </c:pt>
                <c:pt idx="38">
                  <c:v>1973</c:v>
                </c:pt>
                <c:pt idx="39">
                  <c:v>1974</c:v>
                </c:pt>
                <c:pt idx="40">
                  <c:v>1975</c:v>
                </c:pt>
                <c:pt idx="41">
                  <c:v>1976</c:v>
                </c:pt>
                <c:pt idx="42">
                  <c:v>1977</c:v>
                </c:pt>
                <c:pt idx="43">
                  <c:v>1978</c:v>
                </c:pt>
                <c:pt idx="44">
                  <c:v>1979</c:v>
                </c:pt>
                <c:pt idx="45">
                  <c:v>1980</c:v>
                </c:pt>
                <c:pt idx="46">
                  <c:v>1981</c:v>
                </c:pt>
                <c:pt idx="47">
                  <c:v>1982</c:v>
                </c:pt>
                <c:pt idx="48">
                  <c:v>1983</c:v>
                </c:pt>
                <c:pt idx="49">
                  <c:v>1984</c:v>
                </c:pt>
                <c:pt idx="50">
                  <c:v>1985</c:v>
                </c:pt>
                <c:pt idx="51">
                  <c:v>1986</c:v>
                </c:pt>
                <c:pt idx="52">
                  <c:v>1987</c:v>
                </c:pt>
                <c:pt idx="53">
                  <c:v>1988</c:v>
                </c:pt>
                <c:pt idx="54">
                  <c:v>1989</c:v>
                </c:pt>
                <c:pt idx="55">
                  <c:v>1990</c:v>
                </c:pt>
                <c:pt idx="56">
                  <c:v>1991</c:v>
                </c:pt>
                <c:pt idx="57">
                  <c:v>1992</c:v>
                </c:pt>
                <c:pt idx="58">
                  <c:v>1993</c:v>
                </c:pt>
                <c:pt idx="59">
                  <c:v>1994</c:v>
                </c:pt>
                <c:pt idx="60">
                  <c:v>1995</c:v>
                </c:pt>
                <c:pt idx="61">
                  <c:v>1996</c:v>
                </c:pt>
                <c:pt idx="62">
                  <c:v>1997</c:v>
                </c:pt>
                <c:pt idx="63">
                  <c:v>1998</c:v>
                </c:pt>
                <c:pt idx="64">
                  <c:v>1999</c:v>
                </c:pt>
                <c:pt idx="65">
                  <c:v>2000</c:v>
                </c:pt>
                <c:pt idx="66">
                  <c:v>2001</c:v>
                </c:pt>
                <c:pt idx="67">
                  <c:v>2002</c:v>
                </c:pt>
                <c:pt idx="68">
                  <c:v>2003</c:v>
                </c:pt>
                <c:pt idx="69">
                  <c:v>2004</c:v>
                </c:pt>
                <c:pt idx="70">
                  <c:v>2005</c:v>
                </c:pt>
                <c:pt idx="71">
                  <c:v>2006</c:v>
                </c:pt>
                <c:pt idx="72">
                  <c:v>2007</c:v>
                </c:pt>
                <c:pt idx="73">
                  <c:v>2008</c:v>
                </c:pt>
                <c:pt idx="74">
                  <c:v>2009</c:v>
                </c:pt>
                <c:pt idx="75">
                  <c:v>2010</c:v>
                </c:pt>
                <c:pt idx="76">
                  <c:v>2011</c:v>
                </c:pt>
                <c:pt idx="77">
                  <c:v>2012</c:v>
                </c:pt>
                <c:pt idx="78">
                  <c:v>2013</c:v>
                </c:pt>
                <c:pt idx="79">
                  <c:v>2014</c:v>
                </c:pt>
                <c:pt idx="80">
                  <c:v>2015</c:v>
                </c:pt>
                <c:pt idx="81">
                  <c:v>2016</c:v>
                </c:pt>
                <c:pt idx="82">
                  <c:v>2017</c:v>
                </c:pt>
                <c:pt idx="83">
                  <c:v>2018</c:v>
                </c:pt>
                <c:pt idx="84">
                  <c:v>2019</c:v>
                </c:pt>
                <c:pt idx="85">
                  <c:v>2020</c:v>
                </c:pt>
                <c:pt idx="86">
                  <c:v>2021</c:v>
                </c:pt>
                <c:pt idx="87">
                  <c:v>2022</c:v>
                </c:pt>
                <c:pt idx="88">
                  <c:v>2023</c:v>
                </c:pt>
                <c:pt idx="89">
                  <c:v>2024</c:v>
                </c:pt>
                <c:pt idx="90">
                  <c:v>2030</c:v>
                </c:pt>
              </c:numCache>
            </c:numRef>
          </c:xVal>
          <c:yVal>
            <c:numRef>
              <c:f>us!$FK$39:$FK$129</c:f>
              <c:numCache>
                <c:formatCode>0.0%</c:formatCode>
                <c:ptCount val="9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1A-43C9-B88C-DF26E1364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792127"/>
        <c:axId val="1409797951"/>
      </c:scatterChart>
      <c:valAx>
        <c:axId val="1409792127"/>
        <c:scaling>
          <c:orientation val="minMax"/>
          <c:max val="2020"/>
          <c:min val="193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797951"/>
        <c:crosses val="autoZero"/>
        <c:crossBetween val="midCat"/>
      </c:valAx>
      <c:valAx>
        <c:axId val="140979795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79212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total</a:t>
            </a:r>
            <a:r>
              <a:rPr lang="en-US" baseline="0"/>
              <a:t> % females</a:t>
            </a:r>
            <a:r>
              <a:rPr lang="en-US" baseline="30000"/>
              <a:t>1</a:t>
            </a:r>
            <a:r>
              <a:rPr lang="en-US" baseline="0"/>
              <a:t> vs. % females in academia</a:t>
            </a:r>
            <a:r>
              <a:rPr lang="en-US" baseline="30000"/>
              <a:t>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'Master Data (old)'!$D$3</c:f>
              <c:strCache>
                <c:ptCount val="1"/>
                <c:pt idx="0">
                  <c:v>%  Total females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'Master Data (old)'!$A$79:$A$92</c:f>
              <c:numCache>
                <c:formatCode>General</c:formatCod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numCache>
            </c:numRef>
          </c:cat>
          <c:val>
            <c:numRef>
              <c:f>'Master Data (old)'!$D$79:$D$92</c:f>
              <c:numCache>
                <c:formatCode>0.00%</c:formatCode>
                <c:ptCount val="14"/>
                <c:pt idx="0">
                  <c:v>0.48410366654723502</c:v>
                </c:pt>
                <c:pt idx="1">
                  <c:v>0.496528141247078</c:v>
                </c:pt>
                <c:pt idx="2">
                  <c:v>0.50912520739107703</c:v>
                </c:pt>
                <c:pt idx="3">
                  <c:v>0.520969834037317</c:v>
                </c:pt>
                <c:pt idx="4">
                  <c:v>0.53327498460241796</c:v>
                </c:pt>
                <c:pt idx="5">
                  <c:v>0.54068025249456797</c:v>
                </c:pt>
                <c:pt idx="6">
                  <c:v>0.55408142799839599</c:v>
                </c:pt>
                <c:pt idx="7">
                  <c:v>0.56683855999532096</c:v>
                </c:pt>
                <c:pt idx="8">
                  <c:v>0.57886444313673402</c:v>
                </c:pt>
                <c:pt idx="9">
                  <c:v>0.59129589332839505</c:v>
                </c:pt>
                <c:pt idx="10">
                  <c:v>0.60373107996851605</c:v>
                </c:pt>
                <c:pt idx="11">
                  <c:v>0.61650528246644398</c:v>
                </c:pt>
                <c:pt idx="12">
                  <c:v>0.62819684557803801</c:v>
                </c:pt>
                <c:pt idx="13">
                  <c:v>0.63983679525222503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CE-4E7A-98C5-9FA5B02A3EE5}"/>
            </c:ext>
          </c:extLst>
        </c:ser>
        <c:ser>
          <c:idx val="1"/>
          <c:order val="1"/>
          <c:tx>
            <c:strRef>
              <c:f>'Master Data (old)'!$G$3</c:f>
              <c:strCache>
                <c:ptCount val="1"/>
                <c:pt idx="0">
                  <c:v>% females in academia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'Master Data (old)'!$A$79:$A$92</c:f>
              <c:numCache>
                <c:formatCode>General</c:formatCod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numCache>
            </c:numRef>
          </c:cat>
          <c:val>
            <c:numRef>
              <c:f>'Master Data (old)'!$G$79:$G$92</c:f>
              <c:numCache>
                <c:formatCode>General</c:formatCode>
                <c:ptCount val="14"/>
                <c:pt idx="0">
                  <c:v>0.46800000000000003</c:v>
                </c:pt>
                <c:pt idx="1">
                  <c:v>0.48199999999999998</c:v>
                </c:pt>
                <c:pt idx="2">
                  <c:v>0.49399999999999999</c:v>
                </c:pt>
                <c:pt idx="3">
                  <c:v>0.499</c:v>
                </c:pt>
                <c:pt idx="4">
                  <c:v>0.51700000000000002</c:v>
                </c:pt>
                <c:pt idx="5">
                  <c:v>0.52500000000000002</c:v>
                </c:pt>
                <c:pt idx="6">
                  <c:v>0.53500000000000003</c:v>
                </c:pt>
                <c:pt idx="7">
                  <c:v>0.54299999999999993</c:v>
                </c:pt>
                <c:pt idx="8">
                  <c:v>0.55200000000000005</c:v>
                </c:pt>
                <c:pt idx="9">
                  <c:v>0.56700000000000006</c:v>
                </c:pt>
                <c:pt idx="10">
                  <c:v>0.57999999999999996</c:v>
                </c:pt>
                <c:pt idx="11">
                  <c:v>0.58799999999999997</c:v>
                </c:pt>
                <c:pt idx="12">
                  <c:v>0.59899999999999998</c:v>
                </c:pt>
                <c:pt idx="13">
                  <c:v>0.60499999999999998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CE-4E7A-98C5-9FA5B02A3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241536"/>
        <c:axId val="493242784"/>
      </c:lineChart>
      <c:catAx>
        <c:axId val="493241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42784"/>
        <c:crosses val="autoZero"/>
        <c:auto val="1"/>
        <c:lblAlgn val="ctr"/>
        <c:lblOffset val="100"/>
        <c:noMultiLvlLbl val="0"/>
      </c:catAx>
      <c:valAx>
        <c:axId val="49324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women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4153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en-US" baseline="0"/>
              <a:t> US vets in working in colleges or universities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'Master Data (old)'!$H$3</c:f>
              <c:strCache>
                <c:ptCount val="1"/>
                <c:pt idx="0">
                  <c:v>aca. % of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'Master Data (old)'!$A$3:$A$92</c15:sqref>
                  </c15:fullRef>
                </c:ext>
              </c:extLst>
              <c:f>'Master Data (old)'!$A$4:$A$92</c:f>
              <c:numCache>
                <c:formatCode>General</c:formatCode>
                <c:ptCount val="89"/>
                <c:pt idx="0">
                  <c:v>1932</c:v>
                </c:pt>
                <c:pt idx="1">
                  <c:v>1933</c:v>
                </c:pt>
                <c:pt idx="2">
                  <c:v>1934</c:v>
                </c:pt>
                <c:pt idx="3">
                  <c:v>1935</c:v>
                </c:pt>
                <c:pt idx="4">
                  <c:v>1936</c:v>
                </c:pt>
                <c:pt idx="5">
                  <c:v>1937</c:v>
                </c:pt>
                <c:pt idx="6">
                  <c:v>1938</c:v>
                </c:pt>
                <c:pt idx="7">
                  <c:v>1939</c:v>
                </c:pt>
                <c:pt idx="8">
                  <c:v>1940</c:v>
                </c:pt>
                <c:pt idx="9">
                  <c:v>1941</c:v>
                </c:pt>
                <c:pt idx="10">
                  <c:v>1942</c:v>
                </c:pt>
                <c:pt idx="11">
                  <c:v>1943</c:v>
                </c:pt>
                <c:pt idx="12">
                  <c:v>1944</c:v>
                </c:pt>
                <c:pt idx="13">
                  <c:v>1945</c:v>
                </c:pt>
                <c:pt idx="14">
                  <c:v>1946</c:v>
                </c:pt>
                <c:pt idx="15">
                  <c:v>1947</c:v>
                </c:pt>
                <c:pt idx="16">
                  <c:v>1948</c:v>
                </c:pt>
                <c:pt idx="17">
                  <c:v>1949</c:v>
                </c:pt>
                <c:pt idx="18">
                  <c:v>1950</c:v>
                </c:pt>
                <c:pt idx="19">
                  <c:v>1951</c:v>
                </c:pt>
                <c:pt idx="20">
                  <c:v>1952</c:v>
                </c:pt>
                <c:pt idx="21">
                  <c:v>1953</c:v>
                </c:pt>
                <c:pt idx="22">
                  <c:v>1954</c:v>
                </c:pt>
                <c:pt idx="23">
                  <c:v>1955</c:v>
                </c:pt>
                <c:pt idx="24">
                  <c:v>1956</c:v>
                </c:pt>
                <c:pt idx="25">
                  <c:v>1957</c:v>
                </c:pt>
                <c:pt idx="26">
                  <c:v>1958</c:v>
                </c:pt>
                <c:pt idx="27">
                  <c:v>1959</c:v>
                </c:pt>
                <c:pt idx="28">
                  <c:v>1960</c:v>
                </c:pt>
                <c:pt idx="29">
                  <c:v>1961</c:v>
                </c:pt>
                <c:pt idx="30">
                  <c:v>1962</c:v>
                </c:pt>
                <c:pt idx="31">
                  <c:v>1963</c:v>
                </c:pt>
                <c:pt idx="32">
                  <c:v>1964</c:v>
                </c:pt>
                <c:pt idx="33">
                  <c:v>1965</c:v>
                </c:pt>
                <c:pt idx="34">
                  <c:v>1966</c:v>
                </c:pt>
                <c:pt idx="35">
                  <c:v>1967</c:v>
                </c:pt>
                <c:pt idx="36">
                  <c:v>1968</c:v>
                </c:pt>
                <c:pt idx="37">
                  <c:v>1969</c:v>
                </c:pt>
                <c:pt idx="38">
                  <c:v>1970</c:v>
                </c:pt>
                <c:pt idx="39">
                  <c:v>1971</c:v>
                </c:pt>
                <c:pt idx="40">
                  <c:v>1972</c:v>
                </c:pt>
                <c:pt idx="41">
                  <c:v>1973</c:v>
                </c:pt>
                <c:pt idx="42">
                  <c:v>1974</c:v>
                </c:pt>
                <c:pt idx="43">
                  <c:v>1975</c:v>
                </c:pt>
                <c:pt idx="44">
                  <c:v>1976</c:v>
                </c:pt>
                <c:pt idx="45">
                  <c:v>1977</c:v>
                </c:pt>
                <c:pt idx="46">
                  <c:v>1978</c:v>
                </c:pt>
                <c:pt idx="47">
                  <c:v>1979</c:v>
                </c:pt>
                <c:pt idx="48">
                  <c:v>1980</c:v>
                </c:pt>
                <c:pt idx="49">
                  <c:v>1981</c:v>
                </c:pt>
                <c:pt idx="50">
                  <c:v>1982</c:v>
                </c:pt>
                <c:pt idx="51">
                  <c:v>1983</c:v>
                </c:pt>
                <c:pt idx="52">
                  <c:v>1984</c:v>
                </c:pt>
                <c:pt idx="53">
                  <c:v>1985</c:v>
                </c:pt>
                <c:pt idx="54">
                  <c:v>1986</c:v>
                </c:pt>
                <c:pt idx="55">
                  <c:v>1987</c:v>
                </c:pt>
                <c:pt idx="56">
                  <c:v>1988</c:v>
                </c:pt>
                <c:pt idx="57">
                  <c:v>1989</c:v>
                </c:pt>
                <c:pt idx="58">
                  <c:v>1990</c:v>
                </c:pt>
                <c:pt idx="59">
                  <c:v>1991</c:v>
                </c:pt>
                <c:pt idx="60">
                  <c:v>1992</c:v>
                </c:pt>
                <c:pt idx="61">
                  <c:v>1993</c:v>
                </c:pt>
                <c:pt idx="62">
                  <c:v>1994</c:v>
                </c:pt>
                <c:pt idx="63">
                  <c:v>1995</c:v>
                </c:pt>
                <c:pt idx="64">
                  <c:v>1996</c:v>
                </c:pt>
                <c:pt idx="65">
                  <c:v>1997</c:v>
                </c:pt>
                <c:pt idx="66">
                  <c:v>1998</c:v>
                </c:pt>
                <c:pt idx="67">
                  <c:v>1999</c:v>
                </c:pt>
                <c:pt idx="68">
                  <c:v>2000</c:v>
                </c:pt>
                <c:pt idx="69">
                  <c:v>2001</c:v>
                </c:pt>
                <c:pt idx="70">
                  <c:v>2002</c:v>
                </c:pt>
                <c:pt idx="71">
                  <c:v>2003</c:v>
                </c:pt>
                <c:pt idx="72">
                  <c:v>2004</c:v>
                </c:pt>
                <c:pt idx="73">
                  <c:v>2005</c:v>
                </c:pt>
                <c:pt idx="74">
                  <c:v>2006</c:v>
                </c:pt>
                <c:pt idx="75">
                  <c:v>2007</c:v>
                </c:pt>
                <c:pt idx="76">
                  <c:v>2008</c:v>
                </c:pt>
                <c:pt idx="77">
                  <c:v>2009</c:v>
                </c:pt>
                <c:pt idx="78">
                  <c:v>2010</c:v>
                </c:pt>
                <c:pt idx="79">
                  <c:v>2011</c:v>
                </c:pt>
                <c:pt idx="80">
                  <c:v>2012</c:v>
                </c:pt>
                <c:pt idx="81">
                  <c:v>2013</c:v>
                </c:pt>
                <c:pt idx="82">
                  <c:v>2014</c:v>
                </c:pt>
                <c:pt idx="83">
                  <c:v>2015</c:v>
                </c:pt>
                <c:pt idx="84">
                  <c:v>2016</c:v>
                </c:pt>
                <c:pt idx="85">
                  <c:v>2017</c:v>
                </c:pt>
                <c:pt idx="86">
                  <c:v>2018</c:v>
                </c:pt>
                <c:pt idx="87">
                  <c:v>2019</c:v>
                </c:pt>
                <c:pt idx="88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'Master Data (old)'!$H$79:$H$92</c15:sqref>
                  </c15:fullRef>
                </c:ext>
              </c:extLst>
              <c:f>'Master Data (old)'!$H$80:$H$92</c:f>
              <c:numCache>
                <c:formatCode>General</c:formatCode>
                <c:ptCount val="13"/>
                <c:pt idx="0">
                  <c:v>7.2775277108994271E-2</c:v>
                </c:pt>
                <c:pt idx="1">
                  <c:v>7.2228914293506669E-2</c:v>
                </c:pt>
                <c:pt idx="2">
                  <c:v>7.1229808982162066E-2</c:v>
                </c:pt>
                <c:pt idx="3">
                  <c:v>7.082887613861065E-2</c:v>
                </c:pt>
                <c:pt idx="4">
                  <c:v>6.758245718816612E-2</c:v>
                </c:pt>
                <c:pt idx="5">
                  <c:v>6.5633774568792616E-2</c:v>
                </c:pt>
                <c:pt idx="6">
                  <c:v>6.3412066326779287E-2</c:v>
                </c:pt>
                <c:pt idx="7">
                  <c:v>6.2605592361282478E-2</c:v>
                </c:pt>
                <c:pt idx="8">
                  <c:v>6.2058428630955134E-2</c:v>
                </c:pt>
                <c:pt idx="9">
                  <c:v>6.2226886574807065E-2</c:v>
                </c:pt>
                <c:pt idx="10">
                  <c:v>6.0752773515353548E-2</c:v>
                </c:pt>
                <c:pt idx="11">
                  <c:v>5.9875442540765433E-2</c:v>
                </c:pt>
                <c:pt idx="12">
                  <c:v>5.8571621257081201E-2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1-4EFA-A7A6-859790B34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7695216"/>
        <c:axId val="1917702288"/>
      </c:lineChart>
      <c:catAx>
        <c:axId val="191769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702288"/>
        <c:crosses val="autoZero"/>
        <c:auto val="1"/>
        <c:lblAlgn val="ctr"/>
        <c:lblOffset val="100"/>
        <c:noMultiLvlLbl val="0"/>
      </c:catAx>
      <c:valAx>
        <c:axId val="191770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% of US vets at college or universities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69521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Turkish % Women </a:t>
            </a:r>
            <a:r>
              <a:rPr lang="en-US" b="1" baseline="0">
                <a:solidFill>
                  <a:schemeClr val="tx1"/>
                </a:solidFill>
              </a:rPr>
              <a:t>Graduates</a:t>
            </a:r>
            <a:endParaRPr lang="en-US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0949300087489062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Turkish Vet Grads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'Master Data (old)'!$A$47:$A$77</c:f>
              <c:numCache>
                <c:formatCode>General</c:formatCode>
                <c:ptCount val="31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</c:numCache>
            </c:numRef>
          </c:xVal>
          <c:yVal>
            <c:numRef>
              <c:f>'Master Data (old)'!$BN$47:$BN$77</c:f>
              <c:numCache>
                <c:formatCode>0.00%</c:formatCode>
                <c:ptCount val="31"/>
                <c:pt idx="0">
                  <c:v>0.08</c:v>
                </c:pt>
                <c:pt idx="1">
                  <c:v>4.2999999999999997E-2</c:v>
                </c:pt>
                <c:pt idx="2">
                  <c:v>2.3E-2</c:v>
                </c:pt>
                <c:pt idx="3">
                  <c:v>2.7000000000000003E-2</c:v>
                </c:pt>
                <c:pt idx="4">
                  <c:v>7.2000000000000008E-2</c:v>
                </c:pt>
                <c:pt idx="5">
                  <c:v>8.199999999999999E-2</c:v>
                </c:pt>
                <c:pt idx="6">
                  <c:v>9.9000000000000005E-2</c:v>
                </c:pt>
                <c:pt idx="7">
                  <c:v>8.3000000000000004E-2</c:v>
                </c:pt>
                <c:pt idx="8">
                  <c:v>0.17800000000000002</c:v>
                </c:pt>
                <c:pt idx="9">
                  <c:v>0.13699999999999998</c:v>
                </c:pt>
                <c:pt idx="10">
                  <c:v>0.16</c:v>
                </c:pt>
                <c:pt idx="11">
                  <c:v>0.20800000000000002</c:v>
                </c:pt>
                <c:pt idx="12">
                  <c:v>0.152</c:v>
                </c:pt>
                <c:pt idx="13">
                  <c:v>0.13</c:v>
                </c:pt>
                <c:pt idx="14">
                  <c:v>0.128</c:v>
                </c:pt>
                <c:pt idx="15">
                  <c:v>0.16899999999999998</c:v>
                </c:pt>
                <c:pt idx="16">
                  <c:v>0.106</c:v>
                </c:pt>
                <c:pt idx="17">
                  <c:v>0.157</c:v>
                </c:pt>
                <c:pt idx="18">
                  <c:v>0.20199999999999999</c:v>
                </c:pt>
                <c:pt idx="19">
                  <c:v>0.19500000000000001</c:v>
                </c:pt>
                <c:pt idx="20">
                  <c:v>0.252</c:v>
                </c:pt>
                <c:pt idx="21">
                  <c:v>0.23800000000000002</c:v>
                </c:pt>
                <c:pt idx="22">
                  <c:v>0.254</c:v>
                </c:pt>
                <c:pt idx="23">
                  <c:v>0.25</c:v>
                </c:pt>
                <c:pt idx="24">
                  <c:v>0.33399999999999996</c:v>
                </c:pt>
                <c:pt idx="25">
                  <c:v>0.24600000000000002</c:v>
                </c:pt>
                <c:pt idx="26">
                  <c:v>0.27399999999999997</c:v>
                </c:pt>
                <c:pt idx="27">
                  <c:v>0.28300000000000003</c:v>
                </c:pt>
                <c:pt idx="28">
                  <c:v>0.27800000000000002</c:v>
                </c:pt>
                <c:pt idx="29">
                  <c:v>0.24299999999999999</c:v>
                </c:pt>
                <c:pt idx="30">
                  <c:v>0.24399999999999999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F9-4772-8028-BBD3CE23C467}"/>
            </c:ext>
          </c:extLst>
        </c:ser>
        <c:ser>
          <c:idx val="1"/>
          <c:order val="1"/>
          <c:tx>
            <c:v>Ankara Vet Grads 5 Yr. Avg.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'Master Data (old)'!$A$11:$A$46</c:f>
              <c:numCache>
                <c:formatCode>General</c:formatCode>
                <c:ptCount val="36"/>
                <c:pt idx="0">
                  <c:v>1939</c:v>
                </c:pt>
                <c:pt idx="1">
                  <c:v>1940</c:v>
                </c:pt>
                <c:pt idx="2">
                  <c:v>1941</c:v>
                </c:pt>
                <c:pt idx="3">
                  <c:v>1942</c:v>
                </c:pt>
                <c:pt idx="4">
                  <c:v>1943</c:v>
                </c:pt>
                <c:pt idx="5">
                  <c:v>1944</c:v>
                </c:pt>
                <c:pt idx="6">
                  <c:v>1945</c:v>
                </c:pt>
                <c:pt idx="7">
                  <c:v>1946</c:v>
                </c:pt>
                <c:pt idx="8">
                  <c:v>1947</c:v>
                </c:pt>
                <c:pt idx="9">
                  <c:v>1948</c:v>
                </c:pt>
                <c:pt idx="10">
                  <c:v>1949</c:v>
                </c:pt>
                <c:pt idx="11">
                  <c:v>1950</c:v>
                </c:pt>
                <c:pt idx="12">
                  <c:v>1951</c:v>
                </c:pt>
                <c:pt idx="13">
                  <c:v>1952</c:v>
                </c:pt>
                <c:pt idx="14">
                  <c:v>1953</c:v>
                </c:pt>
                <c:pt idx="15">
                  <c:v>1954</c:v>
                </c:pt>
                <c:pt idx="16">
                  <c:v>1955</c:v>
                </c:pt>
                <c:pt idx="17">
                  <c:v>1956</c:v>
                </c:pt>
                <c:pt idx="18">
                  <c:v>1957</c:v>
                </c:pt>
                <c:pt idx="19">
                  <c:v>1958</c:v>
                </c:pt>
                <c:pt idx="20">
                  <c:v>1959</c:v>
                </c:pt>
                <c:pt idx="21">
                  <c:v>1960</c:v>
                </c:pt>
                <c:pt idx="22">
                  <c:v>1961</c:v>
                </c:pt>
                <c:pt idx="23">
                  <c:v>1962</c:v>
                </c:pt>
                <c:pt idx="24">
                  <c:v>1963</c:v>
                </c:pt>
                <c:pt idx="25">
                  <c:v>1964</c:v>
                </c:pt>
                <c:pt idx="26">
                  <c:v>1965</c:v>
                </c:pt>
                <c:pt idx="27">
                  <c:v>1966</c:v>
                </c:pt>
                <c:pt idx="28">
                  <c:v>1967</c:v>
                </c:pt>
                <c:pt idx="29">
                  <c:v>1968</c:v>
                </c:pt>
                <c:pt idx="30">
                  <c:v>1969</c:v>
                </c:pt>
                <c:pt idx="31">
                  <c:v>1970</c:v>
                </c:pt>
                <c:pt idx="32">
                  <c:v>1971</c:v>
                </c:pt>
                <c:pt idx="33">
                  <c:v>1972</c:v>
                </c:pt>
                <c:pt idx="34">
                  <c:v>1973</c:v>
                </c:pt>
                <c:pt idx="35">
                  <c:v>1974</c:v>
                </c:pt>
              </c:numCache>
            </c:numRef>
          </c:xVal>
          <c:yVal>
            <c:numRef>
              <c:f>'Master Data (old)'!$BO$11:$BO$46</c:f>
              <c:numCache>
                <c:formatCode>General</c:formatCode>
                <c:ptCount val="36"/>
                <c:pt idx="0">
                  <c:v>6.9000000000000006E-2</c:v>
                </c:pt>
                <c:pt idx="5">
                  <c:v>7.5999999999999998E-2</c:v>
                </c:pt>
                <c:pt idx="10">
                  <c:v>5.5E-2</c:v>
                </c:pt>
                <c:pt idx="15">
                  <c:v>1.6E-2</c:v>
                </c:pt>
                <c:pt idx="20">
                  <c:v>1.6E-2</c:v>
                </c:pt>
                <c:pt idx="25">
                  <c:v>8.5999999999999993E-2</c:v>
                </c:pt>
                <c:pt idx="30">
                  <c:v>9.4E-2</c:v>
                </c:pt>
                <c:pt idx="35">
                  <c:v>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37-4CA7-BE95-468054A75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658431"/>
        <c:axId val="2142654271"/>
      </c:scatterChart>
      <c:valAx>
        <c:axId val="214265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654271"/>
        <c:crosses val="autoZero"/>
        <c:crossBetween val="midCat"/>
      </c:valAx>
      <c:valAx>
        <c:axId val="214265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658431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% Female</a:t>
            </a:r>
            <a:r>
              <a:rPr lang="en-US" baseline="0">
                <a:solidFill>
                  <a:schemeClr val="tx1"/>
                </a:solidFill>
              </a:rPr>
              <a:t> German Veterinary Professionals &amp; </a:t>
            </a:r>
            <a:r>
              <a:rPr lang="en-US">
                <a:solidFill>
                  <a:schemeClr val="tx1"/>
                </a:solidFill>
              </a:rPr>
              <a:t>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'Master Data (old)'!$CJ$2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'Master Data (old)'!$A$30:$A$92</c:f>
              <c:numCache>
                <c:formatCode>General</c:formatCode>
                <c:ptCount val="63"/>
                <c:pt idx="0">
                  <c:v>1958</c:v>
                </c:pt>
                <c:pt idx="1">
                  <c:v>1959</c:v>
                </c:pt>
                <c:pt idx="2">
                  <c:v>1960</c:v>
                </c:pt>
                <c:pt idx="3">
                  <c:v>1961</c:v>
                </c:pt>
                <c:pt idx="4">
                  <c:v>1962</c:v>
                </c:pt>
                <c:pt idx="5">
                  <c:v>1963</c:v>
                </c:pt>
                <c:pt idx="6">
                  <c:v>1964</c:v>
                </c:pt>
                <c:pt idx="7">
                  <c:v>1965</c:v>
                </c:pt>
                <c:pt idx="8">
                  <c:v>1966</c:v>
                </c:pt>
                <c:pt idx="9">
                  <c:v>1967</c:v>
                </c:pt>
                <c:pt idx="10">
                  <c:v>1968</c:v>
                </c:pt>
                <c:pt idx="11">
                  <c:v>1969</c:v>
                </c:pt>
                <c:pt idx="12">
                  <c:v>1970</c:v>
                </c:pt>
                <c:pt idx="13">
                  <c:v>1971</c:v>
                </c:pt>
                <c:pt idx="14">
                  <c:v>1972</c:v>
                </c:pt>
                <c:pt idx="15">
                  <c:v>1973</c:v>
                </c:pt>
                <c:pt idx="16">
                  <c:v>1974</c:v>
                </c:pt>
                <c:pt idx="17">
                  <c:v>1975</c:v>
                </c:pt>
                <c:pt idx="18">
                  <c:v>1976</c:v>
                </c:pt>
                <c:pt idx="19">
                  <c:v>1977</c:v>
                </c:pt>
                <c:pt idx="20">
                  <c:v>1978</c:v>
                </c:pt>
                <c:pt idx="21">
                  <c:v>1979</c:v>
                </c:pt>
                <c:pt idx="22">
                  <c:v>1980</c:v>
                </c:pt>
                <c:pt idx="23">
                  <c:v>1981</c:v>
                </c:pt>
                <c:pt idx="24">
                  <c:v>1982</c:v>
                </c:pt>
                <c:pt idx="25">
                  <c:v>1983</c:v>
                </c:pt>
                <c:pt idx="26">
                  <c:v>1984</c:v>
                </c:pt>
                <c:pt idx="27">
                  <c:v>1985</c:v>
                </c:pt>
                <c:pt idx="28">
                  <c:v>1986</c:v>
                </c:pt>
                <c:pt idx="29">
                  <c:v>1987</c:v>
                </c:pt>
                <c:pt idx="30">
                  <c:v>1988</c:v>
                </c:pt>
                <c:pt idx="31">
                  <c:v>1989</c:v>
                </c:pt>
                <c:pt idx="32">
                  <c:v>1990</c:v>
                </c:pt>
                <c:pt idx="33">
                  <c:v>1991</c:v>
                </c:pt>
                <c:pt idx="34">
                  <c:v>1992</c:v>
                </c:pt>
                <c:pt idx="35">
                  <c:v>1993</c:v>
                </c:pt>
                <c:pt idx="36">
                  <c:v>1994</c:v>
                </c:pt>
                <c:pt idx="37">
                  <c:v>1995</c:v>
                </c:pt>
                <c:pt idx="38">
                  <c:v>1996</c:v>
                </c:pt>
                <c:pt idx="39">
                  <c:v>1997</c:v>
                </c:pt>
                <c:pt idx="40">
                  <c:v>1998</c:v>
                </c:pt>
                <c:pt idx="41">
                  <c:v>1999</c:v>
                </c:pt>
                <c:pt idx="42">
                  <c:v>2000</c:v>
                </c:pt>
                <c:pt idx="43">
                  <c:v>2001</c:v>
                </c:pt>
                <c:pt idx="44">
                  <c:v>2002</c:v>
                </c:pt>
                <c:pt idx="45">
                  <c:v>2003</c:v>
                </c:pt>
                <c:pt idx="46">
                  <c:v>2004</c:v>
                </c:pt>
                <c:pt idx="47">
                  <c:v>2005</c:v>
                </c:pt>
                <c:pt idx="48">
                  <c:v>2006</c:v>
                </c:pt>
                <c:pt idx="49">
                  <c:v>2007</c:v>
                </c:pt>
                <c:pt idx="50">
                  <c:v>2008</c:v>
                </c:pt>
                <c:pt idx="51">
                  <c:v>2009</c:v>
                </c:pt>
                <c:pt idx="52">
                  <c:v>2010</c:v>
                </c:pt>
                <c:pt idx="53">
                  <c:v>2011</c:v>
                </c:pt>
                <c:pt idx="54">
                  <c:v>2012</c:v>
                </c:pt>
                <c:pt idx="55">
                  <c:v>2013</c:v>
                </c:pt>
                <c:pt idx="56">
                  <c:v>2014</c:v>
                </c:pt>
                <c:pt idx="57">
                  <c:v>2015</c:v>
                </c:pt>
                <c:pt idx="58">
                  <c:v>2016</c:v>
                </c:pt>
                <c:pt idx="59">
                  <c:v>2017</c:v>
                </c:pt>
                <c:pt idx="60">
                  <c:v>2018</c:v>
                </c:pt>
                <c:pt idx="61">
                  <c:v>2019</c:v>
                </c:pt>
                <c:pt idx="62">
                  <c:v>2020</c:v>
                </c:pt>
              </c:numCache>
            </c:numRef>
          </c:xVal>
          <c:yVal>
            <c:numRef>
              <c:f>'Master Data (old)'!$CL$30:$CL$92</c:f>
              <c:numCache>
                <c:formatCode>General</c:formatCode>
                <c:ptCount val="63"/>
                <c:pt idx="0">
                  <c:v>0.14018087855297157</c:v>
                </c:pt>
                <c:pt idx="1">
                  <c:v>0.14394904458598726</c:v>
                </c:pt>
                <c:pt idx="2">
                  <c:v>0.14470443349753695</c:v>
                </c:pt>
                <c:pt idx="3">
                  <c:v>0.14076782449725778</c:v>
                </c:pt>
                <c:pt idx="4">
                  <c:v>0.15673981191222572</c:v>
                </c:pt>
                <c:pt idx="5">
                  <c:v>0.18761384335154827</c:v>
                </c:pt>
                <c:pt idx="6">
                  <c:v>0.19334112149532709</c:v>
                </c:pt>
                <c:pt idx="7">
                  <c:v>0.17906178489702518</c:v>
                </c:pt>
                <c:pt idx="8">
                  <c:v>0.20992366412213739</c:v>
                </c:pt>
                <c:pt idx="9">
                  <c:v>0.21340523882896764</c:v>
                </c:pt>
                <c:pt idx="10">
                  <c:v>0.21635569670504168</c:v>
                </c:pt>
                <c:pt idx="11">
                  <c:v>0.22578094108343219</c:v>
                </c:pt>
                <c:pt idx="12">
                  <c:v>0.245</c:v>
                </c:pt>
                <c:pt idx="13">
                  <c:v>0.266812865497076</c:v>
                </c:pt>
                <c:pt idx="14">
                  <c:v>0.30070671378091873</c:v>
                </c:pt>
                <c:pt idx="15">
                  <c:v>0.33118862174060276</c:v>
                </c:pt>
                <c:pt idx="16">
                  <c:v>0.32998996990972917</c:v>
                </c:pt>
                <c:pt idx="17">
                  <c:v>0.33767038413878564</c:v>
                </c:pt>
                <c:pt idx="18">
                  <c:v>0.32779845405095909</c:v>
                </c:pt>
                <c:pt idx="19">
                  <c:v>0.34447983014861994</c:v>
                </c:pt>
                <c:pt idx="20">
                  <c:v>0.39557364538285422</c:v>
                </c:pt>
                <c:pt idx="21">
                  <c:v>0.40920716112531969</c:v>
                </c:pt>
                <c:pt idx="22">
                  <c:v>0.44150475403059114</c:v>
                </c:pt>
                <c:pt idx="23">
                  <c:v>0.46867263378404111</c:v>
                </c:pt>
                <c:pt idx="24">
                  <c:v>0.49404976559682656</c:v>
                </c:pt>
                <c:pt idx="25">
                  <c:v>0.51477091809658593</c:v>
                </c:pt>
                <c:pt idx="26">
                  <c:v>0.54217285664699755</c:v>
                </c:pt>
                <c:pt idx="27">
                  <c:v>0.56648294867378579</c:v>
                </c:pt>
                <c:pt idx="28">
                  <c:v>0.58005159071367152</c:v>
                </c:pt>
                <c:pt idx="29">
                  <c:v>0.60542832909245126</c:v>
                </c:pt>
                <c:pt idx="30">
                  <c:v>0.61140939597315436</c:v>
                </c:pt>
                <c:pt idx="31">
                  <c:v>0.6281287246722288</c:v>
                </c:pt>
                <c:pt idx="32">
                  <c:v>0.65357643758765782</c:v>
                </c:pt>
                <c:pt idx="33">
                  <c:v>0.63396226415094337</c:v>
                </c:pt>
                <c:pt idx="34">
                  <c:v>0.66038009574931089</c:v>
                </c:pt>
                <c:pt idx="35">
                  <c:v>0.68702843876958797</c:v>
                </c:pt>
                <c:pt idx="36">
                  <c:v>0.71608226068945113</c:v>
                </c:pt>
                <c:pt idx="37">
                  <c:v>0.74299273320480497</c:v>
                </c:pt>
                <c:pt idx="38">
                  <c:v>0.76862626567931092</c:v>
                </c:pt>
                <c:pt idx="39">
                  <c:v>0.78963461244458033</c:v>
                </c:pt>
                <c:pt idx="40">
                  <c:v>0.79252537680713631</c:v>
                </c:pt>
                <c:pt idx="41">
                  <c:v>0.80455727175409086</c:v>
                </c:pt>
                <c:pt idx="42">
                  <c:v>0.81414172266340867</c:v>
                </c:pt>
                <c:pt idx="43">
                  <c:v>0.82699827936805881</c:v>
                </c:pt>
                <c:pt idx="44">
                  <c:v>0.83518721604261315</c:v>
                </c:pt>
                <c:pt idx="45">
                  <c:v>0.84051036682615632</c:v>
                </c:pt>
                <c:pt idx="46">
                  <c:v>0.84041402749884131</c:v>
                </c:pt>
                <c:pt idx="47">
                  <c:v>0.85596000624902358</c:v>
                </c:pt>
                <c:pt idx="48">
                  <c:v>0.86353879178166204</c:v>
                </c:pt>
                <c:pt idx="49">
                  <c:v>0.85996758508914095</c:v>
                </c:pt>
                <c:pt idx="50">
                  <c:v>0.86350844277673544</c:v>
                </c:pt>
                <c:pt idx="51">
                  <c:v>0.86722187303582654</c:v>
                </c:pt>
                <c:pt idx="52">
                  <c:v>0.85117656225650618</c:v>
                </c:pt>
                <c:pt idx="53">
                  <c:v>0.85208557795905804</c:v>
                </c:pt>
                <c:pt idx="54">
                  <c:v>0.71208720743828147</c:v>
                </c:pt>
                <c:pt idx="55">
                  <c:v>0.85451713395638629</c:v>
                </c:pt>
                <c:pt idx="56">
                  <c:v>0.8633675692499222</c:v>
                </c:pt>
                <c:pt idx="57">
                  <c:v>0.86546943919344677</c:v>
                </c:pt>
                <c:pt idx="58">
                  <c:v>0.85640056683986776</c:v>
                </c:pt>
                <c:pt idx="59">
                  <c:v>0.87092198581560287</c:v>
                </c:pt>
                <c:pt idx="60">
                  <c:v>0.85440552850636098</c:v>
                </c:pt>
                <c:pt idx="61">
                  <c:v>0.85631372549019613</c:v>
                </c:pt>
                <c:pt idx="62">
                  <c:v>0.860610806577917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F0-4F41-969F-E79BD3075854}"/>
            </c:ext>
          </c:extLst>
        </c:ser>
        <c:ser>
          <c:idx val="0"/>
          <c:order val="1"/>
          <c:tx>
            <c:strRef>
              <c:f>'Master Data (old)'!$CM$2</c:f>
              <c:strCache>
                <c:ptCount val="1"/>
                <c:pt idx="0">
                  <c:v>New Students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'Master Data (old)'!$A$30:$A$92</c:f>
              <c:numCache>
                <c:formatCode>General</c:formatCode>
                <c:ptCount val="63"/>
                <c:pt idx="0">
                  <c:v>1958</c:v>
                </c:pt>
                <c:pt idx="1">
                  <c:v>1959</c:v>
                </c:pt>
                <c:pt idx="2">
                  <c:v>1960</c:v>
                </c:pt>
                <c:pt idx="3">
                  <c:v>1961</c:v>
                </c:pt>
                <c:pt idx="4">
                  <c:v>1962</c:v>
                </c:pt>
                <c:pt idx="5">
                  <c:v>1963</c:v>
                </c:pt>
                <c:pt idx="6">
                  <c:v>1964</c:v>
                </c:pt>
                <c:pt idx="7">
                  <c:v>1965</c:v>
                </c:pt>
                <c:pt idx="8">
                  <c:v>1966</c:v>
                </c:pt>
                <c:pt idx="9">
                  <c:v>1967</c:v>
                </c:pt>
                <c:pt idx="10">
                  <c:v>1968</c:v>
                </c:pt>
                <c:pt idx="11">
                  <c:v>1969</c:v>
                </c:pt>
                <c:pt idx="12">
                  <c:v>1970</c:v>
                </c:pt>
                <c:pt idx="13">
                  <c:v>1971</c:v>
                </c:pt>
                <c:pt idx="14">
                  <c:v>1972</c:v>
                </c:pt>
                <c:pt idx="15">
                  <c:v>1973</c:v>
                </c:pt>
                <c:pt idx="16">
                  <c:v>1974</c:v>
                </c:pt>
                <c:pt idx="17">
                  <c:v>1975</c:v>
                </c:pt>
                <c:pt idx="18">
                  <c:v>1976</c:v>
                </c:pt>
                <c:pt idx="19">
                  <c:v>1977</c:v>
                </c:pt>
                <c:pt idx="20">
                  <c:v>1978</c:v>
                </c:pt>
                <c:pt idx="21">
                  <c:v>1979</c:v>
                </c:pt>
                <c:pt idx="22">
                  <c:v>1980</c:v>
                </c:pt>
                <c:pt idx="23">
                  <c:v>1981</c:v>
                </c:pt>
                <c:pt idx="24">
                  <c:v>1982</c:v>
                </c:pt>
                <c:pt idx="25">
                  <c:v>1983</c:v>
                </c:pt>
                <c:pt idx="26">
                  <c:v>1984</c:v>
                </c:pt>
                <c:pt idx="27">
                  <c:v>1985</c:v>
                </c:pt>
                <c:pt idx="28">
                  <c:v>1986</c:v>
                </c:pt>
                <c:pt idx="29">
                  <c:v>1987</c:v>
                </c:pt>
                <c:pt idx="30">
                  <c:v>1988</c:v>
                </c:pt>
                <c:pt idx="31">
                  <c:v>1989</c:v>
                </c:pt>
                <c:pt idx="32">
                  <c:v>1990</c:v>
                </c:pt>
                <c:pt idx="33">
                  <c:v>1991</c:v>
                </c:pt>
                <c:pt idx="34">
                  <c:v>1992</c:v>
                </c:pt>
                <c:pt idx="35">
                  <c:v>1993</c:v>
                </c:pt>
                <c:pt idx="36">
                  <c:v>1994</c:v>
                </c:pt>
                <c:pt idx="37">
                  <c:v>1995</c:v>
                </c:pt>
                <c:pt idx="38">
                  <c:v>1996</c:v>
                </c:pt>
                <c:pt idx="39">
                  <c:v>1997</c:v>
                </c:pt>
                <c:pt idx="40">
                  <c:v>1998</c:v>
                </c:pt>
                <c:pt idx="41">
                  <c:v>1999</c:v>
                </c:pt>
                <c:pt idx="42">
                  <c:v>2000</c:v>
                </c:pt>
                <c:pt idx="43">
                  <c:v>2001</c:v>
                </c:pt>
                <c:pt idx="44">
                  <c:v>2002</c:v>
                </c:pt>
                <c:pt idx="45">
                  <c:v>2003</c:v>
                </c:pt>
                <c:pt idx="46">
                  <c:v>2004</c:v>
                </c:pt>
                <c:pt idx="47">
                  <c:v>2005</c:v>
                </c:pt>
                <c:pt idx="48">
                  <c:v>2006</c:v>
                </c:pt>
                <c:pt idx="49">
                  <c:v>2007</c:v>
                </c:pt>
                <c:pt idx="50">
                  <c:v>2008</c:v>
                </c:pt>
                <c:pt idx="51">
                  <c:v>2009</c:v>
                </c:pt>
                <c:pt idx="52">
                  <c:v>2010</c:v>
                </c:pt>
                <c:pt idx="53">
                  <c:v>2011</c:v>
                </c:pt>
                <c:pt idx="54">
                  <c:v>2012</c:v>
                </c:pt>
                <c:pt idx="55">
                  <c:v>2013</c:v>
                </c:pt>
                <c:pt idx="56">
                  <c:v>2014</c:v>
                </c:pt>
                <c:pt idx="57">
                  <c:v>2015</c:v>
                </c:pt>
                <c:pt idx="58">
                  <c:v>2016</c:v>
                </c:pt>
                <c:pt idx="59">
                  <c:v>2017</c:v>
                </c:pt>
                <c:pt idx="60">
                  <c:v>2018</c:v>
                </c:pt>
                <c:pt idx="61">
                  <c:v>2019</c:v>
                </c:pt>
                <c:pt idx="62">
                  <c:v>2020</c:v>
                </c:pt>
              </c:numCache>
            </c:numRef>
          </c:xVal>
          <c:yVal>
            <c:numRef>
              <c:f>'Master Data (old)'!$CO$30:$CO$92</c:f>
              <c:numCache>
                <c:formatCode>General</c:formatCode>
                <c:ptCount val="63"/>
                <c:pt idx="0">
                  <c:v>5.3072625698324022E-2</c:v>
                </c:pt>
                <c:pt idx="1">
                  <c:v>4.1237113402061855E-2</c:v>
                </c:pt>
                <c:pt idx="2">
                  <c:v>5.089820359281437E-2</c:v>
                </c:pt>
                <c:pt idx="3">
                  <c:v>7.6696165191740412E-2</c:v>
                </c:pt>
                <c:pt idx="4">
                  <c:v>8.143322475570032E-2</c:v>
                </c:pt>
                <c:pt idx="5">
                  <c:v>9.8522167487684734E-2</c:v>
                </c:pt>
                <c:pt idx="6">
                  <c:v>5.8380414312617701E-2</c:v>
                </c:pt>
                <c:pt idx="7">
                  <c:v>6.7901234567901231E-2</c:v>
                </c:pt>
                <c:pt idx="8">
                  <c:v>0.14116094986807387</c:v>
                </c:pt>
                <c:pt idx="9">
                  <c:v>8.7378640776699032E-2</c:v>
                </c:pt>
                <c:pt idx="10">
                  <c:v>0.1348314606741573</c:v>
                </c:pt>
                <c:pt idx="11">
                  <c:v>0.19616204690831557</c:v>
                </c:pt>
                <c:pt idx="12">
                  <c:v>0.25157232704402516</c:v>
                </c:pt>
                <c:pt idx="13">
                  <c:v>0.25263157894736843</c:v>
                </c:pt>
                <c:pt idx="15">
                  <c:v>0.34337349397590361</c:v>
                </c:pt>
                <c:pt idx="16">
                  <c:v>0.21029411764705883</c:v>
                </c:pt>
                <c:pt idx="17">
                  <c:v>0.31294452347083929</c:v>
                </c:pt>
                <c:pt idx="18">
                  <c:v>0.33828996282527879</c:v>
                </c:pt>
                <c:pt idx="19">
                  <c:v>0.41278439869989164</c:v>
                </c:pt>
                <c:pt idx="20">
                  <c:v>0.45986238532110091</c:v>
                </c:pt>
                <c:pt idx="21">
                  <c:v>0.4563758389261745</c:v>
                </c:pt>
                <c:pt idx="22">
                  <c:v>0.52023692003948663</c:v>
                </c:pt>
                <c:pt idx="23">
                  <c:v>0.53175457481162536</c:v>
                </c:pt>
                <c:pt idx="24">
                  <c:v>0.56589958158995812</c:v>
                </c:pt>
                <c:pt idx="25">
                  <c:v>0.57525083612040129</c:v>
                </c:pt>
                <c:pt idx="26">
                  <c:v>0.61928934010152281</c:v>
                </c:pt>
                <c:pt idx="27">
                  <c:v>0.60373443983402486</c:v>
                </c:pt>
                <c:pt idx="28">
                  <c:v>0.61254199328107506</c:v>
                </c:pt>
                <c:pt idx="29">
                  <c:v>0.6388571428571429</c:v>
                </c:pt>
                <c:pt idx="30">
                  <c:v>0.67932960893854744</c:v>
                </c:pt>
                <c:pt idx="31">
                  <c:v>0.66371681415929207</c:v>
                </c:pt>
                <c:pt idx="32">
                  <c:v>0.74392935982339958</c:v>
                </c:pt>
                <c:pt idx="33">
                  <c:v>0.71024146544546207</c:v>
                </c:pt>
                <c:pt idx="34">
                  <c:v>0.76415094339622647</c:v>
                </c:pt>
                <c:pt idx="35">
                  <c:v>0.79460966542750933</c:v>
                </c:pt>
                <c:pt idx="36">
                  <c:v>0.77659574468085102</c:v>
                </c:pt>
                <c:pt idx="37">
                  <c:v>0.80366972477064225</c:v>
                </c:pt>
                <c:pt idx="38">
                  <c:v>0.78526504941599284</c:v>
                </c:pt>
                <c:pt idx="39">
                  <c:v>0.80595667870036103</c:v>
                </c:pt>
                <c:pt idx="40">
                  <c:v>0.81750465549348228</c:v>
                </c:pt>
                <c:pt idx="41">
                  <c:v>0.87737642585551334</c:v>
                </c:pt>
                <c:pt idx="42">
                  <c:v>0.86237623762376237</c:v>
                </c:pt>
                <c:pt idx="43">
                  <c:v>0.87887887887887883</c:v>
                </c:pt>
                <c:pt idx="44">
                  <c:v>0.86220472440944884</c:v>
                </c:pt>
                <c:pt idx="45">
                  <c:v>0.87035271687321258</c:v>
                </c:pt>
                <c:pt idx="46">
                  <c:v>0.84694754944110062</c:v>
                </c:pt>
                <c:pt idx="47">
                  <c:v>0.88121546961325969</c:v>
                </c:pt>
                <c:pt idx="48">
                  <c:v>0.8705357142857143</c:v>
                </c:pt>
                <c:pt idx="49">
                  <c:v>0.8549172346640701</c:v>
                </c:pt>
                <c:pt idx="50">
                  <c:v>0.90808823529411764</c:v>
                </c:pt>
                <c:pt idx="51">
                  <c:v>0.85489833641404811</c:v>
                </c:pt>
                <c:pt idx="52">
                  <c:v>0.8605724838411819</c:v>
                </c:pt>
                <c:pt idx="53">
                  <c:v>0.84664246823956446</c:v>
                </c:pt>
                <c:pt idx="54">
                  <c:v>0.81334459459459463</c:v>
                </c:pt>
                <c:pt idx="55">
                  <c:v>0.86261682242990656</c:v>
                </c:pt>
                <c:pt idx="56">
                  <c:v>0.85420560747663554</c:v>
                </c:pt>
                <c:pt idx="57">
                  <c:v>0.86155285313376984</c:v>
                </c:pt>
                <c:pt idx="58">
                  <c:v>0.87012987012987009</c:v>
                </c:pt>
                <c:pt idx="59">
                  <c:v>0.89645522388059706</c:v>
                </c:pt>
                <c:pt idx="60">
                  <c:v>0.8528880866425993</c:v>
                </c:pt>
                <c:pt idx="61">
                  <c:v>0.85296722763507526</c:v>
                </c:pt>
                <c:pt idx="62">
                  <c:v>0.89454870420017873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F0-4F41-969F-E79BD3075854}"/>
            </c:ext>
          </c:extLst>
        </c:ser>
        <c:ser>
          <c:idx val="2"/>
          <c:order val="2"/>
          <c:tx>
            <c:strRef>
              <c:f>'Master Data (old)'!$CG$2</c:f>
              <c:strCache>
                <c:ptCount val="1"/>
                <c:pt idx="0">
                  <c:v>New Graduates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'Master Data (old)'!$A$30:$A$92</c:f>
              <c:numCache>
                <c:formatCode>General</c:formatCode>
                <c:ptCount val="63"/>
                <c:pt idx="0">
                  <c:v>1958</c:v>
                </c:pt>
                <c:pt idx="1">
                  <c:v>1959</c:v>
                </c:pt>
                <c:pt idx="2">
                  <c:v>1960</c:v>
                </c:pt>
                <c:pt idx="3">
                  <c:v>1961</c:v>
                </c:pt>
                <c:pt idx="4">
                  <c:v>1962</c:v>
                </c:pt>
                <c:pt idx="5">
                  <c:v>1963</c:v>
                </c:pt>
                <c:pt idx="6">
                  <c:v>1964</c:v>
                </c:pt>
                <c:pt idx="7">
                  <c:v>1965</c:v>
                </c:pt>
                <c:pt idx="8">
                  <c:v>1966</c:v>
                </c:pt>
                <c:pt idx="9">
                  <c:v>1967</c:v>
                </c:pt>
                <c:pt idx="10">
                  <c:v>1968</c:v>
                </c:pt>
                <c:pt idx="11">
                  <c:v>1969</c:v>
                </c:pt>
                <c:pt idx="12">
                  <c:v>1970</c:v>
                </c:pt>
                <c:pt idx="13">
                  <c:v>1971</c:v>
                </c:pt>
                <c:pt idx="14">
                  <c:v>1972</c:v>
                </c:pt>
                <c:pt idx="15">
                  <c:v>1973</c:v>
                </c:pt>
                <c:pt idx="16">
                  <c:v>1974</c:v>
                </c:pt>
                <c:pt idx="17">
                  <c:v>1975</c:v>
                </c:pt>
                <c:pt idx="18">
                  <c:v>1976</c:v>
                </c:pt>
                <c:pt idx="19">
                  <c:v>1977</c:v>
                </c:pt>
                <c:pt idx="20">
                  <c:v>1978</c:v>
                </c:pt>
                <c:pt idx="21">
                  <c:v>1979</c:v>
                </c:pt>
                <c:pt idx="22">
                  <c:v>1980</c:v>
                </c:pt>
                <c:pt idx="23">
                  <c:v>1981</c:v>
                </c:pt>
                <c:pt idx="24">
                  <c:v>1982</c:v>
                </c:pt>
                <c:pt idx="25">
                  <c:v>1983</c:v>
                </c:pt>
                <c:pt idx="26">
                  <c:v>1984</c:v>
                </c:pt>
                <c:pt idx="27">
                  <c:v>1985</c:v>
                </c:pt>
                <c:pt idx="28">
                  <c:v>1986</c:v>
                </c:pt>
                <c:pt idx="29">
                  <c:v>1987</c:v>
                </c:pt>
                <c:pt idx="30">
                  <c:v>1988</c:v>
                </c:pt>
                <c:pt idx="31">
                  <c:v>1989</c:v>
                </c:pt>
                <c:pt idx="32">
                  <c:v>1990</c:v>
                </c:pt>
                <c:pt idx="33">
                  <c:v>1991</c:v>
                </c:pt>
                <c:pt idx="34">
                  <c:v>1992</c:v>
                </c:pt>
                <c:pt idx="35">
                  <c:v>1993</c:v>
                </c:pt>
                <c:pt idx="36">
                  <c:v>1994</c:v>
                </c:pt>
                <c:pt idx="37">
                  <c:v>1995</c:v>
                </c:pt>
                <c:pt idx="38">
                  <c:v>1996</c:v>
                </c:pt>
                <c:pt idx="39">
                  <c:v>1997</c:v>
                </c:pt>
                <c:pt idx="40">
                  <c:v>1998</c:v>
                </c:pt>
                <c:pt idx="41">
                  <c:v>1999</c:v>
                </c:pt>
                <c:pt idx="42">
                  <c:v>2000</c:v>
                </c:pt>
                <c:pt idx="43">
                  <c:v>2001</c:v>
                </c:pt>
                <c:pt idx="44">
                  <c:v>2002</c:v>
                </c:pt>
                <c:pt idx="45">
                  <c:v>2003</c:v>
                </c:pt>
                <c:pt idx="46">
                  <c:v>2004</c:v>
                </c:pt>
                <c:pt idx="47">
                  <c:v>2005</c:v>
                </c:pt>
                <c:pt idx="48">
                  <c:v>2006</c:v>
                </c:pt>
                <c:pt idx="49">
                  <c:v>2007</c:v>
                </c:pt>
                <c:pt idx="50">
                  <c:v>2008</c:v>
                </c:pt>
                <c:pt idx="51">
                  <c:v>2009</c:v>
                </c:pt>
                <c:pt idx="52">
                  <c:v>2010</c:v>
                </c:pt>
                <c:pt idx="53">
                  <c:v>2011</c:v>
                </c:pt>
                <c:pt idx="54">
                  <c:v>2012</c:v>
                </c:pt>
                <c:pt idx="55">
                  <c:v>2013</c:v>
                </c:pt>
                <c:pt idx="56">
                  <c:v>2014</c:v>
                </c:pt>
                <c:pt idx="57">
                  <c:v>2015</c:v>
                </c:pt>
                <c:pt idx="58">
                  <c:v>2016</c:v>
                </c:pt>
                <c:pt idx="59">
                  <c:v>2017</c:v>
                </c:pt>
                <c:pt idx="60">
                  <c:v>2018</c:v>
                </c:pt>
                <c:pt idx="61">
                  <c:v>2019</c:v>
                </c:pt>
                <c:pt idx="62">
                  <c:v>2020</c:v>
                </c:pt>
              </c:numCache>
            </c:numRef>
          </c:xVal>
          <c:yVal>
            <c:numRef>
              <c:f>'Master Data (old)'!$CI$30:$CI$92</c:f>
              <c:numCache>
                <c:formatCode>General</c:formatCode>
                <c:ptCount val="63"/>
                <c:pt idx="0">
                  <c:v>8.5836909871244635E-2</c:v>
                </c:pt>
                <c:pt idx="1">
                  <c:v>0.10416666666666667</c:v>
                </c:pt>
                <c:pt idx="2">
                  <c:v>0.19243986254295534</c:v>
                </c:pt>
                <c:pt idx="3">
                  <c:v>0.14130434782608695</c:v>
                </c:pt>
                <c:pt idx="4">
                  <c:v>0.14130434782608695</c:v>
                </c:pt>
                <c:pt idx="5">
                  <c:v>0.11589403973509933</c:v>
                </c:pt>
                <c:pt idx="6">
                  <c:v>0.16370106761565836</c:v>
                </c:pt>
                <c:pt idx="7">
                  <c:v>0.14878892733564014</c:v>
                </c:pt>
                <c:pt idx="8">
                  <c:v>0.19282511210762332</c:v>
                </c:pt>
                <c:pt idx="9">
                  <c:v>0.19047619047619047</c:v>
                </c:pt>
                <c:pt idx="13">
                  <c:v>0.26196473551637278</c:v>
                </c:pt>
                <c:pt idx="14">
                  <c:v>0.25225225225225223</c:v>
                </c:pt>
                <c:pt idx="15">
                  <c:v>0.43085106382978722</c:v>
                </c:pt>
                <c:pt idx="16">
                  <c:v>0.25360230547550433</c:v>
                </c:pt>
                <c:pt idx="17">
                  <c:v>0.29749103942652327</c:v>
                </c:pt>
                <c:pt idx="18">
                  <c:v>0.33121019108280253</c:v>
                </c:pt>
                <c:pt idx="19">
                  <c:v>0.40369393139841686</c:v>
                </c:pt>
                <c:pt idx="20">
                  <c:v>0.39407744874715261</c:v>
                </c:pt>
                <c:pt idx="21">
                  <c:v>0.35421686746987951</c:v>
                </c:pt>
                <c:pt idx="22">
                  <c:v>0.42723004694835681</c:v>
                </c:pt>
                <c:pt idx="23">
                  <c:v>0.34274952919020718</c:v>
                </c:pt>
                <c:pt idx="24">
                  <c:v>0.41538461538461541</c:v>
                </c:pt>
                <c:pt idx="25">
                  <c:v>0.45387994143484628</c:v>
                </c:pt>
                <c:pt idx="26">
                  <c:v>0.45987261146496816</c:v>
                </c:pt>
                <c:pt idx="27">
                  <c:v>0.49813664596273294</c:v>
                </c:pt>
                <c:pt idx="28">
                  <c:v>0.49316770186335401</c:v>
                </c:pt>
                <c:pt idx="29">
                  <c:v>0.55461165048543692</c:v>
                </c:pt>
                <c:pt idx="30">
                  <c:v>0.54299175500588925</c:v>
                </c:pt>
                <c:pt idx="31">
                  <c:v>0.59563543003851094</c:v>
                </c:pt>
                <c:pt idx="32">
                  <c:v>0.59132720105124836</c:v>
                </c:pt>
                <c:pt idx="33">
                  <c:v>0.59422110552763818</c:v>
                </c:pt>
                <c:pt idx="34">
                  <c:v>0.59979423868312753</c:v>
                </c:pt>
                <c:pt idx="35">
                  <c:v>0.63157894736842102</c:v>
                </c:pt>
                <c:pt idx="36">
                  <c:v>0.61388286334056397</c:v>
                </c:pt>
                <c:pt idx="37">
                  <c:v>0.63699307616221568</c:v>
                </c:pt>
                <c:pt idx="38">
                  <c:v>0.62072072072072071</c:v>
                </c:pt>
                <c:pt idx="39">
                  <c:v>0.71280991735537191</c:v>
                </c:pt>
                <c:pt idx="40">
                  <c:v>0.79625292740046838</c:v>
                </c:pt>
                <c:pt idx="41">
                  <c:v>0.81500513874614589</c:v>
                </c:pt>
                <c:pt idx="42">
                  <c:v>0.79795686719636771</c:v>
                </c:pt>
                <c:pt idx="43">
                  <c:v>0.79677419354838708</c:v>
                </c:pt>
                <c:pt idx="44">
                  <c:v>0.77814938684503898</c:v>
                </c:pt>
                <c:pt idx="45">
                  <c:v>0.82195121951219507</c:v>
                </c:pt>
                <c:pt idx="46">
                  <c:v>0.80769230769230771</c:v>
                </c:pt>
                <c:pt idx="47">
                  <c:v>0.85614849187935038</c:v>
                </c:pt>
                <c:pt idx="48">
                  <c:v>0.86036036036036034</c:v>
                </c:pt>
                <c:pt idx="49">
                  <c:v>0.85284280936454848</c:v>
                </c:pt>
                <c:pt idx="50">
                  <c:v>0.86558516801854002</c:v>
                </c:pt>
                <c:pt idx="51">
                  <c:v>0.89009793253536451</c:v>
                </c:pt>
                <c:pt idx="52">
                  <c:v>0.87394067796610164</c:v>
                </c:pt>
                <c:pt idx="53">
                  <c:v>0.88719512195121952</c:v>
                </c:pt>
                <c:pt idx="54">
                  <c:v>0.88865323435843058</c:v>
                </c:pt>
                <c:pt idx="55">
                  <c:v>0.85414480587618047</c:v>
                </c:pt>
                <c:pt idx="56">
                  <c:v>0.84188481675392668</c:v>
                </c:pt>
                <c:pt idx="57">
                  <c:v>0.8586387434554974</c:v>
                </c:pt>
                <c:pt idx="58">
                  <c:v>0.86363636363636365</c:v>
                </c:pt>
                <c:pt idx="59">
                  <c:v>0.854389721627409</c:v>
                </c:pt>
                <c:pt idx="60">
                  <c:v>0.86862967157417892</c:v>
                </c:pt>
                <c:pt idx="61">
                  <c:v>0.84399551066217737</c:v>
                </c:pt>
                <c:pt idx="62">
                  <c:v>0.86833144154370034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F0-4F41-969F-E79BD3075854}"/>
            </c:ext>
          </c:extLst>
        </c:ser>
        <c:ser>
          <c:idx val="3"/>
          <c:order val="3"/>
          <c:tx>
            <c:v>Total Professionals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'Master Data (old)'!$A$30:$A$92</c:f>
              <c:numCache>
                <c:formatCode>General</c:formatCode>
                <c:ptCount val="63"/>
                <c:pt idx="0">
                  <c:v>1958</c:v>
                </c:pt>
                <c:pt idx="1">
                  <c:v>1959</c:v>
                </c:pt>
                <c:pt idx="2">
                  <c:v>1960</c:v>
                </c:pt>
                <c:pt idx="3">
                  <c:v>1961</c:v>
                </c:pt>
                <c:pt idx="4">
                  <c:v>1962</c:v>
                </c:pt>
                <c:pt idx="5">
                  <c:v>1963</c:v>
                </c:pt>
                <c:pt idx="6">
                  <c:v>1964</c:v>
                </c:pt>
                <c:pt idx="7">
                  <c:v>1965</c:v>
                </c:pt>
                <c:pt idx="8">
                  <c:v>1966</c:v>
                </c:pt>
                <c:pt idx="9">
                  <c:v>1967</c:v>
                </c:pt>
                <c:pt idx="10">
                  <c:v>1968</c:v>
                </c:pt>
                <c:pt idx="11">
                  <c:v>1969</c:v>
                </c:pt>
                <c:pt idx="12">
                  <c:v>1970</c:v>
                </c:pt>
                <c:pt idx="13">
                  <c:v>1971</c:v>
                </c:pt>
                <c:pt idx="14">
                  <c:v>1972</c:v>
                </c:pt>
                <c:pt idx="15">
                  <c:v>1973</c:v>
                </c:pt>
                <c:pt idx="16">
                  <c:v>1974</c:v>
                </c:pt>
                <c:pt idx="17">
                  <c:v>1975</c:v>
                </c:pt>
                <c:pt idx="18">
                  <c:v>1976</c:v>
                </c:pt>
                <c:pt idx="19">
                  <c:v>1977</c:v>
                </c:pt>
                <c:pt idx="20">
                  <c:v>1978</c:v>
                </c:pt>
                <c:pt idx="21">
                  <c:v>1979</c:v>
                </c:pt>
                <c:pt idx="22">
                  <c:v>1980</c:v>
                </c:pt>
                <c:pt idx="23">
                  <c:v>1981</c:v>
                </c:pt>
                <c:pt idx="24">
                  <c:v>1982</c:v>
                </c:pt>
                <c:pt idx="25">
                  <c:v>1983</c:v>
                </c:pt>
                <c:pt idx="26">
                  <c:v>1984</c:v>
                </c:pt>
                <c:pt idx="27">
                  <c:v>1985</c:v>
                </c:pt>
                <c:pt idx="28">
                  <c:v>1986</c:v>
                </c:pt>
                <c:pt idx="29">
                  <c:v>1987</c:v>
                </c:pt>
                <c:pt idx="30">
                  <c:v>1988</c:v>
                </c:pt>
                <c:pt idx="31">
                  <c:v>1989</c:v>
                </c:pt>
                <c:pt idx="32">
                  <c:v>1990</c:v>
                </c:pt>
                <c:pt idx="33">
                  <c:v>1991</c:v>
                </c:pt>
                <c:pt idx="34">
                  <c:v>1992</c:v>
                </c:pt>
                <c:pt idx="35">
                  <c:v>1993</c:v>
                </c:pt>
                <c:pt idx="36">
                  <c:v>1994</c:v>
                </c:pt>
                <c:pt idx="37">
                  <c:v>1995</c:v>
                </c:pt>
                <c:pt idx="38">
                  <c:v>1996</c:v>
                </c:pt>
                <c:pt idx="39">
                  <c:v>1997</c:v>
                </c:pt>
                <c:pt idx="40">
                  <c:v>1998</c:v>
                </c:pt>
                <c:pt idx="41">
                  <c:v>1999</c:v>
                </c:pt>
                <c:pt idx="42">
                  <c:v>2000</c:v>
                </c:pt>
                <c:pt idx="43">
                  <c:v>2001</c:v>
                </c:pt>
                <c:pt idx="44">
                  <c:v>2002</c:v>
                </c:pt>
                <c:pt idx="45">
                  <c:v>2003</c:v>
                </c:pt>
                <c:pt idx="46">
                  <c:v>2004</c:v>
                </c:pt>
                <c:pt idx="47">
                  <c:v>2005</c:v>
                </c:pt>
                <c:pt idx="48">
                  <c:v>2006</c:v>
                </c:pt>
                <c:pt idx="49">
                  <c:v>2007</c:v>
                </c:pt>
                <c:pt idx="50">
                  <c:v>2008</c:v>
                </c:pt>
                <c:pt idx="51">
                  <c:v>2009</c:v>
                </c:pt>
                <c:pt idx="52">
                  <c:v>2010</c:v>
                </c:pt>
                <c:pt idx="53">
                  <c:v>2011</c:v>
                </c:pt>
                <c:pt idx="54">
                  <c:v>2012</c:v>
                </c:pt>
                <c:pt idx="55">
                  <c:v>2013</c:v>
                </c:pt>
                <c:pt idx="56">
                  <c:v>2014</c:v>
                </c:pt>
                <c:pt idx="57">
                  <c:v>2015</c:v>
                </c:pt>
                <c:pt idx="58">
                  <c:v>2016</c:v>
                </c:pt>
                <c:pt idx="59">
                  <c:v>2017</c:v>
                </c:pt>
                <c:pt idx="60">
                  <c:v>2018</c:v>
                </c:pt>
                <c:pt idx="61">
                  <c:v>2019</c:v>
                </c:pt>
                <c:pt idx="62">
                  <c:v>2020</c:v>
                </c:pt>
              </c:numCache>
            </c:numRef>
          </c:xVal>
          <c:yVal>
            <c:numRef>
              <c:f>'Master Data (old)'!$CB$30:$CB$92</c:f>
              <c:numCache>
                <c:formatCode>General</c:formatCode>
                <c:ptCount val="63"/>
                <c:pt idx="6">
                  <c:v>3.2945955094211894E-2</c:v>
                </c:pt>
                <c:pt idx="7">
                  <c:v>3.9430086149768055E-2</c:v>
                </c:pt>
                <c:pt idx="8">
                  <c:v>3.958673191952148E-2</c:v>
                </c:pt>
                <c:pt idx="9">
                  <c:v>4.3543223052294557E-2</c:v>
                </c:pt>
                <c:pt idx="10">
                  <c:v>4.6811184417216462E-2</c:v>
                </c:pt>
                <c:pt idx="11">
                  <c:v>5.8625761714645931E-2</c:v>
                </c:pt>
                <c:pt idx="12">
                  <c:v>6.106176826806621E-2</c:v>
                </c:pt>
                <c:pt idx="13">
                  <c:v>6.0240963855421686E-2</c:v>
                </c:pt>
                <c:pt idx="14">
                  <c:v>6.7008237894313843E-2</c:v>
                </c:pt>
                <c:pt idx="15">
                  <c:v>8.2716289945440377E-2</c:v>
                </c:pt>
                <c:pt idx="16">
                  <c:v>8.9050131926121379E-2</c:v>
                </c:pt>
                <c:pt idx="17">
                  <c:v>9.4524602293747692E-2</c:v>
                </c:pt>
                <c:pt idx="18">
                  <c:v>0.10147567862998724</c:v>
                </c:pt>
                <c:pt idx="19">
                  <c:v>0.11110109929717066</c:v>
                </c:pt>
                <c:pt idx="20">
                  <c:v>0.12126507076708021</c:v>
                </c:pt>
                <c:pt idx="21">
                  <c:v>0.1327659574468085</c:v>
                </c:pt>
                <c:pt idx="22">
                  <c:v>0.14183345688164073</c:v>
                </c:pt>
                <c:pt idx="23">
                  <c:v>0.15290912005129026</c:v>
                </c:pt>
                <c:pt idx="24">
                  <c:v>0.16315830056288072</c:v>
                </c:pt>
                <c:pt idx="25">
                  <c:v>0.17440214557103478</c:v>
                </c:pt>
                <c:pt idx="26">
                  <c:v>0.19137389317337902</c:v>
                </c:pt>
                <c:pt idx="27">
                  <c:v>0.20894603652280966</c:v>
                </c:pt>
                <c:pt idx="28">
                  <c:v>0.2245232321908382</c:v>
                </c:pt>
                <c:pt idx="29">
                  <c:v>0.2418202331703648</c:v>
                </c:pt>
                <c:pt idx="30">
                  <c:v>0.25865506615914446</c:v>
                </c:pt>
                <c:pt idx="31">
                  <c:v>0.27281699953553179</c:v>
                </c:pt>
                <c:pt idx="32">
                  <c:v>0.28954467874249851</c:v>
                </c:pt>
                <c:pt idx="33">
                  <c:v>0.29101660795168593</c:v>
                </c:pt>
                <c:pt idx="34">
                  <c:v>0.3028748269403046</c:v>
                </c:pt>
                <c:pt idx="35">
                  <c:v>0.31753909173264011</c:v>
                </c:pt>
                <c:pt idx="36">
                  <c:v>0.33011716057891111</c:v>
                </c:pt>
                <c:pt idx="37">
                  <c:v>0.34219515817614732</c:v>
                </c:pt>
                <c:pt idx="43">
                  <c:v>0.42301841602744605</c:v>
                </c:pt>
                <c:pt idx="44">
                  <c:v>0.43600012714154029</c:v>
                </c:pt>
                <c:pt idx="45">
                  <c:v>0.44915307012081207</c:v>
                </c:pt>
                <c:pt idx="46">
                  <c:v>0.46046511627906977</c:v>
                </c:pt>
                <c:pt idx="47">
                  <c:v>0.47339060915219855</c:v>
                </c:pt>
                <c:pt idx="48">
                  <c:v>0.48255932747599173</c:v>
                </c:pt>
                <c:pt idx="49">
                  <c:v>0.49516194449272843</c:v>
                </c:pt>
                <c:pt idx="50">
                  <c:v>0.50649609664368345</c:v>
                </c:pt>
                <c:pt idx="51">
                  <c:v>0.51827836780324199</c:v>
                </c:pt>
                <c:pt idx="52">
                  <c:v>0.53012509923079032</c:v>
                </c:pt>
                <c:pt idx="53">
                  <c:v>0.54321749631021066</c:v>
                </c:pt>
                <c:pt idx="54">
                  <c:v>0.55529584788717601</c:v>
                </c:pt>
                <c:pt idx="55">
                  <c:v>0.56608639587362997</c:v>
                </c:pt>
                <c:pt idx="56">
                  <c:v>0.57593733363753896</c:v>
                </c:pt>
                <c:pt idx="57">
                  <c:v>0.58581241413762952</c:v>
                </c:pt>
                <c:pt idx="58">
                  <c:v>0.59654662062160824</c:v>
                </c:pt>
                <c:pt idx="59">
                  <c:v>0.60606792015640465</c:v>
                </c:pt>
                <c:pt idx="60">
                  <c:v>0.61404133153012075</c:v>
                </c:pt>
                <c:pt idx="61">
                  <c:v>0.62150834718677561</c:v>
                </c:pt>
                <c:pt idx="62">
                  <c:v>0.6327512022272842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F0-4F41-969F-E79BD3075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650943"/>
        <c:axId val="2142653855"/>
      </c:scatterChart>
      <c:valAx>
        <c:axId val="2142650943"/>
        <c:scaling>
          <c:orientation val="minMax"/>
          <c:max val="2020"/>
          <c:min val="19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653855"/>
        <c:crosses val="autoZero"/>
        <c:crossBetween val="midCat"/>
      </c:valAx>
      <c:valAx>
        <c:axId val="214265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650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  <a:effectLst/>
              </a:rPr>
              <a:t>% Females in academia &amp; the whole profession in Germany</a:t>
            </a:r>
            <a:endParaRPr lang="en-US" b="1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25462962962962965"/>
          <c:w val="0.87122462817147861"/>
          <c:h val="0.51760061242344713"/>
        </c:manualLayout>
      </c:layout>
      <c:scatterChart>
        <c:scatterStyle val="lineMarker"/>
        <c:varyColors val="0"/>
        <c:ser>
          <c:idx val="0"/>
          <c:order val="0"/>
          <c:tx>
            <c:v>total % females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'Master Data (old)'!$A$83:$A$92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xVal>
          <c:yVal>
            <c:numRef>
              <c:f>'Master Data (old)'!$CB$84:$CB$92</c:f>
              <c:numCache>
                <c:formatCode>General</c:formatCode>
                <c:ptCount val="9"/>
                <c:pt idx="0">
                  <c:v>0.55529584788717601</c:v>
                </c:pt>
                <c:pt idx="1">
                  <c:v>0.56608639587362997</c:v>
                </c:pt>
                <c:pt idx="2">
                  <c:v>0.57593733363753896</c:v>
                </c:pt>
                <c:pt idx="3">
                  <c:v>0.58581241413762952</c:v>
                </c:pt>
                <c:pt idx="4">
                  <c:v>0.59654662062160824</c:v>
                </c:pt>
                <c:pt idx="5">
                  <c:v>0.60606792015640465</c:v>
                </c:pt>
                <c:pt idx="6">
                  <c:v>0.61404133153012075</c:v>
                </c:pt>
                <c:pt idx="7">
                  <c:v>0.62150834718677561</c:v>
                </c:pt>
                <c:pt idx="8">
                  <c:v>0.6327512022272842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B8-407A-BD59-ACA00F78A825}"/>
            </c:ext>
          </c:extLst>
        </c:ser>
        <c:ser>
          <c:idx val="1"/>
          <c:order val="1"/>
          <c:tx>
            <c:v>% females in academia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'Master Data (old)'!$A$84:$A$92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xVal>
          <c:yVal>
            <c:numRef>
              <c:f>'Master Data (old)'!$CF$84:$CF$92</c:f>
              <c:numCache>
                <c:formatCode>General</c:formatCode>
                <c:ptCount val="9"/>
                <c:pt idx="0">
                  <c:v>0.64982110912343471</c:v>
                </c:pt>
                <c:pt idx="2">
                  <c:v>0.65912117177097207</c:v>
                </c:pt>
                <c:pt idx="3">
                  <c:v>0.71732652192422308</c:v>
                </c:pt>
                <c:pt idx="4">
                  <c:v>0.6785243741765481</c:v>
                </c:pt>
                <c:pt idx="5">
                  <c:v>0.6867157074859368</c:v>
                </c:pt>
                <c:pt idx="6">
                  <c:v>0.69282700421940924</c:v>
                </c:pt>
                <c:pt idx="7">
                  <c:v>0.71548672566371685</c:v>
                </c:pt>
                <c:pt idx="8">
                  <c:v>0.72182786157941436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B8-407A-BD59-ACA00F78A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559983"/>
        <c:axId val="2021560815"/>
      </c:scatterChart>
      <c:valAx>
        <c:axId val="2021559983"/>
        <c:scaling>
          <c:orientation val="minMax"/>
          <c:max val="2020"/>
          <c:min val="201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560815"/>
        <c:crosses val="autoZero"/>
        <c:crossBetween val="midCat"/>
      </c:valAx>
      <c:valAx>
        <c:axId val="2021560815"/>
        <c:scaling>
          <c:orientation val="minMax"/>
          <c:min val="0.5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55998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9.1593613298337706E-2"/>
          <c:y val="0.92187445319335082"/>
          <c:w val="0.87117672790901146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  <a:effectLst/>
              </a:rPr>
              <a:t>% Female US Veterinary Professionals &amp; Students</a:t>
            </a:r>
            <a:endParaRPr lang="en-US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0.102354111986001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900481189851273E-2"/>
          <c:y val="0.30532407407407414"/>
          <c:w val="0.8469884076990376"/>
          <c:h val="0.49063247302420532"/>
        </c:manualLayout>
      </c:layout>
      <c:scatterChart>
        <c:scatterStyle val="lineMarker"/>
        <c:varyColors val="0"/>
        <c:ser>
          <c:idx val="0"/>
          <c:order val="0"/>
          <c:tx>
            <c:v>Students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'Master Data (old)'!$A$40:$A$92</c:f>
              <c:numCache>
                <c:formatCode>General</c:formatCode>
                <c:ptCount val="53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</c:numCache>
            </c:numRef>
          </c:xVal>
          <c:yVal>
            <c:numRef>
              <c:f>'Master Data (old)'!$L$40:$L$92</c:f>
              <c:numCache>
                <c:formatCode>General</c:formatCode>
                <c:ptCount val="53"/>
                <c:pt idx="0" formatCode="0%">
                  <c:v>0.09</c:v>
                </c:pt>
                <c:pt idx="7" formatCode="0.00%">
                  <c:v>0.24399999999999999</c:v>
                </c:pt>
                <c:pt idx="10" formatCode="0.0%">
                  <c:v>0.30841663045052875</c:v>
                </c:pt>
                <c:pt idx="11" formatCode="0.0%">
                  <c:v>0.33793763676148797</c:v>
                </c:pt>
                <c:pt idx="12" formatCode="0.0%">
                  <c:v>0.36021121735407452</c:v>
                </c:pt>
                <c:pt idx="13" formatCode="0.0%">
                  <c:v>0.38800000000000001</c:v>
                </c:pt>
                <c:pt idx="14" formatCode="0.0%">
                  <c:v>0.4176442422791477</c:v>
                </c:pt>
                <c:pt idx="15" formatCode="0.0%">
                  <c:v>0.45784381478921909</c:v>
                </c:pt>
                <c:pt idx="16" formatCode="0.0%">
                  <c:v>0.47096188747731399</c:v>
                </c:pt>
                <c:pt idx="17" formatCode="0.0%">
                  <c:v>0.48895368397443084</c:v>
                </c:pt>
                <c:pt idx="18" formatCode="0.0%">
                  <c:v>0.49481748535376296</c:v>
                </c:pt>
                <c:pt idx="19" formatCode="0.0%">
                  <c:v>0.53031148822150276</c:v>
                </c:pt>
                <c:pt idx="20" formatCode="0.0%">
                  <c:v>0.55112219451371569</c:v>
                </c:pt>
                <c:pt idx="21" formatCode="0.0%">
                  <c:v>0.57311429893567789</c:v>
                </c:pt>
                <c:pt idx="22" formatCode="0.0%">
                  <c:v>0.61047145800509028</c:v>
                </c:pt>
                <c:pt idx="23" formatCode="0.0%">
                  <c:v>0.60118764845605699</c:v>
                </c:pt>
                <c:pt idx="24" formatCode="0.0%">
                  <c:v>0.62075091792017056</c:v>
                </c:pt>
                <c:pt idx="25" formatCode="0.0%">
                  <c:v>0.63850254983773758</c:v>
                </c:pt>
                <c:pt idx="26" formatCode="0.0%">
                  <c:v>0.64824063564131673</c:v>
                </c:pt>
                <c:pt idx="27" formatCode="0.0%">
                  <c:v>0.65889014722536809</c:v>
                </c:pt>
                <c:pt idx="28" formatCode="0.0%">
                  <c:v>0.66367254121660035</c:v>
                </c:pt>
                <c:pt idx="29" formatCode="0.0%">
                  <c:v>0.66872543514879279</c:v>
                </c:pt>
                <c:pt idx="30" formatCode="0.0%">
                  <c:v>0.67879870492352345</c:v>
                </c:pt>
                <c:pt idx="31" formatCode="0.0%">
                  <c:v>0.69574397155239476</c:v>
                </c:pt>
                <c:pt idx="32" formatCode="0.0%">
                  <c:v>0.70444272957777532</c:v>
                </c:pt>
                <c:pt idx="33" formatCode="0.0%">
                  <c:v>0.71747945205479458</c:v>
                </c:pt>
                <c:pt idx="34" formatCode="0.0%">
                  <c:v>0.73167823070251514</c:v>
                </c:pt>
                <c:pt idx="35" formatCode="0.0%">
                  <c:v>0.74736955121322735</c:v>
                </c:pt>
                <c:pt idx="36" formatCode="0.0%">
                  <c:v>0.74739667203435323</c:v>
                </c:pt>
                <c:pt idx="37" formatCode="0.0%">
                  <c:v>0.76836797694998971</c:v>
                </c:pt>
                <c:pt idx="38" formatCode="0.0%">
                  <c:v>0.77842331964339373</c:v>
                </c:pt>
                <c:pt idx="39" formatCode="0.0%">
                  <c:v>0.77735368956743001</c:v>
                </c:pt>
                <c:pt idx="40" formatCode="0.0%">
                  <c:v>0.77463697967086154</c:v>
                </c:pt>
                <c:pt idx="41" formatCode="0.0%">
                  <c:v>0.77561300133054556</c:v>
                </c:pt>
                <c:pt idx="42" formatCode="0.0%">
                  <c:v>0.775310254735467</c:v>
                </c:pt>
                <c:pt idx="43" formatCode="0.0%">
                  <c:v>0.77909738717339672</c:v>
                </c:pt>
                <c:pt idx="44" formatCode="0.0%">
                  <c:v>0.77447568049977689</c:v>
                </c:pt>
                <c:pt idx="45" formatCode="0.0%">
                  <c:v>0.78608786610878656</c:v>
                </c:pt>
                <c:pt idx="46" formatCode="0.0%">
                  <c:v>0.79625151148730355</c:v>
                </c:pt>
                <c:pt idx="47" formatCode="0.0%">
                  <c:v>0.79152884227511089</c:v>
                </c:pt>
                <c:pt idx="48" formatCode="0.0%">
                  <c:v>0.80034956701358539</c:v>
                </c:pt>
                <c:pt idx="49" formatCode="0.0%">
                  <c:v>0.80513784461152882</c:v>
                </c:pt>
                <c:pt idx="50" formatCode="0.0%">
                  <c:v>0.80497190795043483</c:v>
                </c:pt>
                <c:pt idx="51" formatCode="0.0%">
                  <c:v>0.81499999999999995</c:v>
                </c:pt>
                <c:pt idx="52" formatCode="0.0%">
                  <c:v>0.81799999999999995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65-48B9-A6CA-5FB0086CBC5E}"/>
            </c:ext>
          </c:extLst>
        </c:ser>
        <c:ser>
          <c:idx val="1"/>
          <c:order val="1"/>
          <c:tx>
            <c:v>Professionals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'Master Data (old)'!$A$42:$A$92</c:f>
              <c:numCache>
                <c:formatCode>General</c:formatCode>
                <c:ptCount val="5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</c:numCache>
            </c:numRef>
          </c:xVal>
          <c:yVal>
            <c:numRef>
              <c:f>'Master Data (old)'!$D$42:$D$92</c:f>
              <c:numCache>
                <c:formatCode>General</c:formatCode>
                <c:ptCount val="51"/>
                <c:pt idx="0" formatCode="0.00%">
                  <c:v>5.0999999999999997E-2</c:v>
                </c:pt>
                <c:pt idx="10" formatCode="0.00%">
                  <c:v>9.9000000000000005E-2</c:v>
                </c:pt>
                <c:pt idx="16" formatCode="0%">
                  <c:v>0.16</c:v>
                </c:pt>
                <c:pt idx="20" formatCode="0.00%">
                  <c:v>0.25600000000000001</c:v>
                </c:pt>
                <c:pt idx="25" formatCode="0.00%">
                  <c:v>0.32700000000000001</c:v>
                </c:pt>
                <c:pt idx="29" formatCode="0.00%">
                  <c:v>0.435</c:v>
                </c:pt>
                <c:pt idx="37" formatCode="0.00%">
                  <c:v>0.48410366654723502</c:v>
                </c:pt>
                <c:pt idx="38" formatCode="0.00%">
                  <c:v>0.496528141247078</c:v>
                </c:pt>
                <c:pt idx="39" formatCode="0.00%">
                  <c:v>0.50912520739107703</c:v>
                </c:pt>
                <c:pt idx="40" formatCode="0.00%">
                  <c:v>0.520969834037317</c:v>
                </c:pt>
                <c:pt idx="41" formatCode="0.00%">
                  <c:v>0.53327498460241796</c:v>
                </c:pt>
                <c:pt idx="42" formatCode="0.00%">
                  <c:v>0.54068025249456797</c:v>
                </c:pt>
                <c:pt idx="43" formatCode="0.00%">
                  <c:v>0.55408142799839599</c:v>
                </c:pt>
                <c:pt idx="44" formatCode="0.00%">
                  <c:v>0.56683855999532096</c:v>
                </c:pt>
                <c:pt idx="45" formatCode="0.00%">
                  <c:v>0.57886444313673402</c:v>
                </c:pt>
                <c:pt idx="46" formatCode="0.00%">
                  <c:v>0.59129589332839505</c:v>
                </c:pt>
                <c:pt idx="47" formatCode="0.00%">
                  <c:v>0.60373107996851605</c:v>
                </c:pt>
                <c:pt idx="48" formatCode="0.00%">
                  <c:v>0.61650528246644398</c:v>
                </c:pt>
                <c:pt idx="49" formatCode="0.00%">
                  <c:v>0.62819684557803801</c:v>
                </c:pt>
                <c:pt idx="50" formatCode="0.00%">
                  <c:v>0.63983679525222503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65-48B9-A6CA-5FB0086CB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866527"/>
        <c:axId val="1603867359"/>
      </c:scatterChart>
      <c:valAx>
        <c:axId val="1603866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867359"/>
        <c:crosses val="autoZero"/>
        <c:crossBetween val="midCat"/>
      </c:valAx>
      <c:valAx>
        <c:axId val="160386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866527"/>
        <c:crosses val="autoZero"/>
        <c:crossBetween val="midCat"/>
      </c:valAx>
      <c:spPr>
        <a:noFill/>
        <a:ln w="9525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% Women of</a:t>
            </a:r>
            <a:r>
              <a:rPr lang="en-US" b="1" baseline="0">
                <a:solidFill>
                  <a:sysClr val="windowText" lastClr="000000"/>
                </a:solidFill>
              </a:rPr>
              <a:t> t</a:t>
            </a:r>
            <a:r>
              <a:rPr lang="en-US" b="1">
                <a:solidFill>
                  <a:sysClr val="windowText" lastClr="000000"/>
                </a:solidFill>
              </a:rPr>
              <a:t>otal</a:t>
            </a:r>
            <a:r>
              <a:rPr lang="en-US" b="1" baseline="0">
                <a:solidFill>
                  <a:sysClr val="windowText" lastClr="000000"/>
                </a:solidFill>
              </a:rPr>
              <a:t> and entering Norwegian veterinary students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Women entering students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'Master Data (old)'!$A$7:$A$94</c:f>
              <c:numCache>
                <c:formatCode>General</c:formatCode>
                <c:ptCount val="88"/>
                <c:pt idx="0">
                  <c:v>1935</c:v>
                </c:pt>
                <c:pt idx="1">
                  <c:v>1936</c:v>
                </c:pt>
                <c:pt idx="2">
                  <c:v>1937</c:v>
                </c:pt>
                <c:pt idx="3">
                  <c:v>1938</c:v>
                </c:pt>
                <c:pt idx="4">
                  <c:v>1939</c:v>
                </c:pt>
                <c:pt idx="5">
                  <c:v>1940</c:v>
                </c:pt>
                <c:pt idx="6">
                  <c:v>1941</c:v>
                </c:pt>
                <c:pt idx="7">
                  <c:v>1942</c:v>
                </c:pt>
                <c:pt idx="8">
                  <c:v>1943</c:v>
                </c:pt>
                <c:pt idx="9">
                  <c:v>1944</c:v>
                </c:pt>
                <c:pt idx="10">
                  <c:v>1945</c:v>
                </c:pt>
                <c:pt idx="11">
                  <c:v>1946</c:v>
                </c:pt>
                <c:pt idx="12">
                  <c:v>1947</c:v>
                </c:pt>
                <c:pt idx="13">
                  <c:v>1948</c:v>
                </c:pt>
                <c:pt idx="14">
                  <c:v>1949</c:v>
                </c:pt>
                <c:pt idx="15">
                  <c:v>1950</c:v>
                </c:pt>
                <c:pt idx="16">
                  <c:v>1951</c:v>
                </c:pt>
                <c:pt idx="17">
                  <c:v>1952</c:v>
                </c:pt>
                <c:pt idx="18">
                  <c:v>1953</c:v>
                </c:pt>
                <c:pt idx="19">
                  <c:v>1954</c:v>
                </c:pt>
                <c:pt idx="20">
                  <c:v>1955</c:v>
                </c:pt>
                <c:pt idx="21">
                  <c:v>1956</c:v>
                </c:pt>
                <c:pt idx="22">
                  <c:v>1957</c:v>
                </c:pt>
                <c:pt idx="23">
                  <c:v>1958</c:v>
                </c:pt>
                <c:pt idx="24">
                  <c:v>1959</c:v>
                </c:pt>
                <c:pt idx="25">
                  <c:v>1960</c:v>
                </c:pt>
                <c:pt idx="26">
                  <c:v>1961</c:v>
                </c:pt>
                <c:pt idx="27">
                  <c:v>1962</c:v>
                </c:pt>
                <c:pt idx="28">
                  <c:v>1963</c:v>
                </c:pt>
                <c:pt idx="29">
                  <c:v>1964</c:v>
                </c:pt>
                <c:pt idx="30">
                  <c:v>1965</c:v>
                </c:pt>
                <c:pt idx="31">
                  <c:v>1966</c:v>
                </c:pt>
                <c:pt idx="32">
                  <c:v>1967</c:v>
                </c:pt>
                <c:pt idx="33">
                  <c:v>1968</c:v>
                </c:pt>
                <c:pt idx="34">
                  <c:v>1969</c:v>
                </c:pt>
                <c:pt idx="35">
                  <c:v>1970</c:v>
                </c:pt>
                <c:pt idx="36">
                  <c:v>1971</c:v>
                </c:pt>
                <c:pt idx="37">
                  <c:v>1972</c:v>
                </c:pt>
                <c:pt idx="38">
                  <c:v>1973</c:v>
                </c:pt>
                <c:pt idx="39">
                  <c:v>1974</c:v>
                </c:pt>
                <c:pt idx="40">
                  <c:v>1975</c:v>
                </c:pt>
                <c:pt idx="41">
                  <c:v>1976</c:v>
                </c:pt>
                <c:pt idx="42">
                  <c:v>1977</c:v>
                </c:pt>
                <c:pt idx="43">
                  <c:v>1978</c:v>
                </c:pt>
                <c:pt idx="44">
                  <c:v>1979</c:v>
                </c:pt>
                <c:pt idx="45">
                  <c:v>1980</c:v>
                </c:pt>
                <c:pt idx="46">
                  <c:v>1981</c:v>
                </c:pt>
                <c:pt idx="47">
                  <c:v>1982</c:v>
                </c:pt>
                <c:pt idx="48">
                  <c:v>1983</c:v>
                </c:pt>
                <c:pt idx="49">
                  <c:v>1984</c:v>
                </c:pt>
                <c:pt idx="50">
                  <c:v>1985</c:v>
                </c:pt>
                <c:pt idx="51">
                  <c:v>1986</c:v>
                </c:pt>
                <c:pt idx="52">
                  <c:v>1987</c:v>
                </c:pt>
                <c:pt idx="53">
                  <c:v>1988</c:v>
                </c:pt>
                <c:pt idx="54">
                  <c:v>1989</c:v>
                </c:pt>
                <c:pt idx="55">
                  <c:v>1990</c:v>
                </c:pt>
                <c:pt idx="56">
                  <c:v>1991</c:v>
                </c:pt>
                <c:pt idx="57">
                  <c:v>1992</c:v>
                </c:pt>
                <c:pt idx="58">
                  <c:v>1993</c:v>
                </c:pt>
                <c:pt idx="59">
                  <c:v>1994</c:v>
                </c:pt>
                <c:pt idx="60">
                  <c:v>1995</c:v>
                </c:pt>
                <c:pt idx="61">
                  <c:v>1996</c:v>
                </c:pt>
                <c:pt idx="62">
                  <c:v>1997</c:v>
                </c:pt>
                <c:pt idx="63">
                  <c:v>1998</c:v>
                </c:pt>
                <c:pt idx="64">
                  <c:v>1999</c:v>
                </c:pt>
                <c:pt idx="65">
                  <c:v>2000</c:v>
                </c:pt>
                <c:pt idx="66">
                  <c:v>2001</c:v>
                </c:pt>
                <c:pt idx="67">
                  <c:v>2002</c:v>
                </c:pt>
                <c:pt idx="68">
                  <c:v>2003</c:v>
                </c:pt>
                <c:pt idx="69">
                  <c:v>2004</c:v>
                </c:pt>
                <c:pt idx="70">
                  <c:v>2005</c:v>
                </c:pt>
                <c:pt idx="71">
                  <c:v>2006</c:v>
                </c:pt>
                <c:pt idx="72">
                  <c:v>2007</c:v>
                </c:pt>
                <c:pt idx="73">
                  <c:v>2008</c:v>
                </c:pt>
                <c:pt idx="74">
                  <c:v>2009</c:v>
                </c:pt>
                <c:pt idx="75">
                  <c:v>2010</c:v>
                </c:pt>
                <c:pt idx="76">
                  <c:v>2011</c:v>
                </c:pt>
                <c:pt idx="77">
                  <c:v>2012</c:v>
                </c:pt>
                <c:pt idx="78">
                  <c:v>2013</c:v>
                </c:pt>
                <c:pt idx="79">
                  <c:v>2014</c:v>
                </c:pt>
                <c:pt idx="80">
                  <c:v>2015</c:v>
                </c:pt>
                <c:pt idx="81">
                  <c:v>2016</c:v>
                </c:pt>
                <c:pt idx="82">
                  <c:v>2017</c:v>
                </c:pt>
                <c:pt idx="83">
                  <c:v>2018</c:v>
                </c:pt>
                <c:pt idx="84">
                  <c:v>2019</c:v>
                </c:pt>
                <c:pt idx="85">
                  <c:v>2020</c:v>
                </c:pt>
                <c:pt idx="86">
                  <c:v>2021</c:v>
                </c:pt>
                <c:pt idx="87">
                  <c:v>2030</c:v>
                </c:pt>
              </c:numCache>
            </c:numRef>
          </c:xVal>
          <c:yVal>
            <c:numRef>
              <c:f>'Master Data (old)'!$FH$7:$FH$94</c:f>
              <c:numCache>
                <c:formatCode>0.0%</c:formatCode>
                <c:ptCount val="88"/>
                <c:pt idx="0">
                  <c:v>0</c:v>
                </c:pt>
                <c:pt idx="34">
                  <c:v>0.25</c:v>
                </c:pt>
                <c:pt idx="44">
                  <c:v>0.5</c:v>
                </c:pt>
                <c:pt idx="68">
                  <c:v>0.88888888888888884</c:v>
                </c:pt>
                <c:pt idx="69">
                  <c:v>0.68421052631578949</c:v>
                </c:pt>
                <c:pt idx="72">
                  <c:v>0.66666666666666663</c:v>
                </c:pt>
                <c:pt idx="82" formatCode="0%">
                  <c:v>0.93</c:v>
                </c:pt>
                <c:pt idx="85">
                  <c:v>0.79220779220779225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B0-4749-827A-EDE71C4432A5}"/>
            </c:ext>
          </c:extLst>
        </c:ser>
        <c:ser>
          <c:idx val="1"/>
          <c:order val="1"/>
          <c:tx>
            <c:v>% Women total students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'Master Data (old)'!$A$7:$A$94</c:f>
              <c:numCache>
                <c:formatCode>General</c:formatCode>
                <c:ptCount val="88"/>
                <c:pt idx="0">
                  <c:v>1935</c:v>
                </c:pt>
                <c:pt idx="1">
                  <c:v>1936</c:v>
                </c:pt>
                <c:pt idx="2">
                  <c:v>1937</c:v>
                </c:pt>
                <c:pt idx="3">
                  <c:v>1938</c:v>
                </c:pt>
                <c:pt idx="4">
                  <c:v>1939</c:v>
                </c:pt>
                <c:pt idx="5">
                  <c:v>1940</c:v>
                </c:pt>
                <c:pt idx="6">
                  <c:v>1941</c:v>
                </c:pt>
                <c:pt idx="7">
                  <c:v>1942</c:v>
                </c:pt>
                <c:pt idx="8">
                  <c:v>1943</c:v>
                </c:pt>
                <c:pt idx="9">
                  <c:v>1944</c:v>
                </c:pt>
                <c:pt idx="10">
                  <c:v>1945</c:v>
                </c:pt>
                <c:pt idx="11">
                  <c:v>1946</c:v>
                </c:pt>
                <c:pt idx="12">
                  <c:v>1947</c:v>
                </c:pt>
                <c:pt idx="13">
                  <c:v>1948</c:v>
                </c:pt>
                <c:pt idx="14">
                  <c:v>1949</c:v>
                </c:pt>
                <c:pt idx="15">
                  <c:v>1950</c:v>
                </c:pt>
                <c:pt idx="16">
                  <c:v>1951</c:v>
                </c:pt>
                <c:pt idx="17">
                  <c:v>1952</c:v>
                </c:pt>
                <c:pt idx="18">
                  <c:v>1953</c:v>
                </c:pt>
                <c:pt idx="19">
                  <c:v>1954</c:v>
                </c:pt>
                <c:pt idx="20">
                  <c:v>1955</c:v>
                </c:pt>
                <c:pt idx="21">
                  <c:v>1956</c:v>
                </c:pt>
                <c:pt idx="22">
                  <c:v>1957</c:v>
                </c:pt>
                <c:pt idx="23">
                  <c:v>1958</c:v>
                </c:pt>
                <c:pt idx="24">
                  <c:v>1959</c:v>
                </c:pt>
                <c:pt idx="25">
                  <c:v>1960</c:v>
                </c:pt>
                <c:pt idx="26">
                  <c:v>1961</c:v>
                </c:pt>
                <c:pt idx="27">
                  <c:v>1962</c:v>
                </c:pt>
                <c:pt idx="28">
                  <c:v>1963</c:v>
                </c:pt>
                <c:pt idx="29">
                  <c:v>1964</c:v>
                </c:pt>
                <c:pt idx="30">
                  <c:v>1965</c:v>
                </c:pt>
                <c:pt idx="31">
                  <c:v>1966</c:v>
                </c:pt>
                <c:pt idx="32">
                  <c:v>1967</c:v>
                </c:pt>
                <c:pt idx="33">
                  <c:v>1968</c:v>
                </c:pt>
                <c:pt idx="34">
                  <c:v>1969</c:v>
                </c:pt>
                <c:pt idx="35">
                  <c:v>1970</c:v>
                </c:pt>
                <c:pt idx="36">
                  <c:v>1971</c:v>
                </c:pt>
                <c:pt idx="37">
                  <c:v>1972</c:v>
                </c:pt>
                <c:pt idx="38">
                  <c:v>1973</c:v>
                </c:pt>
                <c:pt idx="39">
                  <c:v>1974</c:v>
                </c:pt>
                <c:pt idx="40">
                  <c:v>1975</c:v>
                </c:pt>
                <c:pt idx="41">
                  <c:v>1976</c:v>
                </c:pt>
                <c:pt idx="42">
                  <c:v>1977</c:v>
                </c:pt>
                <c:pt idx="43">
                  <c:v>1978</c:v>
                </c:pt>
                <c:pt idx="44">
                  <c:v>1979</c:v>
                </c:pt>
                <c:pt idx="45">
                  <c:v>1980</c:v>
                </c:pt>
                <c:pt idx="46">
                  <c:v>1981</c:v>
                </c:pt>
                <c:pt idx="47">
                  <c:v>1982</c:v>
                </c:pt>
                <c:pt idx="48">
                  <c:v>1983</c:v>
                </c:pt>
                <c:pt idx="49">
                  <c:v>1984</c:v>
                </c:pt>
                <c:pt idx="50">
                  <c:v>1985</c:v>
                </c:pt>
                <c:pt idx="51">
                  <c:v>1986</c:v>
                </c:pt>
                <c:pt idx="52">
                  <c:v>1987</c:v>
                </c:pt>
                <c:pt idx="53">
                  <c:v>1988</c:v>
                </c:pt>
                <c:pt idx="54">
                  <c:v>1989</c:v>
                </c:pt>
                <c:pt idx="55">
                  <c:v>1990</c:v>
                </c:pt>
                <c:pt idx="56">
                  <c:v>1991</c:v>
                </c:pt>
                <c:pt idx="57">
                  <c:v>1992</c:v>
                </c:pt>
                <c:pt idx="58">
                  <c:v>1993</c:v>
                </c:pt>
                <c:pt idx="59">
                  <c:v>1994</c:v>
                </c:pt>
                <c:pt idx="60">
                  <c:v>1995</c:v>
                </c:pt>
                <c:pt idx="61">
                  <c:v>1996</c:v>
                </c:pt>
                <c:pt idx="62">
                  <c:v>1997</c:v>
                </c:pt>
                <c:pt idx="63">
                  <c:v>1998</c:v>
                </c:pt>
                <c:pt idx="64">
                  <c:v>1999</c:v>
                </c:pt>
                <c:pt idx="65">
                  <c:v>2000</c:v>
                </c:pt>
                <c:pt idx="66">
                  <c:v>2001</c:v>
                </c:pt>
                <c:pt idx="67">
                  <c:v>2002</c:v>
                </c:pt>
                <c:pt idx="68">
                  <c:v>2003</c:v>
                </c:pt>
                <c:pt idx="69">
                  <c:v>2004</c:v>
                </c:pt>
                <c:pt idx="70">
                  <c:v>2005</c:v>
                </c:pt>
                <c:pt idx="71">
                  <c:v>2006</c:v>
                </c:pt>
                <c:pt idx="72">
                  <c:v>2007</c:v>
                </c:pt>
                <c:pt idx="73">
                  <c:v>2008</c:v>
                </c:pt>
                <c:pt idx="74">
                  <c:v>2009</c:v>
                </c:pt>
                <c:pt idx="75">
                  <c:v>2010</c:v>
                </c:pt>
                <c:pt idx="76">
                  <c:v>2011</c:v>
                </c:pt>
                <c:pt idx="77">
                  <c:v>2012</c:v>
                </c:pt>
                <c:pt idx="78">
                  <c:v>2013</c:v>
                </c:pt>
                <c:pt idx="79">
                  <c:v>2014</c:v>
                </c:pt>
                <c:pt idx="80">
                  <c:v>2015</c:v>
                </c:pt>
                <c:pt idx="81">
                  <c:v>2016</c:v>
                </c:pt>
                <c:pt idx="82">
                  <c:v>2017</c:v>
                </c:pt>
                <c:pt idx="83">
                  <c:v>2018</c:v>
                </c:pt>
                <c:pt idx="84">
                  <c:v>2019</c:v>
                </c:pt>
                <c:pt idx="85">
                  <c:v>2020</c:v>
                </c:pt>
                <c:pt idx="86">
                  <c:v>2021</c:v>
                </c:pt>
                <c:pt idx="87">
                  <c:v>2030</c:v>
                </c:pt>
              </c:numCache>
            </c:numRef>
          </c:xVal>
          <c:yVal>
            <c:numRef>
              <c:f>'Master Data (old)'!$FK$7:$FK$94</c:f>
              <c:numCache>
                <c:formatCode>0.0%</c:formatCode>
                <c:ptCount val="88"/>
                <c:pt idx="35">
                  <c:v>0.25</c:v>
                </c:pt>
                <c:pt idx="55">
                  <c:v>0.7</c:v>
                </c:pt>
                <c:pt idx="72">
                  <c:v>0.875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B0-4749-827A-EDE71C443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792127"/>
        <c:axId val="1409797951"/>
      </c:scatterChart>
      <c:valAx>
        <c:axId val="1409792127"/>
        <c:scaling>
          <c:orientation val="minMax"/>
          <c:max val="2020"/>
          <c:min val="193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797951"/>
        <c:crosses val="autoZero"/>
        <c:crossBetween val="midCat"/>
      </c:valAx>
      <c:valAx>
        <c:axId val="140979795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79212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Average % women among veterinary</a:t>
            </a:r>
            <a:r>
              <a:rPr lang="en-US" b="1" baseline="0">
                <a:solidFill>
                  <a:sysClr val="windowText" lastClr="000000"/>
                </a:solidFill>
              </a:rPr>
              <a:t> students</a:t>
            </a:r>
            <a:r>
              <a:rPr lang="en-US" sz="1400" b="1" i="0" u="none" strike="noStrike" kern="1200" spc="0" baseline="0">
                <a:solidFill>
                  <a:sysClr val="windowText" lastClr="000000"/>
                </a:solidFill>
              </a:rPr>
              <a:t> by WOAH region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stu!$AM$2</c:f>
              <c:strCache>
                <c:ptCount val="1"/>
                <c:pt idx="0">
                  <c:v>Americas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stu!$A$3:$A$94</c:f>
              <c:numCache>
                <c:formatCode>General</c:formatCode>
                <c:ptCount val="92"/>
                <c:pt idx="0">
                  <c:v>1933</c:v>
                </c:pt>
                <c:pt idx="1">
                  <c:v>1934</c:v>
                </c:pt>
                <c:pt idx="2">
                  <c:v>1935</c:v>
                </c:pt>
                <c:pt idx="3">
                  <c:v>1936</c:v>
                </c:pt>
                <c:pt idx="4">
                  <c:v>1937</c:v>
                </c:pt>
                <c:pt idx="5">
                  <c:v>1938</c:v>
                </c:pt>
                <c:pt idx="6">
                  <c:v>1939</c:v>
                </c:pt>
                <c:pt idx="7">
                  <c:v>1940</c:v>
                </c:pt>
                <c:pt idx="8">
                  <c:v>1941</c:v>
                </c:pt>
                <c:pt idx="9">
                  <c:v>1942</c:v>
                </c:pt>
                <c:pt idx="10">
                  <c:v>1943</c:v>
                </c:pt>
                <c:pt idx="11">
                  <c:v>1944</c:v>
                </c:pt>
                <c:pt idx="12">
                  <c:v>1945</c:v>
                </c:pt>
                <c:pt idx="13">
                  <c:v>1946</c:v>
                </c:pt>
                <c:pt idx="14">
                  <c:v>1947</c:v>
                </c:pt>
                <c:pt idx="15">
                  <c:v>1948</c:v>
                </c:pt>
                <c:pt idx="16">
                  <c:v>1949</c:v>
                </c:pt>
                <c:pt idx="17">
                  <c:v>1950</c:v>
                </c:pt>
                <c:pt idx="18">
                  <c:v>1951</c:v>
                </c:pt>
                <c:pt idx="19">
                  <c:v>1952</c:v>
                </c:pt>
                <c:pt idx="20">
                  <c:v>1953</c:v>
                </c:pt>
                <c:pt idx="21">
                  <c:v>1954</c:v>
                </c:pt>
                <c:pt idx="22">
                  <c:v>1955</c:v>
                </c:pt>
                <c:pt idx="23">
                  <c:v>1956</c:v>
                </c:pt>
                <c:pt idx="24">
                  <c:v>1957</c:v>
                </c:pt>
                <c:pt idx="25">
                  <c:v>1958</c:v>
                </c:pt>
                <c:pt idx="26">
                  <c:v>1959</c:v>
                </c:pt>
                <c:pt idx="27">
                  <c:v>1960</c:v>
                </c:pt>
                <c:pt idx="28">
                  <c:v>1961</c:v>
                </c:pt>
                <c:pt idx="29">
                  <c:v>1962</c:v>
                </c:pt>
                <c:pt idx="30">
                  <c:v>1963</c:v>
                </c:pt>
                <c:pt idx="31">
                  <c:v>1964</c:v>
                </c:pt>
                <c:pt idx="32">
                  <c:v>1965</c:v>
                </c:pt>
                <c:pt idx="33">
                  <c:v>1966</c:v>
                </c:pt>
                <c:pt idx="34">
                  <c:v>1967</c:v>
                </c:pt>
                <c:pt idx="35">
                  <c:v>1968</c:v>
                </c:pt>
                <c:pt idx="36">
                  <c:v>1969</c:v>
                </c:pt>
                <c:pt idx="37">
                  <c:v>1970</c:v>
                </c:pt>
                <c:pt idx="38">
                  <c:v>1971</c:v>
                </c:pt>
                <c:pt idx="39">
                  <c:v>1972</c:v>
                </c:pt>
                <c:pt idx="40">
                  <c:v>1973</c:v>
                </c:pt>
                <c:pt idx="41">
                  <c:v>1974</c:v>
                </c:pt>
                <c:pt idx="42">
                  <c:v>1975</c:v>
                </c:pt>
                <c:pt idx="43">
                  <c:v>1976</c:v>
                </c:pt>
                <c:pt idx="44">
                  <c:v>1977</c:v>
                </c:pt>
                <c:pt idx="45">
                  <c:v>1978</c:v>
                </c:pt>
                <c:pt idx="46">
                  <c:v>1979</c:v>
                </c:pt>
                <c:pt idx="47">
                  <c:v>1980</c:v>
                </c:pt>
                <c:pt idx="48">
                  <c:v>1981</c:v>
                </c:pt>
                <c:pt idx="49">
                  <c:v>1982</c:v>
                </c:pt>
                <c:pt idx="50">
                  <c:v>1983</c:v>
                </c:pt>
                <c:pt idx="51">
                  <c:v>1984</c:v>
                </c:pt>
                <c:pt idx="52">
                  <c:v>1985</c:v>
                </c:pt>
                <c:pt idx="53">
                  <c:v>1986</c:v>
                </c:pt>
                <c:pt idx="54">
                  <c:v>1987</c:v>
                </c:pt>
                <c:pt idx="55">
                  <c:v>1988</c:v>
                </c:pt>
                <c:pt idx="56">
                  <c:v>1989</c:v>
                </c:pt>
                <c:pt idx="57">
                  <c:v>1990</c:v>
                </c:pt>
                <c:pt idx="58">
                  <c:v>1991</c:v>
                </c:pt>
                <c:pt idx="59">
                  <c:v>1992</c:v>
                </c:pt>
                <c:pt idx="60">
                  <c:v>1993</c:v>
                </c:pt>
                <c:pt idx="61">
                  <c:v>1994</c:v>
                </c:pt>
                <c:pt idx="62">
                  <c:v>1995</c:v>
                </c:pt>
                <c:pt idx="63">
                  <c:v>1996</c:v>
                </c:pt>
                <c:pt idx="64">
                  <c:v>1997</c:v>
                </c:pt>
                <c:pt idx="65">
                  <c:v>1998</c:v>
                </c:pt>
                <c:pt idx="66">
                  <c:v>1999</c:v>
                </c:pt>
                <c:pt idx="67">
                  <c:v>2000</c:v>
                </c:pt>
                <c:pt idx="68">
                  <c:v>2001</c:v>
                </c:pt>
                <c:pt idx="69">
                  <c:v>2002</c:v>
                </c:pt>
                <c:pt idx="70">
                  <c:v>2003</c:v>
                </c:pt>
                <c:pt idx="71">
                  <c:v>2004</c:v>
                </c:pt>
                <c:pt idx="72">
                  <c:v>2005</c:v>
                </c:pt>
                <c:pt idx="73">
                  <c:v>2006</c:v>
                </c:pt>
                <c:pt idx="74">
                  <c:v>2007</c:v>
                </c:pt>
                <c:pt idx="75">
                  <c:v>2008</c:v>
                </c:pt>
                <c:pt idx="76">
                  <c:v>2009</c:v>
                </c:pt>
                <c:pt idx="77">
                  <c:v>2010</c:v>
                </c:pt>
                <c:pt idx="78">
                  <c:v>2011</c:v>
                </c:pt>
                <c:pt idx="79">
                  <c:v>2012</c:v>
                </c:pt>
                <c:pt idx="80">
                  <c:v>2013</c:v>
                </c:pt>
                <c:pt idx="81">
                  <c:v>2014</c:v>
                </c:pt>
                <c:pt idx="82">
                  <c:v>2015</c:v>
                </c:pt>
                <c:pt idx="83">
                  <c:v>2016</c:v>
                </c:pt>
                <c:pt idx="84">
                  <c:v>2017</c:v>
                </c:pt>
                <c:pt idx="85">
                  <c:v>2018</c:v>
                </c:pt>
                <c:pt idx="86">
                  <c:v>2019</c:v>
                </c:pt>
                <c:pt idx="87">
                  <c:v>2020</c:v>
                </c:pt>
                <c:pt idx="88">
                  <c:v>2021</c:v>
                </c:pt>
                <c:pt idx="89">
                  <c:v>2022</c:v>
                </c:pt>
                <c:pt idx="90">
                  <c:v>2023</c:v>
                </c:pt>
                <c:pt idx="91">
                  <c:v>2024</c:v>
                </c:pt>
              </c:numCache>
            </c:numRef>
          </c:xVal>
          <c:yVal>
            <c:numRef>
              <c:f>stu!$AM$3:$AM$94</c:f>
              <c:numCache>
                <c:formatCode>0%</c:formatCode>
                <c:ptCount val="92"/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6.5000000000000002E-2</c:v>
                </c:pt>
                <c:pt idx="36">
                  <c:v>0.11333333333333334</c:v>
                </c:pt>
                <c:pt idx="37">
                  <c:v>0.04</c:v>
                </c:pt>
                <c:pt idx="38">
                  <c:v>0.04</c:v>
                </c:pt>
                <c:pt idx="42">
                  <c:v>0.24399999999999999</c:v>
                </c:pt>
                <c:pt idx="45">
                  <c:v>0.30841663045052875</c:v>
                </c:pt>
                <c:pt idx="46">
                  <c:v>0.29896881838074396</c:v>
                </c:pt>
                <c:pt idx="47">
                  <c:v>0.36021121735407452</c:v>
                </c:pt>
                <c:pt idx="48">
                  <c:v>0.38800000000000001</c:v>
                </c:pt>
                <c:pt idx="49">
                  <c:v>0.4176442422791477</c:v>
                </c:pt>
                <c:pt idx="50">
                  <c:v>0.49692190739460956</c:v>
                </c:pt>
                <c:pt idx="51">
                  <c:v>0.47096188747731399</c:v>
                </c:pt>
                <c:pt idx="52">
                  <c:v>0.48895368397443084</c:v>
                </c:pt>
                <c:pt idx="53">
                  <c:v>0.49481748535376296</c:v>
                </c:pt>
                <c:pt idx="54">
                  <c:v>0.53031148822150276</c:v>
                </c:pt>
                <c:pt idx="55">
                  <c:v>0.55112219451371569</c:v>
                </c:pt>
                <c:pt idx="56">
                  <c:v>0.52155714946783893</c:v>
                </c:pt>
                <c:pt idx="57">
                  <c:v>0.61047145800509028</c:v>
                </c:pt>
                <c:pt idx="58">
                  <c:v>0.50809382422802851</c:v>
                </c:pt>
                <c:pt idx="59">
                  <c:v>0.62075091792017056</c:v>
                </c:pt>
                <c:pt idx="60">
                  <c:v>0.63850254983773758</c:v>
                </c:pt>
                <c:pt idx="61">
                  <c:v>0.64824063564131673</c:v>
                </c:pt>
                <c:pt idx="62">
                  <c:v>0.41079507361268408</c:v>
                </c:pt>
                <c:pt idx="63">
                  <c:v>0.66367254121660035</c:v>
                </c:pt>
                <c:pt idx="64">
                  <c:v>0.66872543514879279</c:v>
                </c:pt>
                <c:pt idx="65">
                  <c:v>0.67879870492352345</c:v>
                </c:pt>
                <c:pt idx="66">
                  <c:v>0.60787198577619739</c:v>
                </c:pt>
                <c:pt idx="67">
                  <c:v>0.48265614739758333</c:v>
                </c:pt>
                <c:pt idx="68">
                  <c:v>0.54326326562746019</c:v>
                </c:pt>
                <c:pt idx="69">
                  <c:v>0.52373385219336277</c:v>
                </c:pt>
                <c:pt idx="70">
                  <c:v>0.63959937421393287</c:v>
                </c:pt>
                <c:pt idx="71">
                  <c:v>0.50784467748059126</c:v>
                </c:pt>
                <c:pt idx="72">
                  <c:v>0.61145671574772209</c:v>
                </c:pt>
                <c:pt idx="73">
                  <c:v>0.59509401276287333</c:v>
                </c:pt>
                <c:pt idx="74">
                  <c:v>0.58185866296553312</c:v>
                </c:pt>
                <c:pt idx="75">
                  <c:v>0.60954071205765303</c:v>
                </c:pt>
                <c:pt idx="76">
                  <c:v>0.60209221495098708</c:v>
                </c:pt>
                <c:pt idx="77">
                  <c:v>0.56156817084599431</c:v>
                </c:pt>
                <c:pt idx="78">
                  <c:v>0.60822854082250466</c:v>
                </c:pt>
                <c:pt idx="79">
                  <c:v>0.65039573498673053</c:v>
                </c:pt>
                <c:pt idx="80">
                  <c:v>0.65346059972105996</c:v>
                </c:pt>
                <c:pt idx="81">
                  <c:v>0.62669718431508037</c:v>
                </c:pt>
                <c:pt idx="82">
                  <c:v>0.5520144211375555</c:v>
                </c:pt>
                <c:pt idx="83">
                  <c:v>0.65472023805224722</c:v>
                </c:pt>
                <c:pt idx="84">
                  <c:v>0.67340225563909772</c:v>
                </c:pt>
                <c:pt idx="85">
                  <c:v>0.80497190795043483</c:v>
                </c:pt>
                <c:pt idx="86">
                  <c:v>0.81499999999999995</c:v>
                </c:pt>
                <c:pt idx="87">
                  <c:v>0.81799999999999995</c:v>
                </c:pt>
                <c:pt idx="90">
                  <c:v>0.7</c:v>
                </c:pt>
                <c:pt idx="91">
                  <c:v>0.79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EE-49A4-B133-B4DB05A416A7}"/>
            </c:ext>
          </c:extLst>
        </c:ser>
        <c:ser>
          <c:idx val="1"/>
          <c:order val="1"/>
          <c:tx>
            <c:strRef>
              <c:f>stu!$AN$2</c:f>
              <c:strCache>
                <c:ptCount val="1"/>
                <c:pt idx="0">
                  <c:v>Asia*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stu!$A$3:$A$94</c:f>
              <c:numCache>
                <c:formatCode>General</c:formatCode>
                <c:ptCount val="92"/>
                <c:pt idx="0">
                  <c:v>1933</c:v>
                </c:pt>
                <c:pt idx="1">
                  <c:v>1934</c:v>
                </c:pt>
                <c:pt idx="2">
                  <c:v>1935</c:v>
                </c:pt>
                <c:pt idx="3">
                  <c:v>1936</c:v>
                </c:pt>
                <c:pt idx="4">
                  <c:v>1937</c:v>
                </c:pt>
                <c:pt idx="5">
                  <c:v>1938</c:v>
                </c:pt>
                <c:pt idx="6">
                  <c:v>1939</c:v>
                </c:pt>
                <c:pt idx="7">
                  <c:v>1940</c:v>
                </c:pt>
                <c:pt idx="8">
                  <c:v>1941</c:v>
                </c:pt>
                <c:pt idx="9">
                  <c:v>1942</c:v>
                </c:pt>
                <c:pt idx="10">
                  <c:v>1943</c:v>
                </c:pt>
                <c:pt idx="11">
                  <c:v>1944</c:v>
                </c:pt>
                <c:pt idx="12">
                  <c:v>1945</c:v>
                </c:pt>
                <c:pt idx="13">
                  <c:v>1946</c:v>
                </c:pt>
                <c:pt idx="14">
                  <c:v>1947</c:v>
                </c:pt>
                <c:pt idx="15">
                  <c:v>1948</c:v>
                </c:pt>
                <c:pt idx="16">
                  <c:v>1949</c:v>
                </c:pt>
                <c:pt idx="17">
                  <c:v>1950</c:v>
                </c:pt>
                <c:pt idx="18">
                  <c:v>1951</c:v>
                </c:pt>
                <c:pt idx="19">
                  <c:v>1952</c:v>
                </c:pt>
                <c:pt idx="20">
                  <c:v>1953</c:v>
                </c:pt>
                <c:pt idx="21">
                  <c:v>1954</c:v>
                </c:pt>
                <c:pt idx="22">
                  <c:v>1955</c:v>
                </c:pt>
                <c:pt idx="23">
                  <c:v>1956</c:v>
                </c:pt>
                <c:pt idx="24">
                  <c:v>1957</c:v>
                </c:pt>
                <c:pt idx="25">
                  <c:v>1958</c:v>
                </c:pt>
                <c:pt idx="26">
                  <c:v>1959</c:v>
                </c:pt>
                <c:pt idx="27">
                  <c:v>1960</c:v>
                </c:pt>
                <c:pt idx="28">
                  <c:v>1961</c:v>
                </c:pt>
                <c:pt idx="29">
                  <c:v>1962</c:v>
                </c:pt>
                <c:pt idx="30">
                  <c:v>1963</c:v>
                </c:pt>
                <c:pt idx="31">
                  <c:v>1964</c:v>
                </c:pt>
                <c:pt idx="32">
                  <c:v>1965</c:v>
                </c:pt>
                <c:pt idx="33">
                  <c:v>1966</c:v>
                </c:pt>
                <c:pt idx="34">
                  <c:v>1967</c:v>
                </c:pt>
                <c:pt idx="35">
                  <c:v>1968</c:v>
                </c:pt>
                <c:pt idx="36">
                  <c:v>1969</c:v>
                </c:pt>
                <c:pt idx="37">
                  <c:v>1970</c:v>
                </c:pt>
                <c:pt idx="38">
                  <c:v>1971</c:v>
                </c:pt>
                <c:pt idx="39">
                  <c:v>1972</c:v>
                </c:pt>
                <c:pt idx="40">
                  <c:v>1973</c:v>
                </c:pt>
                <c:pt idx="41">
                  <c:v>1974</c:v>
                </c:pt>
                <c:pt idx="42">
                  <c:v>1975</c:v>
                </c:pt>
                <c:pt idx="43">
                  <c:v>1976</c:v>
                </c:pt>
                <c:pt idx="44">
                  <c:v>1977</c:v>
                </c:pt>
                <c:pt idx="45">
                  <c:v>1978</c:v>
                </c:pt>
                <c:pt idx="46">
                  <c:v>1979</c:v>
                </c:pt>
                <c:pt idx="47">
                  <c:v>1980</c:v>
                </c:pt>
                <c:pt idx="48">
                  <c:v>1981</c:v>
                </c:pt>
                <c:pt idx="49">
                  <c:v>1982</c:v>
                </c:pt>
                <c:pt idx="50">
                  <c:v>1983</c:v>
                </c:pt>
                <c:pt idx="51">
                  <c:v>1984</c:v>
                </c:pt>
                <c:pt idx="52">
                  <c:v>1985</c:v>
                </c:pt>
                <c:pt idx="53">
                  <c:v>1986</c:v>
                </c:pt>
                <c:pt idx="54">
                  <c:v>1987</c:v>
                </c:pt>
                <c:pt idx="55">
                  <c:v>1988</c:v>
                </c:pt>
                <c:pt idx="56">
                  <c:v>1989</c:v>
                </c:pt>
                <c:pt idx="57">
                  <c:v>1990</c:v>
                </c:pt>
                <c:pt idx="58">
                  <c:v>1991</c:v>
                </c:pt>
                <c:pt idx="59">
                  <c:v>1992</c:v>
                </c:pt>
                <c:pt idx="60">
                  <c:v>1993</c:v>
                </c:pt>
                <c:pt idx="61">
                  <c:v>1994</c:v>
                </c:pt>
                <c:pt idx="62">
                  <c:v>1995</c:v>
                </c:pt>
                <c:pt idx="63">
                  <c:v>1996</c:v>
                </c:pt>
                <c:pt idx="64">
                  <c:v>1997</c:v>
                </c:pt>
                <c:pt idx="65">
                  <c:v>1998</c:v>
                </c:pt>
                <c:pt idx="66">
                  <c:v>1999</c:v>
                </c:pt>
                <c:pt idx="67">
                  <c:v>2000</c:v>
                </c:pt>
                <c:pt idx="68">
                  <c:v>2001</c:v>
                </c:pt>
                <c:pt idx="69">
                  <c:v>2002</c:v>
                </c:pt>
                <c:pt idx="70">
                  <c:v>2003</c:v>
                </c:pt>
                <c:pt idx="71">
                  <c:v>2004</c:v>
                </c:pt>
                <c:pt idx="72">
                  <c:v>2005</c:v>
                </c:pt>
                <c:pt idx="73">
                  <c:v>2006</c:v>
                </c:pt>
                <c:pt idx="74">
                  <c:v>2007</c:v>
                </c:pt>
                <c:pt idx="75">
                  <c:v>2008</c:v>
                </c:pt>
                <c:pt idx="76">
                  <c:v>2009</c:v>
                </c:pt>
                <c:pt idx="77">
                  <c:v>2010</c:v>
                </c:pt>
                <c:pt idx="78">
                  <c:v>2011</c:v>
                </c:pt>
                <c:pt idx="79">
                  <c:v>2012</c:v>
                </c:pt>
                <c:pt idx="80">
                  <c:v>2013</c:v>
                </c:pt>
                <c:pt idx="81">
                  <c:v>2014</c:v>
                </c:pt>
                <c:pt idx="82">
                  <c:v>2015</c:v>
                </c:pt>
                <c:pt idx="83">
                  <c:v>2016</c:v>
                </c:pt>
                <c:pt idx="84">
                  <c:v>2017</c:v>
                </c:pt>
                <c:pt idx="85">
                  <c:v>2018</c:v>
                </c:pt>
                <c:pt idx="86">
                  <c:v>2019</c:v>
                </c:pt>
                <c:pt idx="87">
                  <c:v>2020</c:v>
                </c:pt>
                <c:pt idx="88">
                  <c:v>2021</c:v>
                </c:pt>
                <c:pt idx="89">
                  <c:v>2022</c:v>
                </c:pt>
                <c:pt idx="90">
                  <c:v>2023</c:v>
                </c:pt>
                <c:pt idx="91">
                  <c:v>2024</c:v>
                </c:pt>
              </c:numCache>
            </c:numRef>
          </c:xVal>
          <c:yVal>
            <c:numRef>
              <c:f>stu!$AN$3:$AN$94</c:f>
              <c:numCache>
                <c:formatCode>0%</c:formatCode>
                <c:ptCount val="92"/>
                <c:pt idx="73">
                  <c:v>0.45800000000000002</c:v>
                </c:pt>
                <c:pt idx="78">
                  <c:v>0.29699999999999999</c:v>
                </c:pt>
                <c:pt idx="79">
                  <c:v>0.28899999999999998</c:v>
                </c:pt>
                <c:pt idx="80">
                  <c:v>0.35099999999999998</c:v>
                </c:pt>
                <c:pt idx="81">
                  <c:v>0.39</c:v>
                </c:pt>
                <c:pt idx="82">
                  <c:v>0.38600000000000001</c:v>
                </c:pt>
                <c:pt idx="83">
                  <c:v>0.38600000000000001</c:v>
                </c:pt>
                <c:pt idx="84">
                  <c:v>0.45600000000000002</c:v>
                </c:pt>
                <c:pt idx="85">
                  <c:v>0.46899999999999997</c:v>
                </c:pt>
                <c:pt idx="86">
                  <c:v>0.49950000000000006</c:v>
                </c:pt>
                <c:pt idx="87">
                  <c:v>0.50550000000000006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EE-49A4-B133-B4DB05A416A7}"/>
            </c:ext>
          </c:extLst>
        </c:ser>
        <c:ser>
          <c:idx val="2"/>
          <c:order val="2"/>
          <c:tx>
            <c:strRef>
              <c:f>stu!$AO$2</c:f>
              <c:strCache>
                <c:ptCount val="1"/>
                <c:pt idx="0">
                  <c:v>Europe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stu!$A$3:$A$94</c:f>
              <c:numCache>
                <c:formatCode>General</c:formatCode>
                <c:ptCount val="92"/>
                <c:pt idx="0">
                  <c:v>1933</c:v>
                </c:pt>
                <c:pt idx="1">
                  <c:v>1934</c:v>
                </c:pt>
                <c:pt idx="2">
                  <c:v>1935</c:v>
                </c:pt>
                <c:pt idx="3">
                  <c:v>1936</c:v>
                </c:pt>
                <c:pt idx="4">
                  <c:v>1937</c:v>
                </c:pt>
                <c:pt idx="5">
                  <c:v>1938</c:v>
                </c:pt>
                <c:pt idx="6">
                  <c:v>1939</c:v>
                </c:pt>
                <c:pt idx="7">
                  <c:v>1940</c:v>
                </c:pt>
                <c:pt idx="8">
                  <c:v>1941</c:v>
                </c:pt>
                <c:pt idx="9">
                  <c:v>1942</c:v>
                </c:pt>
                <c:pt idx="10">
                  <c:v>1943</c:v>
                </c:pt>
                <c:pt idx="11">
                  <c:v>1944</c:v>
                </c:pt>
                <c:pt idx="12">
                  <c:v>1945</c:v>
                </c:pt>
                <c:pt idx="13">
                  <c:v>1946</c:v>
                </c:pt>
                <c:pt idx="14">
                  <c:v>1947</c:v>
                </c:pt>
                <c:pt idx="15">
                  <c:v>1948</c:v>
                </c:pt>
                <c:pt idx="16">
                  <c:v>1949</c:v>
                </c:pt>
                <c:pt idx="17">
                  <c:v>1950</c:v>
                </c:pt>
                <c:pt idx="18">
                  <c:v>1951</c:v>
                </c:pt>
                <c:pt idx="19">
                  <c:v>1952</c:v>
                </c:pt>
                <c:pt idx="20">
                  <c:v>1953</c:v>
                </c:pt>
                <c:pt idx="21">
                  <c:v>1954</c:v>
                </c:pt>
                <c:pt idx="22">
                  <c:v>1955</c:v>
                </c:pt>
                <c:pt idx="23">
                  <c:v>1956</c:v>
                </c:pt>
                <c:pt idx="24">
                  <c:v>1957</c:v>
                </c:pt>
                <c:pt idx="25">
                  <c:v>1958</c:v>
                </c:pt>
                <c:pt idx="26">
                  <c:v>1959</c:v>
                </c:pt>
                <c:pt idx="27">
                  <c:v>1960</c:v>
                </c:pt>
                <c:pt idx="28">
                  <c:v>1961</c:v>
                </c:pt>
                <c:pt idx="29">
                  <c:v>1962</c:v>
                </c:pt>
                <c:pt idx="30">
                  <c:v>1963</c:v>
                </c:pt>
                <c:pt idx="31">
                  <c:v>1964</c:v>
                </c:pt>
                <c:pt idx="32">
                  <c:v>1965</c:v>
                </c:pt>
                <c:pt idx="33">
                  <c:v>1966</c:v>
                </c:pt>
                <c:pt idx="34">
                  <c:v>1967</c:v>
                </c:pt>
                <c:pt idx="35">
                  <c:v>1968</c:v>
                </c:pt>
                <c:pt idx="36">
                  <c:v>1969</c:v>
                </c:pt>
                <c:pt idx="37">
                  <c:v>1970</c:v>
                </c:pt>
                <c:pt idx="38">
                  <c:v>1971</c:v>
                </c:pt>
                <c:pt idx="39">
                  <c:v>1972</c:v>
                </c:pt>
                <c:pt idx="40">
                  <c:v>1973</c:v>
                </c:pt>
                <c:pt idx="41">
                  <c:v>1974</c:v>
                </c:pt>
                <c:pt idx="42">
                  <c:v>1975</c:v>
                </c:pt>
                <c:pt idx="43">
                  <c:v>1976</c:v>
                </c:pt>
                <c:pt idx="44">
                  <c:v>1977</c:v>
                </c:pt>
                <c:pt idx="45">
                  <c:v>1978</c:v>
                </c:pt>
                <c:pt idx="46">
                  <c:v>1979</c:v>
                </c:pt>
                <c:pt idx="47">
                  <c:v>1980</c:v>
                </c:pt>
                <c:pt idx="48">
                  <c:v>1981</c:v>
                </c:pt>
                <c:pt idx="49">
                  <c:v>1982</c:v>
                </c:pt>
                <c:pt idx="50">
                  <c:v>1983</c:v>
                </c:pt>
                <c:pt idx="51">
                  <c:v>1984</c:v>
                </c:pt>
                <c:pt idx="52">
                  <c:v>1985</c:v>
                </c:pt>
                <c:pt idx="53">
                  <c:v>1986</c:v>
                </c:pt>
                <c:pt idx="54">
                  <c:v>1987</c:v>
                </c:pt>
                <c:pt idx="55">
                  <c:v>1988</c:v>
                </c:pt>
                <c:pt idx="56">
                  <c:v>1989</c:v>
                </c:pt>
                <c:pt idx="57">
                  <c:v>1990</c:v>
                </c:pt>
                <c:pt idx="58">
                  <c:v>1991</c:v>
                </c:pt>
                <c:pt idx="59">
                  <c:v>1992</c:v>
                </c:pt>
                <c:pt idx="60">
                  <c:v>1993</c:v>
                </c:pt>
                <c:pt idx="61">
                  <c:v>1994</c:v>
                </c:pt>
                <c:pt idx="62">
                  <c:v>1995</c:v>
                </c:pt>
                <c:pt idx="63">
                  <c:v>1996</c:v>
                </c:pt>
                <c:pt idx="64">
                  <c:v>1997</c:v>
                </c:pt>
                <c:pt idx="65">
                  <c:v>1998</c:v>
                </c:pt>
                <c:pt idx="66">
                  <c:v>1999</c:v>
                </c:pt>
                <c:pt idx="67">
                  <c:v>2000</c:v>
                </c:pt>
                <c:pt idx="68">
                  <c:v>2001</c:v>
                </c:pt>
                <c:pt idx="69">
                  <c:v>2002</c:v>
                </c:pt>
                <c:pt idx="70">
                  <c:v>2003</c:v>
                </c:pt>
                <c:pt idx="71">
                  <c:v>2004</c:v>
                </c:pt>
                <c:pt idx="72">
                  <c:v>2005</c:v>
                </c:pt>
                <c:pt idx="73">
                  <c:v>2006</c:v>
                </c:pt>
                <c:pt idx="74">
                  <c:v>2007</c:v>
                </c:pt>
                <c:pt idx="75">
                  <c:v>2008</c:v>
                </c:pt>
                <c:pt idx="76">
                  <c:v>2009</c:v>
                </c:pt>
                <c:pt idx="77">
                  <c:v>2010</c:v>
                </c:pt>
                <c:pt idx="78">
                  <c:v>2011</c:v>
                </c:pt>
                <c:pt idx="79">
                  <c:v>2012</c:v>
                </c:pt>
                <c:pt idx="80">
                  <c:v>2013</c:v>
                </c:pt>
                <c:pt idx="81">
                  <c:v>2014</c:v>
                </c:pt>
                <c:pt idx="82">
                  <c:v>2015</c:v>
                </c:pt>
                <c:pt idx="83">
                  <c:v>2016</c:v>
                </c:pt>
                <c:pt idx="84">
                  <c:v>2017</c:v>
                </c:pt>
                <c:pt idx="85">
                  <c:v>2018</c:v>
                </c:pt>
                <c:pt idx="86">
                  <c:v>2019</c:v>
                </c:pt>
                <c:pt idx="87">
                  <c:v>2020</c:v>
                </c:pt>
                <c:pt idx="88">
                  <c:v>2021</c:v>
                </c:pt>
                <c:pt idx="89">
                  <c:v>2022</c:v>
                </c:pt>
                <c:pt idx="90">
                  <c:v>2023</c:v>
                </c:pt>
                <c:pt idx="91">
                  <c:v>2024</c:v>
                </c:pt>
              </c:numCache>
            </c:numRef>
          </c:xVal>
          <c:yVal>
            <c:numRef>
              <c:f>stu!$AO$3:$AO$94</c:f>
              <c:numCache>
                <c:formatCode>0%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2.8054462164565096E-2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7.5683039430863547E-2</c:v>
                </c:pt>
                <c:pt idx="8">
                  <c:v>2.0555829633283996E-2</c:v>
                </c:pt>
                <c:pt idx="9">
                  <c:v>3.2647730982696702E-2</c:v>
                </c:pt>
                <c:pt idx="10">
                  <c:v>0</c:v>
                </c:pt>
                <c:pt idx="11">
                  <c:v>2.0076035017962398E-2</c:v>
                </c:pt>
                <c:pt idx="12">
                  <c:v>1.0373874434623844E-2</c:v>
                </c:pt>
                <c:pt idx="13">
                  <c:v>0</c:v>
                </c:pt>
                <c:pt idx="14">
                  <c:v>0</c:v>
                </c:pt>
                <c:pt idx="15">
                  <c:v>4.4444444444444444E-3</c:v>
                </c:pt>
                <c:pt idx="16">
                  <c:v>0</c:v>
                </c:pt>
                <c:pt idx="17">
                  <c:v>1.0677083333333332E-2</c:v>
                </c:pt>
                <c:pt idx="18">
                  <c:v>5.8360957412265414E-2</c:v>
                </c:pt>
                <c:pt idx="19">
                  <c:v>3.1344401125713253E-2</c:v>
                </c:pt>
                <c:pt idx="20">
                  <c:v>5.1098010980109798E-2</c:v>
                </c:pt>
                <c:pt idx="21">
                  <c:v>7.8891855574647826E-2</c:v>
                </c:pt>
                <c:pt idx="22">
                  <c:v>4.5491283133962133E-2</c:v>
                </c:pt>
                <c:pt idx="23">
                  <c:v>7.0572803948140209E-2</c:v>
                </c:pt>
                <c:pt idx="24">
                  <c:v>4.6728971962616819E-3</c:v>
                </c:pt>
                <c:pt idx="25">
                  <c:v>6.3050825009005537E-2</c:v>
                </c:pt>
                <c:pt idx="26">
                  <c:v>6.4550277950133586E-2</c:v>
                </c:pt>
                <c:pt idx="27">
                  <c:v>4.3622916885022539E-2</c:v>
                </c:pt>
                <c:pt idx="28">
                  <c:v>5.015885412044515E-2</c:v>
                </c:pt>
                <c:pt idx="29">
                  <c:v>0.11138418651636178</c:v>
                </c:pt>
                <c:pt idx="30">
                  <c:v>0.10569302431727085</c:v>
                </c:pt>
                <c:pt idx="31">
                  <c:v>8.1566032617434489E-2</c:v>
                </c:pt>
                <c:pt idx="32">
                  <c:v>8.6761004660209515E-2</c:v>
                </c:pt>
                <c:pt idx="33">
                  <c:v>0.11947419528785079</c:v>
                </c:pt>
                <c:pt idx="34">
                  <c:v>0.12217592013196561</c:v>
                </c:pt>
                <c:pt idx="35">
                  <c:v>0.14708733121793291</c:v>
                </c:pt>
                <c:pt idx="36">
                  <c:v>0.15138738661544843</c:v>
                </c:pt>
                <c:pt idx="37">
                  <c:v>0.17843680319872784</c:v>
                </c:pt>
                <c:pt idx="38">
                  <c:v>0.18864814629455431</c:v>
                </c:pt>
                <c:pt idx="39">
                  <c:v>0.19656975711466568</c:v>
                </c:pt>
                <c:pt idx="40">
                  <c:v>0.23750020500937916</c:v>
                </c:pt>
                <c:pt idx="41">
                  <c:v>0.27736559523212012</c:v>
                </c:pt>
                <c:pt idx="42">
                  <c:v>0.26158800918195169</c:v>
                </c:pt>
                <c:pt idx="43">
                  <c:v>0.3126917908315765</c:v>
                </c:pt>
                <c:pt idx="44">
                  <c:v>0.30670747536244108</c:v>
                </c:pt>
                <c:pt idx="45">
                  <c:v>0.32107288946129603</c:v>
                </c:pt>
                <c:pt idx="46">
                  <c:v>0.37970371850026402</c:v>
                </c:pt>
                <c:pt idx="47">
                  <c:v>0.35711709746229581</c:v>
                </c:pt>
                <c:pt idx="48">
                  <c:v>0.40688366416799093</c:v>
                </c:pt>
                <c:pt idx="49">
                  <c:v>0.45967744306420827</c:v>
                </c:pt>
                <c:pt idx="50">
                  <c:v>0.48581312199286003</c:v>
                </c:pt>
                <c:pt idx="51">
                  <c:v>0.48140899269122056</c:v>
                </c:pt>
                <c:pt idx="52">
                  <c:v>0.48715858831565245</c:v>
                </c:pt>
                <c:pt idx="53">
                  <c:v>0.57256933199273408</c:v>
                </c:pt>
                <c:pt idx="54">
                  <c:v>0.56132768070563388</c:v>
                </c:pt>
                <c:pt idx="55">
                  <c:v>0.5255395862657678</c:v>
                </c:pt>
                <c:pt idx="56">
                  <c:v>0.53781138810160134</c:v>
                </c:pt>
                <c:pt idx="57">
                  <c:v>0.52908062933731115</c:v>
                </c:pt>
                <c:pt idx="58">
                  <c:v>0.61565455625974819</c:v>
                </c:pt>
                <c:pt idx="59">
                  <c:v>0.65716150057900802</c:v>
                </c:pt>
                <c:pt idx="60">
                  <c:v>0.64677224108310805</c:v>
                </c:pt>
                <c:pt idx="61">
                  <c:v>0.65799605349950285</c:v>
                </c:pt>
                <c:pt idx="62">
                  <c:v>0.72160887231574167</c:v>
                </c:pt>
                <c:pt idx="63">
                  <c:v>0.74293397855092114</c:v>
                </c:pt>
                <c:pt idx="64">
                  <c:v>0.74718724890973398</c:v>
                </c:pt>
                <c:pt idx="65">
                  <c:v>0.75093212075259741</c:v>
                </c:pt>
                <c:pt idx="66">
                  <c:v>0.75901137370895866</c:v>
                </c:pt>
                <c:pt idx="67">
                  <c:v>0.75112758746482233</c:v>
                </c:pt>
                <c:pt idx="68">
                  <c:v>0.80546026628390188</c:v>
                </c:pt>
                <c:pt idx="69">
                  <c:v>0.8094045917935937</c:v>
                </c:pt>
                <c:pt idx="70">
                  <c:v>0.80231955268581567</c:v>
                </c:pt>
                <c:pt idx="71">
                  <c:v>0.75995492650811103</c:v>
                </c:pt>
                <c:pt idx="72">
                  <c:v>0.76977502022638955</c:v>
                </c:pt>
                <c:pt idx="73">
                  <c:v>0.8092352670105033</c:v>
                </c:pt>
                <c:pt idx="74">
                  <c:v>0.86914069424104168</c:v>
                </c:pt>
                <c:pt idx="75">
                  <c:v>0.82122029906995087</c:v>
                </c:pt>
                <c:pt idx="76">
                  <c:v>0.8309093980255613</c:v>
                </c:pt>
                <c:pt idx="77">
                  <c:v>0.79836704233878797</c:v>
                </c:pt>
                <c:pt idx="78">
                  <c:v>0.82772975976920393</c:v>
                </c:pt>
                <c:pt idx="79">
                  <c:v>0.8022940401212626</c:v>
                </c:pt>
                <c:pt idx="80">
                  <c:v>0.7521153774540138</c:v>
                </c:pt>
                <c:pt idx="81">
                  <c:v>0.84743945137906951</c:v>
                </c:pt>
                <c:pt idx="82">
                  <c:v>0.81176190048182095</c:v>
                </c:pt>
                <c:pt idx="83">
                  <c:v>0.80740027795309965</c:v>
                </c:pt>
                <c:pt idx="84">
                  <c:v>0.816113461975849</c:v>
                </c:pt>
                <c:pt idx="85">
                  <c:v>0.83733023394125128</c:v>
                </c:pt>
                <c:pt idx="86">
                  <c:v>0.82381424172924367</c:v>
                </c:pt>
                <c:pt idx="87">
                  <c:v>0.81621954663393315</c:v>
                </c:pt>
                <c:pt idx="88">
                  <c:v>0.79998343105577518</c:v>
                </c:pt>
                <c:pt idx="89">
                  <c:v>0.84736632116687893</c:v>
                </c:pt>
                <c:pt idx="90">
                  <c:v>0.8898703645995637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EE-49A4-B133-B4DB05A416A7}"/>
            </c:ext>
          </c:extLst>
        </c:ser>
        <c:ser>
          <c:idx val="3"/>
          <c:order val="3"/>
          <c:tx>
            <c:strRef>
              <c:f>stu!$AP$2</c:f>
              <c:strCache>
                <c:ptCount val="1"/>
                <c:pt idx="0">
                  <c:v>Middle East*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stu!$A$3:$A$94</c:f>
              <c:numCache>
                <c:formatCode>General</c:formatCode>
                <c:ptCount val="92"/>
                <c:pt idx="0">
                  <c:v>1933</c:v>
                </c:pt>
                <c:pt idx="1">
                  <c:v>1934</c:v>
                </c:pt>
                <c:pt idx="2">
                  <c:v>1935</c:v>
                </c:pt>
                <c:pt idx="3">
                  <c:v>1936</c:v>
                </c:pt>
                <c:pt idx="4">
                  <c:v>1937</c:v>
                </c:pt>
                <c:pt idx="5">
                  <c:v>1938</c:v>
                </c:pt>
                <c:pt idx="6">
                  <c:v>1939</c:v>
                </c:pt>
                <c:pt idx="7">
                  <c:v>1940</c:v>
                </c:pt>
                <c:pt idx="8">
                  <c:v>1941</c:v>
                </c:pt>
                <c:pt idx="9">
                  <c:v>1942</c:v>
                </c:pt>
                <c:pt idx="10">
                  <c:v>1943</c:v>
                </c:pt>
                <c:pt idx="11">
                  <c:v>1944</c:v>
                </c:pt>
                <c:pt idx="12">
                  <c:v>1945</c:v>
                </c:pt>
                <c:pt idx="13">
                  <c:v>1946</c:v>
                </c:pt>
                <c:pt idx="14">
                  <c:v>1947</c:v>
                </c:pt>
                <c:pt idx="15">
                  <c:v>1948</c:v>
                </c:pt>
                <c:pt idx="16">
                  <c:v>1949</c:v>
                </c:pt>
                <c:pt idx="17">
                  <c:v>1950</c:v>
                </c:pt>
                <c:pt idx="18">
                  <c:v>1951</c:v>
                </c:pt>
                <c:pt idx="19">
                  <c:v>1952</c:v>
                </c:pt>
                <c:pt idx="20">
                  <c:v>1953</c:v>
                </c:pt>
                <c:pt idx="21">
                  <c:v>1954</c:v>
                </c:pt>
                <c:pt idx="22">
                  <c:v>1955</c:v>
                </c:pt>
                <c:pt idx="23">
                  <c:v>1956</c:v>
                </c:pt>
                <c:pt idx="24">
                  <c:v>1957</c:v>
                </c:pt>
                <c:pt idx="25">
                  <c:v>1958</c:v>
                </c:pt>
                <c:pt idx="26">
                  <c:v>1959</c:v>
                </c:pt>
                <c:pt idx="27">
                  <c:v>1960</c:v>
                </c:pt>
                <c:pt idx="28">
                  <c:v>1961</c:v>
                </c:pt>
                <c:pt idx="29">
                  <c:v>1962</c:v>
                </c:pt>
                <c:pt idx="30">
                  <c:v>1963</c:v>
                </c:pt>
                <c:pt idx="31">
                  <c:v>1964</c:v>
                </c:pt>
                <c:pt idx="32">
                  <c:v>1965</c:v>
                </c:pt>
                <c:pt idx="33">
                  <c:v>1966</c:v>
                </c:pt>
                <c:pt idx="34">
                  <c:v>1967</c:v>
                </c:pt>
                <c:pt idx="35">
                  <c:v>1968</c:v>
                </c:pt>
                <c:pt idx="36">
                  <c:v>1969</c:v>
                </c:pt>
                <c:pt idx="37">
                  <c:v>1970</c:v>
                </c:pt>
                <c:pt idx="38">
                  <c:v>1971</c:v>
                </c:pt>
                <c:pt idx="39">
                  <c:v>1972</c:v>
                </c:pt>
                <c:pt idx="40">
                  <c:v>1973</c:v>
                </c:pt>
                <c:pt idx="41">
                  <c:v>1974</c:v>
                </c:pt>
                <c:pt idx="42">
                  <c:v>1975</c:v>
                </c:pt>
                <c:pt idx="43">
                  <c:v>1976</c:v>
                </c:pt>
                <c:pt idx="44">
                  <c:v>1977</c:v>
                </c:pt>
                <c:pt idx="45">
                  <c:v>1978</c:v>
                </c:pt>
                <c:pt idx="46">
                  <c:v>1979</c:v>
                </c:pt>
                <c:pt idx="47">
                  <c:v>1980</c:v>
                </c:pt>
                <c:pt idx="48">
                  <c:v>1981</c:v>
                </c:pt>
                <c:pt idx="49">
                  <c:v>1982</c:v>
                </c:pt>
                <c:pt idx="50">
                  <c:v>1983</c:v>
                </c:pt>
                <c:pt idx="51">
                  <c:v>1984</c:v>
                </c:pt>
                <c:pt idx="52">
                  <c:v>1985</c:v>
                </c:pt>
                <c:pt idx="53">
                  <c:v>1986</c:v>
                </c:pt>
                <c:pt idx="54">
                  <c:v>1987</c:v>
                </c:pt>
                <c:pt idx="55">
                  <c:v>1988</c:v>
                </c:pt>
                <c:pt idx="56">
                  <c:v>1989</c:v>
                </c:pt>
                <c:pt idx="57">
                  <c:v>1990</c:v>
                </c:pt>
                <c:pt idx="58">
                  <c:v>1991</c:v>
                </c:pt>
                <c:pt idx="59">
                  <c:v>1992</c:v>
                </c:pt>
                <c:pt idx="60">
                  <c:v>1993</c:v>
                </c:pt>
                <c:pt idx="61">
                  <c:v>1994</c:v>
                </c:pt>
                <c:pt idx="62">
                  <c:v>1995</c:v>
                </c:pt>
                <c:pt idx="63">
                  <c:v>1996</c:v>
                </c:pt>
                <c:pt idx="64">
                  <c:v>1997</c:v>
                </c:pt>
                <c:pt idx="65">
                  <c:v>1998</c:v>
                </c:pt>
                <c:pt idx="66">
                  <c:v>1999</c:v>
                </c:pt>
                <c:pt idx="67">
                  <c:v>2000</c:v>
                </c:pt>
                <c:pt idx="68">
                  <c:v>2001</c:v>
                </c:pt>
                <c:pt idx="69">
                  <c:v>2002</c:v>
                </c:pt>
                <c:pt idx="70">
                  <c:v>2003</c:v>
                </c:pt>
                <c:pt idx="71">
                  <c:v>2004</c:v>
                </c:pt>
                <c:pt idx="72">
                  <c:v>2005</c:v>
                </c:pt>
                <c:pt idx="73">
                  <c:v>2006</c:v>
                </c:pt>
                <c:pt idx="74">
                  <c:v>2007</c:v>
                </c:pt>
                <c:pt idx="75">
                  <c:v>2008</c:v>
                </c:pt>
                <c:pt idx="76">
                  <c:v>2009</c:v>
                </c:pt>
                <c:pt idx="77">
                  <c:v>2010</c:v>
                </c:pt>
                <c:pt idx="78">
                  <c:v>2011</c:v>
                </c:pt>
                <c:pt idx="79">
                  <c:v>2012</c:v>
                </c:pt>
                <c:pt idx="80">
                  <c:v>2013</c:v>
                </c:pt>
                <c:pt idx="81">
                  <c:v>2014</c:v>
                </c:pt>
                <c:pt idx="82">
                  <c:v>2015</c:v>
                </c:pt>
                <c:pt idx="83">
                  <c:v>2016</c:v>
                </c:pt>
                <c:pt idx="84">
                  <c:v>2017</c:v>
                </c:pt>
                <c:pt idx="85">
                  <c:v>2018</c:v>
                </c:pt>
                <c:pt idx="86">
                  <c:v>2019</c:v>
                </c:pt>
                <c:pt idx="87">
                  <c:v>2020</c:v>
                </c:pt>
                <c:pt idx="88">
                  <c:v>2021</c:v>
                </c:pt>
                <c:pt idx="89">
                  <c:v>2022</c:v>
                </c:pt>
                <c:pt idx="90">
                  <c:v>2023</c:v>
                </c:pt>
                <c:pt idx="91">
                  <c:v>2024</c:v>
                </c:pt>
              </c:numCache>
            </c:numRef>
          </c:xVal>
          <c:yVal>
            <c:numRef>
              <c:f>stu!$AP$3:$AP$94</c:f>
              <c:numCache>
                <c:formatCode>0%</c:formatCode>
                <c:ptCount val="92"/>
                <c:pt idx="6">
                  <c:v>6.9000000000000006E-2</c:v>
                </c:pt>
                <c:pt idx="11">
                  <c:v>7.5999999999999998E-2</c:v>
                </c:pt>
                <c:pt idx="16">
                  <c:v>5.5E-2</c:v>
                </c:pt>
                <c:pt idx="21">
                  <c:v>1.6E-2</c:v>
                </c:pt>
                <c:pt idx="26">
                  <c:v>1.6E-2</c:v>
                </c:pt>
                <c:pt idx="31">
                  <c:v>8.5999999999999993E-2</c:v>
                </c:pt>
                <c:pt idx="36">
                  <c:v>9.4E-2</c:v>
                </c:pt>
                <c:pt idx="41">
                  <c:v>0.06</c:v>
                </c:pt>
                <c:pt idx="42">
                  <c:v>0.08</c:v>
                </c:pt>
                <c:pt idx="43">
                  <c:v>4.2999999999999997E-2</c:v>
                </c:pt>
                <c:pt idx="44">
                  <c:v>2.3E-2</c:v>
                </c:pt>
                <c:pt idx="45">
                  <c:v>2.7000000000000003E-2</c:v>
                </c:pt>
                <c:pt idx="46">
                  <c:v>7.2000000000000008E-2</c:v>
                </c:pt>
                <c:pt idx="47">
                  <c:v>8.199999999999999E-2</c:v>
                </c:pt>
                <c:pt idx="48">
                  <c:v>9.9000000000000005E-2</c:v>
                </c:pt>
                <c:pt idx="49">
                  <c:v>8.3000000000000004E-2</c:v>
                </c:pt>
                <c:pt idx="50">
                  <c:v>0.17800000000000002</c:v>
                </c:pt>
                <c:pt idx="51">
                  <c:v>0.13699999999999998</c:v>
                </c:pt>
                <c:pt idx="52">
                  <c:v>0.16</c:v>
                </c:pt>
                <c:pt idx="53">
                  <c:v>0.20800000000000002</c:v>
                </c:pt>
                <c:pt idx="54">
                  <c:v>0.152</c:v>
                </c:pt>
                <c:pt idx="55">
                  <c:v>0.13</c:v>
                </c:pt>
                <c:pt idx="56">
                  <c:v>0.128</c:v>
                </c:pt>
                <c:pt idx="57">
                  <c:v>0.16899999999999998</c:v>
                </c:pt>
                <c:pt idx="58">
                  <c:v>0.106</c:v>
                </c:pt>
                <c:pt idx="59">
                  <c:v>0.157</c:v>
                </c:pt>
                <c:pt idx="60">
                  <c:v>0.20199999999999999</c:v>
                </c:pt>
                <c:pt idx="61">
                  <c:v>0.19500000000000001</c:v>
                </c:pt>
                <c:pt idx="62">
                  <c:v>0.252</c:v>
                </c:pt>
                <c:pt idx="63">
                  <c:v>0.23800000000000002</c:v>
                </c:pt>
                <c:pt idx="64">
                  <c:v>0.254</c:v>
                </c:pt>
                <c:pt idx="65">
                  <c:v>0.25</c:v>
                </c:pt>
                <c:pt idx="66">
                  <c:v>0.33399999999999996</c:v>
                </c:pt>
                <c:pt idx="67">
                  <c:v>0.24600000000000002</c:v>
                </c:pt>
                <c:pt idx="68">
                  <c:v>0.27399999999999997</c:v>
                </c:pt>
                <c:pt idx="69">
                  <c:v>0.28300000000000003</c:v>
                </c:pt>
                <c:pt idx="70">
                  <c:v>0.27800000000000002</c:v>
                </c:pt>
                <c:pt idx="71">
                  <c:v>0.24299999999999999</c:v>
                </c:pt>
                <c:pt idx="72">
                  <c:v>0.24399999999999999</c:v>
                </c:pt>
                <c:pt idx="91">
                  <c:v>0.51313061506565305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EE-49A4-B133-B4DB05A416A7}"/>
            </c:ext>
          </c:extLst>
        </c:ser>
        <c:ser>
          <c:idx val="4"/>
          <c:order val="4"/>
          <c:tx>
            <c:strRef>
              <c:f>stu!$AL$2</c:f>
              <c:strCache>
                <c:ptCount val="1"/>
                <c:pt idx="0">
                  <c:v>Africa*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stu!$A$3:$A$94</c:f>
              <c:numCache>
                <c:formatCode>General</c:formatCode>
                <c:ptCount val="92"/>
                <c:pt idx="0">
                  <c:v>1933</c:v>
                </c:pt>
                <c:pt idx="1">
                  <c:v>1934</c:v>
                </c:pt>
                <c:pt idx="2">
                  <c:v>1935</c:v>
                </c:pt>
                <c:pt idx="3">
                  <c:v>1936</c:v>
                </c:pt>
                <c:pt idx="4">
                  <c:v>1937</c:v>
                </c:pt>
                <c:pt idx="5">
                  <c:v>1938</c:v>
                </c:pt>
                <c:pt idx="6">
                  <c:v>1939</c:v>
                </c:pt>
                <c:pt idx="7">
                  <c:v>1940</c:v>
                </c:pt>
                <c:pt idx="8">
                  <c:v>1941</c:v>
                </c:pt>
                <c:pt idx="9">
                  <c:v>1942</c:v>
                </c:pt>
                <c:pt idx="10">
                  <c:v>1943</c:v>
                </c:pt>
                <c:pt idx="11">
                  <c:v>1944</c:v>
                </c:pt>
                <c:pt idx="12">
                  <c:v>1945</c:v>
                </c:pt>
                <c:pt idx="13">
                  <c:v>1946</c:v>
                </c:pt>
                <c:pt idx="14">
                  <c:v>1947</c:v>
                </c:pt>
                <c:pt idx="15">
                  <c:v>1948</c:v>
                </c:pt>
                <c:pt idx="16">
                  <c:v>1949</c:v>
                </c:pt>
                <c:pt idx="17">
                  <c:v>1950</c:v>
                </c:pt>
                <c:pt idx="18">
                  <c:v>1951</c:v>
                </c:pt>
                <c:pt idx="19">
                  <c:v>1952</c:v>
                </c:pt>
                <c:pt idx="20">
                  <c:v>1953</c:v>
                </c:pt>
                <c:pt idx="21">
                  <c:v>1954</c:v>
                </c:pt>
                <c:pt idx="22">
                  <c:v>1955</c:v>
                </c:pt>
                <c:pt idx="23">
                  <c:v>1956</c:v>
                </c:pt>
                <c:pt idx="24">
                  <c:v>1957</c:v>
                </c:pt>
                <c:pt idx="25">
                  <c:v>1958</c:v>
                </c:pt>
                <c:pt idx="26">
                  <c:v>1959</c:v>
                </c:pt>
                <c:pt idx="27">
                  <c:v>1960</c:v>
                </c:pt>
                <c:pt idx="28">
                  <c:v>1961</c:v>
                </c:pt>
                <c:pt idx="29">
                  <c:v>1962</c:v>
                </c:pt>
                <c:pt idx="30">
                  <c:v>1963</c:v>
                </c:pt>
                <c:pt idx="31">
                  <c:v>1964</c:v>
                </c:pt>
                <c:pt idx="32">
                  <c:v>1965</c:v>
                </c:pt>
                <c:pt idx="33">
                  <c:v>1966</c:v>
                </c:pt>
                <c:pt idx="34">
                  <c:v>1967</c:v>
                </c:pt>
                <c:pt idx="35">
                  <c:v>1968</c:v>
                </c:pt>
                <c:pt idx="36">
                  <c:v>1969</c:v>
                </c:pt>
                <c:pt idx="37">
                  <c:v>1970</c:v>
                </c:pt>
                <c:pt idx="38">
                  <c:v>1971</c:v>
                </c:pt>
                <c:pt idx="39">
                  <c:v>1972</c:v>
                </c:pt>
                <c:pt idx="40">
                  <c:v>1973</c:v>
                </c:pt>
                <c:pt idx="41">
                  <c:v>1974</c:v>
                </c:pt>
                <c:pt idx="42">
                  <c:v>1975</c:v>
                </c:pt>
                <c:pt idx="43">
                  <c:v>1976</c:v>
                </c:pt>
                <c:pt idx="44">
                  <c:v>1977</c:v>
                </c:pt>
                <c:pt idx="45">
                  <c:v>1978</c:v>
                </c:pt>
                <c:pt idx="46">
                  <c:v>1979</c:v>
                </c:pt>
                <c:pt idx="47">
                  <c:v>1980</c:v>
                </c:pt>
                <c:pt idx="48">
                  <c:v>1981</c:v>
                </c:pt>
                <c:pt idx="49">
                  <c:v>1982</c:v>
                </c:pt>
                <c:pt idx="50">
                  <c:v>1983</c:v>
                </c:pt>
                <c:pt idx="51">
                  <c:v>1984</c:v>
                </c:pt>
                <c:pt idx="52">
                  <c:v>1985</c:v>
                </c:pt>
                <c:pt idx="53">
                  <c:v>1986</c:v>
                </c:pt>
                <c:pt idx="54">
                  <c:v>1987</c:v>
                </c:pt>
                <c:pt idx="55">
                  <c:v>1988</c:v>
                </c:pt>
                <c:pt idx="56">
                  <c:v>1989</c:v>
                </c:pt>
                <c:pt idx="57">
                  <c:v>1990</c:v>
                </c:pt>
                <c:pt idx="58">
                  <c:v>1991</c:v>
                </c:pt>
                <c:pt idx="59">
                  <c:v>1992</c:v>
                </c:pt>
                <c:pt idx="60">
                  <c:v>1993</c:v>
                </c:pt>
                <c:pt idx="61">
                  <c:v>1994</c:v>
                </c:pt>
                <c:pt idx="62">
                  <c:v>1995</c:v>
                </c:pt>
                <c:pt idx="63">
                  <c:v>1996</c:v>
                </c:pt>
                <c:pt idx="64">
                  <c:v>1997</c:v>
                </c:pt>
                <c:pt idx="65">
                  <c:v>1998</c:v>
                </c:pt>
                <c:pt idx="66">
                  <c:v>1999</c:v>
                </c:pt>
                <c:pt idx="67">
                  <c:v>2000</c:v>
                </c:pt>
                <c:pt idx="68">
                  <c:v>2001</c:v>
                </c:pt>
                <c:pt idx="69">
                  <c:v>2002</c:v>
                </c:pt>
                <c:pt idx="70">
                  <c:v>2003</c:v>
                </c:pt>
                <c:pt idx="71">
                  <c:v>2004</c:v>
                </c:pt>
                <c:pt idx="72">
                  <c:v>2005</c:v>
                </c:pt>
                <c:pt idx="73">
                  <c:v>2006</c:v>
                </c:pt>
                <c:pt idx="74">
                  <c:v>2007</c:v>
                </c:pt>
                <c:pt idx="75">
                  <c:v>2008</c:v>
                </c:pt>
                <c:pt idx="76">
                  <c:v>2009</c:v>
                </c:pt>
                <c:pt idx="77">
                  <c:v>2010</c:v>
                </c:pt>
                <c:pt idx="78">
                  <c:v>2011</c:v>
                </c:pt>
                <c:pt idx="79">
                  <c:v>2012</c:v>
                </c:pt>
                <c:pt idx="80">
                  <c:v>2013</c:v>
                </c:pt>
                <c:pt idx="81">
                  <c:v>2014</c:v>
                </c:pt>
                <c:pt idx="82">
                  <c:v>2015</c:v>
                </c:pt>
                <c:pt idx="83">
                  <c:v>2016</c:v>
                </c:pt>
                <c:pt idx="84">
                  <c:v>2017</c:v>
                </c:pt>
                <c:pt idx="85">
                  <c:v>2018</c:v>
                </c:pt>
                <c:pt idx="86">
                  <c:v>2019</c:v>
                </c:pt>
                <c:pt idx="87">
                  <c:v>2020</c:v>
                </c:pt>
                <c:pt idx="88">
                  <c:v>2021</c:v>
                </c:pt>
                <c:pt idx="89">
                  <c:v>2022</c:v>
                </c:pt>
                <c:pt idx="90">
                  <c:v>2023</c:v>
                </c:pt>
                <c:pt idx="91">
                  <c:v>2024</c:v>
                </c:pt>
              </c:numCache>
            </c:numRef>
          </c:xVal>
          <c:yVal>
            <c:numRef>
              <c:f>stu!$AL$3:$AL$94</c:f>
              <c:numCache>
                <c:formatCode>0%</c:formatCode>
                <c:ptCount val="92"/>
                <c:pt idx="64">
                  <c:v>0.45</c:v>
                </c:pt>
                <c:pt idx="68">
                  <c:v>0.41048034934497818</c:v>
                </c:pt>
                <c:pt idx="78">
                  <c:v>0.42441176470588232</c:v>
                </c:pt>
                <c:pt idx="79">
                  <c:v>0.17647058823529413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2EE-49A4-B133-B4DB05A41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391855"/>
        <c:axId val="786393295"/>
      </c:scatterChart>
      <c:valAx>
        <c:axId val="786391855"/>
        <c:scaling>
          <c:orientation val="minMax"/>
          <c:min val="19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393295"/>
        <c:crosses val="autoZero"/>
        <c:crossBetween val="midCat"/>
      </c:valAx>
      <c:valAx>
        <c:axId val="78639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391855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be!$E$3</c:f>
              <c:strCache>
                <c:ptCount val="1"/>
                <c:pt idx="0">
                  <c:v>% Women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be!$A$4:$A$87</c:f>
              <c:numCache>
                <c:formatCode>General</c:formatCode>
                <c:ptCount val="84"/>
                <c:pt idx="0">
                  <c:v>1933</c:v>
                </c:pt>
                <c:pt idx="1">
                  <c:v>1934</c:v>
                </c:pt>
                <c:pt idx="2">
                  <c:v>1935</c:v>
                </c:pt>
                <c:pt idx="3">
                  <c:v>1936</c:v>
                </c:pt>
                <c:pt idx="4">
                  <c:v>1937</c:v>
                </c:pt>
                <c:pt idx="5">
                  <c:v>1938</c:v>
                </c:pt>
                <c:pt idx="6">
                  <c:v>1939</c:v>
                </c:pt>
                <c:pt idx="7">
                  <c:v>1940</c:v>
                </c:pt>
                <c:pt idx="8">
                  <c:v>1941</c:v>
                </c:pt>
                <c:pt idx="9">
                  <c:v>1942</c:v>
                </c:pt>
                <c:pt idx="10">
                  <c:v>1943</c:v>
                </c:pt>
                <c:pt idx="11">
                  <c:v>1944</c:v>
                </c:pt>
                <c:pt idx="12">
                  <c:v>1945</c:v>
                </c:pt>
                <c:pt idx="13">
                  <c:v>1946</c:v>
                </c:pt>
                <c:pt idx="14">
                  <c:v>1947</c:v>
                </c:pt>
                <c:pt idx="15">
                  <c:v>1948</c:v>
                </c:pt>
                <c:pt idx="16">
                  <c:v>1949</c:v>
                </c:pt>
                <c:pt idx="17">
                  <c:v>1950</c:v>
                </c:pt>
                <c:pt idx="18">
                  <c:v>1951</c:v>
                </c:pt>
                <c:pt idx="19">
                  <c:v>1952</c:v>
                </c:pt>
                <c:pt idx="20">
                  <c:v>1953</c:v>
                </c:pt>
                <c:pt idx="21">
                  <c:v>1954</c:v>
                </c:pt>
                <c:pt idx="22">
                  <c:v>1955</c:v>
                </c:pt>
                <c:pt idx="23">
                  <c:v>1956</c:v>
                </c:pt>
                <c:pt idx="24">
                  <c:v>1957</c:v>
                </c:pt>
                <c:pt idx="25">
                  <c:v>1958</c:v>
                </c:pt>
                <c:pt idx="26">
                  <c:v>1959</c:v>
                </c:pt>
                <c:pt idx="27">
                  <c:v>1960</c:v>
                </c:pt>
                <c:pt idx="28">
                  <c:v>1961</c:v>
                </c:pt>
                <c:pt idx="29">
                  <c:v>1962</c:v>
                </c:pt>
                <c:pt idx="30">
                  <c:v>1963</c:v>
                </c:pt>
                <c:pt idx="31">
                  <c:v>1964</c:v>
                </c:pt>
                <c:pt idx="32">
                  <c:v>1965</c:v>
                </c:pt>
                <c:pt idx="33">
                  <c:v>1966</c:v>
                </c:pt>
                <c:pt idx="34">
                  <c:v>1967</c:v>
                </c:pt>
                <c:pt idx="35">
                  <c:v>1968</c:v>
                </c:pt>
                <c:pt idx="36">
                  <c:v>1969</c:v>
                </c:pt>
                <c:pt idx="37">
                  <c:v>1970</c:v>
                </c:pt>
                <c:pt idx="38">
                  <c:v>1971</c:v>
                </c:pt>
                <c:pt idx="39">
                  <c:v>1972</c:v>
                </c:pt>
                <c:pt idx="40">
                  <c:v>1973</c:v>
                </c:pt>
                <c:pt idx="41">
                  <c:v>1974</c:v>
                </c:pt>
                <c:pt idx="42">
                  <c:v>1975</c:v>
                </c:pt>
                <c:pt idx="43">
                  <c:v>1976</c:v>
                </c:pt>
                <c:pt idx="44">
                  <c:v>1977</c:v>
                </c:pt>
                <c:pt idx="45">
                  <c:v>1978</c:v>
                </c:pt>
                <c:pt idx="46">
                  <c:v>1979</c:v>
                </c:pt>
                <c:pt idx="47">
                  <c:v>1980</c:v>
                </c:pt>
                <c:pt idx="48">
                  <c:v>1981</c:v>
                </c:pt>
                <c:pt idx="49">
                  <c:v>1982</c:v>
                </c:pt>
                <c:pt idx="50">
                  <c:v>1983</c:v>
                </c:pt>
                <c:pt idx="51">
                  <c:v>1984</c:v>
                </c:pt>
                <c:pt idx="52">
                  <c:v>1985</c:v>
                </c:pt>
                <c:pt idx="53">
                  <c:v>1986</c:v>
                </c:pt>
                <c:pt idx="54">
                  <c:v>1987</c:v>
                </c:pt>
                <c:pt idx="55">
                  <c:v>1988</c:v>
                </c:pt>
                <c:pt idx="56">
                  <c:v>1989</c:v>
                </c:pt>
                <c:pt idx="57">
                  <c:v>1990</c:v>
                </c:pt>
                <c:pt idx="58">
                  <c:v>1991</c:v>
                </c:pt>
                <c:pt idx="59">
                  <c:v>1992</c:v>
                </c:pt>
                <c:pt idx="60">
                  <c:v>1993</c:v>
                </c:pt>
                <c:pt idx="61">
                  <c:v>1994</c:v>
                </c:pt>
                <c:pt idx="62">
                  <c:v>1995</c:v>
                </c:pt>
                <c:pt idx="63">
                  <c:v>1996</c:v>
                </c:pt>
                <c:pt idx="64">
                  <c:v>1997</c:v>
                </c:pt>
                <c:pt idx="65">
                  <c:v>1998</c:v>
                </c:pt>
                <c:pt idx="66">
                  <c:v>1999</c:v>
                </c:pt>
                <c:pt idx="67">
                  <c:v>2000</c:v>
                </c:pt>
                <c:pt idx="68">
                  <c:v>2001</c:v>
                </c:pt>
                <c:pt idx="69">
                  <c:v>2002</c:v>
                </c:pt>
                <c:pt idx="70">
                  <c:v>2003</c:v>
                </c:pt>
                <c:pt idx="71">
                  <c:v>2004</c:v>
                </c:pt>
                <c:pt idx="72">
                  <c:v>2005</c:v>
                </c:pt>
                <c:pt idx="73">
                  <c:v>2006</c:v>
                </c:pt>
                <c:pt idx="74">
                  <c:v>2007</c:v>
                </c:pt>
                <c:pt idx="75">
                  <c:v>2008</c:v>
                </c:pt>
                <c:pt idx="76">
                  <c:v>2009</c:v>
                </c:pt>
                <c:pt idx="77">
                  <c:v>2010</c:v>
                </c:pt>
                <c:pt idx="78">
                  <c:v>2011</c:v>
                </c:pt>
                <c:pt idx="79">
                  <c:v>2012</c:v>
                </c:pt>
                <c:pt idx="80">
                  <c:v>2013</c:v>
                </c:pt>
                <c:pt idx="81">
                  <c:v>2014</c:v>
                </c:pt>
                <c:pt idx="82">
                  <c:v>2015</c:v>
                </c:pt>
                <c:pt idx="83">
                  <c:v>2016</c:v>
                </c:pt>
              </c:numCache>
            </c:numRef>
          </c:cat>
          <c:val>
            <c:numRef>
              <c:f>be!$E$4:$E$87</c:f>
              <c:numCache>
                <c:formatCode>0.0%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1.8867924528301886E-2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1.0526315789473684E-2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1.3333333333333334E-2</c:v>
                </c:pt>
                <c:pt idx="16">
                  <c:v>0</c:v>
                </c:pt>
                <c:pt idx="17">
                  <c:v>1.2500000000000001E-2</c:v>
                </c:pt>
                <c:pt idx="18">
                  <c:v>1.2658227848101266E-2</c:v>
                </c:pt>
                <c:pt idx="19">
                  <c:v>1.2987012987012988E-2</c:v>
                </c:pt>
                <c:pt idx="20">
                  <c:v>1.2195121951219513E-2</c:v>
                </c:pt>
                <c:pt idx="21">
                  <c:v>1.2048192771084338E-2</c:v>
                </c:pt>
                <c:pt idx="22">
                  <c:v>1.0526315789473684E-2</c:v>
                </c:pt>
                <c:pt idx="23">
                  <c:v>1.020408163265306E-2</c:v>
                </c:pt>
                <c:pt idx="24">
                  <c:v>9.3457943925233638E-3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9.7087378640776691E-3</c:v>
                </c:pt>
                <c:pt idx="29">
                  <c:v>1.0752688172043012E-2</c:v>
                </c:pt>
                <c:pt idx="30">
                  <c:v>1.0416666666666666E-2</c:v>
                </c:pt>
                <c:pt idx="31">
                  <c:v>1.1363636363636364E-2</c:v>
                </c:pt>
                <c:pt idx="32">
                  <c:v>1.0526315789473684E-2</c:v>
                </c:pt>
                <c:pt idx="33">
                  <c:v>2.8846153846153848E-2</c:v>
                </c:pt>
                <c:pt idx="34">
                  <c:v>3.4482758620689655E-2</c:v>
                </c:pt>
                <c:pt idx="35">
                  <c:v>4.2553191489361701E-2</c:v>
                </c:pt>
                <c:pt idx="36">
                  <c:v>5.2845528455284556E-2</c:v>
                </c:pt>
                <c:pt idx="37">
                  <c:v>8.2568807339449546E-2</c:v>
                </c:pt>
                <c:pt idx="38">
                  <c:v>8.2748948106591863E-2</c:v>
                </c:pt>
                <c:pt idx="39">
                  <c:v>9.2424242424242423E-2</c:v>
                </c:pt>
                <c:pt idx="40">
                  <c:v>0.11360000000000001</c:v>
                </c:pt>
                <c:pt idx="41">
                  <c:v>0.14390602055800295</c:v>
                </c:pt>
                <c:pt idx="42">
                  <c:v>0.15966386554621848</c:v>
                </c:pt>
                <c:pt idx="43">
                  <c:v>0.19899244332493704</c:v>
                </c:pt>
                <c:pt idx="44">
                  <c:v>0.22448979591836735</c:v>
                </c:pt>
                <c:pt idx="45">
                  <c:v>0.21303258145363407</c:v>
                </c:pt>
                <c:pt idx="46">
                  <c:v>0.22650602409638554</c:v>
                </c:pt>
                <c:pt idx="47">
                  <c:v>0.25116822429906543</c:v>
                </c:pt>
                <c:pt idx="48">
                  <c:v>0.27865168539325841</c:v>
                </c:pt>
                <c:pt idx="49">
                  <c:v>0.32500000000000001</c:v>
                </c:pt>
                <c:pt idx="50">
                  <c:v>0.34403669724770641</c:v>
                </c:pt>
                <c:pt idx="51">
                  <c:v>0.3510392609699769</c:v>
                </c:pt>
                <c:pt idx="52">
                  <c:v>0.3711843711843712</c:v>
                </c:pt>
                <c:pt idx="53">
                  <c:v>0.37259923175416132</c:v>
                </c:pt>
                <c:pt idx="54">
                  <c:v>0.38911564625850342</c:v>
                </c:pt>
                <c:pt idx="55">
                  <c:v>0.4206798866855524</c:v>
                </c:pt>
                <c:pt idx="56">
                  <c:v>0.43267776096822996</c:v>
                </c:pt>
                <c:pt idx="57">
                  <c:v>0.46527777777777779</c:v>
                </c:pt>
                <c:pt idx="58">
                  <c:v>0.45899470899470901</c:v>
                </c:pt>
                <c:pt idx="59">
                  <c:v>0.51966626936829563</c:v>
                </c:pt>
                <c:pt idx="60">
                  <c:v>0.53854505971769817</c:v>
                </c:pt>
                <c:pt idx="61">
                  <c:v>0.54133064516129037</c:v>
                </c:pt>
                <c:pt idx="62">
                  <c:v>0.54396135265700485</c:v>
                </c:pt>
                <c:pt idx="63">
                  <c:v>0.56721915285451197</c:v>
                </c:pt>
                <c:pt idx="64">
                  <c:v>0.55918727915194344</c:v>
                </c:pt>
                <c:pt idx="65">
                  <c:v>0.57725694444444442</c:v>
                </c:pt>
                <c:pt idx="66">
                  <c:v>0.59603789836347976</c:v>
                </c:pt>
                <c:pt idx="67">
                  <c:v>0.62331838565022424</c:v>
                </c:pt>
                <c:pt idx="68">
                  <c:v>0.63179916317991636</c:v>
                </c:pt>
                <c:pt idx="69">
                  <c:v>0.67138364779874216</c:v>
                </c:pt>
                <c:pt idx="70">
                  <c:v>0.69243027888446218</c:v>
                </c:pt>
                <c:pt idx="71">
                  <c:v>0.69187898089171973</c:v>
                </c:pt>
                <c:pt idx="72">
                  <c:v>0.72350597609561751</c:v>
                </c:pt>
                <c:pt idx="73">
                  <c:v>0.75256107171000786</c:v>
                </c:pt>
                <c:pt idx="74">
                  <c:v>0.75762314308053169</c:v>
                </c:pt>
                <c:pt idx="75">
                  <c:v>0.74922118380062308</c:v>
                </c:pt>
                <c:pt idx="76">
                  <c:v>0.73385214007782096</c:v>
                </c:pt>
                <c:pt idx="77">
                  <c:v>0.75441289332310058</c:v>
                </c:pt>
                <c:pt idx="78">
                  <c:v>0.75943745373797189</c:v>
                </c:pt>
                <c:pt idx="79">
                  <c:v>0.75713291579679887</c:v>
                </c:pt>
                <c:pt idx="80">
                  <c:v>0.76119402985074625</c:v>
                </c:pt>
                <c:pt idx="81">
                  <c:v>0.75839793281653745</c:v>
                </c:pt>
                <c:pt idx="82">
                  <c:v>0.75866495507060339</c:v>
                </c:pt>
                <c:pt idx="83">
                  <c:v>0.7696629213483146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5F-4B65-A1D3-EBD6AF5BA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0484319"/>
        <c:axId val="2100486399"/>
      </c:lineChart>
      <c:catAx>
        <c:axId val="210048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486399"/>
        <c:crosses val="autoZero"/>
        <c:auto val="1"/>
        <c:lblAlgn val="ctr"/>
        <c:lblOffset val="100"/>
        <c:noMultiLvlLbl val="0"/>
      </c:catAx>
      <c:valAx>
        <c:axId val="210048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48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br!$G$3</c:f>
              <c:strCache>
                <c:ptCount val="1"/>
                <c:pt idx="0">
                  <c:v>% Women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br!$A$4:$A$54</c:f>
              <c:numCache>
                <c:formatCode>General</c:formatCode>
                <c:ptCount val="51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  <c:pt idx="45">
                  <c:v>2014</c:v>
                </c:pt>
                <c:pt idx="46">
                  <c:v>2015</c:v>
                </c:pt>
                <c:pt idx="47">
                  <c:v>2016</c:v>
                </c:pt>
                <c:pt idx="48">
                  <c:v>2017</c:v>
                </c:pt>
                <c:pt idx="49">
                  <c:v>2018</c:v>
                </c:pt>
                <c:pt idx="50">
                  <c:v>2019</c:v>
                </c:pt>
              </c:numCache>
            </c:numRef>
          </c:cat>
          <c:val>
            <c:numRef>
              <c:f>br!$G$4:$G$54</c:f>
              <c:numCache>
                <c:formatCode>0.0%</c:formatCode>
                <c:ptCount val="51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0.11</c:v>
                </c:pt>
                <c:pt idx="5">
                  <c:v>0.11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0.18</c:v>
                </c:pt>
                <c:pt idx="9">
                  <c:v>0.19</c:v>
                </c:pt>
                <c:pt idx="10">
                  <c:v>0.19</c:v>
                </c:pt>
                <c:pt idx="11">
                  <c:v>0.20499999999999999</c:v>
                </c:pt>
                <c:pt idx="12">
                  <c:v>0.23</c:v>
                </c:pt>
                <c:pt idx="13">
                  <c:v>0.23</c:v>
                </c:pt>
                <c:pt idx="14">
                  <c:v>0.26</c:v>
                </c:pt>
                <c:pt idx="15">
                  <c:v>0.25</c:v>
                </c:pt>
                <c:pt idx="16">
                  <c:v>0.28000000000000003</c:v>
                </c:pt>
                <c:pt idx="17">
                  <c:v>0.3</c:v>
                </c:pt>
                <c:pt idx="18">
                  <c:v>0.3</c:v>
                </c:pt>
                <c:pt idx="19">
                  <c:v>0.31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0.37</c:v>
                </c:pt>
                <c:pt idx="24">
                  <c:v>0.39</c:v>
                </c:pt>
                <c:pt idx="25">
                  <c:v>0.41</c:v>
                </c:pt>
                <c:pt idx="26">
                  <c:v>0.44</c:v>
                </c:pt>
                <c:pt idx="27">
                  <c:v>0.42</c:v>
                </c:pt>
                <c:pt idx="28">
                  <c:v>0.47</c:v>
                </c:pt>
                <c:pt idx="29">
                  <c:v>0.46</c:v>
                </c:pt>
                <c:pt idx="30">
                  <c:v>0.48</c:v>
                </c:pt>
                <c:pt idx="31">
                  <c:v>0.5</c:v>
                </c:pt>
                <c:pt idx="32">
                  <c:v>0.53475609756097564</c:v>
                </c:pt>
                <c:pt idx="33">
                  <c:v>0.5</c:v>
                </c:pt>
                <c:pt idx="34">
                  <c:v>0.53</c:v>
                </c:pt>
                <c:pt idx="35">
                  <c:v>0.56000000000000005</c:v>
                </c:pt>
                <c:pt idx="36">
                  <c:v>0.52</c:v>
                </c:pt>
                <c:pt idx="37">
                  <c:v>0.55000000000000004</c:v>
                </c:pt>
                <c:pt idx="38">
                  <c:v>0.56000000000000005</c:v>
                </c:pt>
                <c:pt idx="39">
                  <c:v>0.54</c:v>
                </c:pt>
                <c:pt idx="40">
                  <c:v>0.55000000000000004</c:v>
                </c:pt>
                <c:pt idx="41">
                  <c:v>0.56000000000000005</c:v>
                </c:pt>
                <c:pt idx="42">
                  <c:v>0.56100000000000005</c:v>
                </c:pt>
                <c:pt idx="43">
                  <c:v>0.56999999999999995</c:v>
                </c:pt>
                <c:pt idx="50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5-4BDC-B663-79A6A2B32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24831"/>
        <c:axId val="18932399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br!$A$1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br!$A$4:$A$54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1969</c:v>
                      </c:pt>
                      <c:pt idx="1">
                        <c:v>1970</c:v>
                      </c:pt>
                      <c:pt idx="2">
                        <c:v>1971</c:v>
                      </c:pt>
                      <c:pt idx="3">
                        <c:v>1972</c:v>
                      </c:pt>
                      <c:pt idx="4">
                        <c:v>1973</c:v>
                      </c:pt>
                      <c:pt idx="5">
                        <c:v>1974</c:v>
                      </c:pt>
                      <c:pt idx="6">
                        <c:v>1975</c:v>
                      </c:pt>
                      <c:pt idx="7">
                        <c:v>1976</c:v>
                      </c:pt>
                      <c:pt idx="8">
                        <c:v>1977</c:v>
                      </c:pt>
                      <c:pt idx="9">
                        <c:v>1978</c:v>
                      </c:pt>
                      <c:pt idx="10">
                        <c:v>1979</c:v>
                      </c:pt>
                      <c:pt idx="11">
                        <c:v>1980</c:v>
                      </c:pt>
                      <c:pt idx="12">
                        <c:v>1981</c:v>
                      </c:pt>
                      <c:pt idx="13">
                        <c:v>1982</c:v>
                      </c:pt>
                      <c:pt idx="14">
                        <c:v>1983</c:v>
                      </c:pt>
                      <c:pt idx="15">
                        <c:v>1984</c:v>
                      </c:pt>
                      <c:pt idx="16">
                        <c:v>1985</c:v>
                      </c:pt>
                      <c:pt idx="17">
                        <c:v>1986</c:v>
                      </c:pt>
                      <c:pt idx="18">
                        <c:v>1987</c:v>
                      </c:pt>
                      <c:pt idx="19">
                        <c:v>1988</c:v>
                      </c:pt>
                      <c:pt idx="20">
                        <c:v>1989</c:v>
                      </c:pt>
                      <c:pt idx="21">
                        <c:v>1990</c:v>
                      </c:pt>
                      <c:pt idx="22">
                        <c:v>1991</c:v>
                      </c:pt>
                      <c:pt idx="23">
                        <c:v>1992</c:v>
                      </c:pt>
                      <c:pt idx="24">
                        <c:v>1993</c:v>
                      </c:pt>
                      <c:pt idx="25">
                        <c:v>1994</c:v>
                      </c:pt>
                      <c:pt idx="26">
                        <c:v>1995</c:v>
                      </c:pt>
                      <c:pt idx="27">
                        <c:v>1996</c:v>
                      </c:pt>
                      <c:pt idx="28">
                        <c:v>1997</c:v>
                      </c:pt>
                      <c:pt idx="29">
                        <c:v>1998</c:v>
                      </c:pt>
                      <c:pt idx="30">
                        <c:v>1999</c:v>
                      </c:pt>
                      <c:pt idx="31">
                        <c:v>2000</c:v>
                      </c:pt>
                      <c:pt idx="32">
                        <c:v>2001</c:v>
                      </c:pt>
                      <c:pt idx="33">
                        <c:v>2002</c:v>
                      </c:pt>
                      <c:pt idx="34">
                        <c:v>2003</c:v>
                      </c:pt>
                      <c:pt idx="35">
                        <c:v>2004</c:v>
                      </c:pt>
                      <c:pt idx="36">
                        <c:v>2005</c:v>
                      </c:pt>
                      <c:pt idx="37">
                        <c:v>2006</c:v>
                      </c:pt>
                      <c:pt idx="38">
                        <c:v>2007</c:v>
                      </c:pt>
                      <c:pt idx="39">
                        <c:v>2008</c:v>
                      </c:pt>
                      <c:pt idx="40">
                        <c:v>2009</c:v>
                      </c:pt>
                      <c:pt idx="41">
                        <c:v>2010</c:v>
                      </c:pt>
                      <c:pt idx="42">
                        <c:v>2011</c:v>
                      </c:pt>
                      <c:pt idx="43">
                        <c:v>2012</c:v>
                      </c:pt>
                      <c:pt idx="44">
                        <c:v>2013</c:v>
                      </c:pt>
                      <c:pt idx="45">
                        <c:v>2014</c:v>
                      </c:pt>
                      <c:pt idx="46">
                        <c:v>2015</c:v>
                      </c:pt>
                      <c:pt idx="47">
                        <c:v>2016</c:v>
                      </c:pt>
                      <c:pt idx="48">
                        <c:v>2017</c:v>
                      </c:pt>
                      <c:pt idx="49">
                        <c:v>2018</c:v>
                      </c:pt>
                      <c:pt idx="50">
                        <c:v>2019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br!$A$4:$A$47</c15:sqref>
                        </c15:formulaRef>
                      </c:ext>
                    </c:extLst>
                    <c:numCache>
                      <c:formatCode>General</c:formatCode>
                      <c:ptCount val="44"/>
                      <c:pt idx="0">
                        <c:v>1969</c:v>
                      </c:pt>
                      <c:pt idx="1">
                        <c:v>1970</c:v>
                      </c:pt>
                      <c:pt idx="2">
                        <c:v>1971</c:v>
                      </c:pt>
                      <c:pt idx="3">
                        <c:v>1972</c:v>
                      </c:pt>
                      <c:pt idx="4">
                        <c:v>1973</c:v>
                      </c:pt>
                      <c:pt idx="5">
                        <c:v>1974</c:v>
                      </c:pt>
                      <c:pt idx="6">
                        <c:v>1975</c:v>
                      </c:pt>
                      <c:pt idx="7">
                        <c:v>1976</c:v>
                      </c:pt>
                      <c:pt idx="8">
                        <c:v>1977</c:v>
                      </c:pt>
                      <c:pt idx="9">
                        <c:v>1978</c:v>
                      </c:pt>
                      <c:pt idx="10">
                        <c:v>1979</c:v>
                      </c:pt>
                      <c:pt idx="11">
                        <c:v>1980</c:v>
                      </c:pt>
                      <c:pt idx="12">
                        <c:v>1981</c:v>
                      </c:pt>
                      <c:pt idx="13">
                        <c:v>1982</c:v>
                      </c:pt>
                      <c:pt idx="14">
                        <c:v>1983</c:v>
                      </c:pt>
                      <c:pt idx="15">
                        <c:v>1984</c:v>
                      </c:pt>
                      <c:pt idx="16">
                        <c:v>1985</c:v>
                      </c:pt>
                      <c:pt idx="17">
                        <c:v>1986</c:v>
                      </c:pt>
                      <c:pt idx="18">
                        <c:v>1987</c:v>
                      </c:pt>
                      <c:pt idx="19">
                        <c:v>1988</c:v>
                      </c:pt>
                      <c:pt idx="20">
                        <c:v>1989</c:v>
                      </c:pt>
                      <c:pt idx="21">
                        <c:v>1990</c:v>
                      </c:pt>
                      <c:pt idx="22">
                        <c:v>1991</c:v>
                      </c:pt>
                      <c:pt idx="23">
                        <c:v>1992</c:v>
                      </c:pt>
                      <c:pt idx="24">
                        <c:v>1993</c:v>
                      </c:pt>
                      <c:pt idx="25">
                        <c:v>1994</c:v>
                      </c:pt>
                      <c:pt idx="26">
                        <c:v>1995</c:v>
                      </c:pt>
                      <c:pt idx="27">
                        <c:v>1996</c:v>
                      </c:pt>
                      <c:pt idx="28">
                        <c:v>1997</c:v>
                      </c:pt>
                      <c:pt idx="29">
                        <c:v>1998</c:v>
                      </c:pt>
                      <c:pt idx="30">
                        <c:v>1999</c:v>
                      </c:pt>
                      <c:pt idx="31">
                        <c:v>2000</c:v>
                      </c:pt>
                      <c:pt idx="32">
                        <c:v>2001</c:v>
                      </c:pt>
                      <c:pt idx="33">
                        <c:v>2002</c:v>
                      </c:pt>
                      <c:pt idx="34">
                        <c:v>2003</c:v>
                      </c:pt>
                      <c:pt idx="35">
                        <c:v>2004</c:v>
                      </c:pt>
                      <c:pt idx="36">
                        <c:v>2005</c:v>
                      </c:pt>
                      <c:pt idx="37">
                        <c:v>2006</c:v>
                      </c:pt>
                      <c:pt idx="38">
                        <c:v>2007</c:v>
                      </c:pt>
                      <c:pt idx="39">
                        <c:v>2008</c:v>
                      </c:pt>
                      <c:pt idx="40">
                        <c:v>2009</c:v>
                      </c:pt>
                      <c:pt idx="41">
                        <c:v>2010</c:v>
                      </c:pt>
                      <c:pt idx="42">
                        <c:v>2011</c:v>
                      </c:pt>
                      <c:pt idx="43">
                        <c:v>2012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477-4C1F-AD48-3AAAFD4FE637}"/>
                  </c:ext>
                </c:extLst>
              </c15:ser>
            </c15:filteredLineSeries>
          </c:ext>
        </c:extLst>
      </c:lineChart>
      <c:catAx>
        <c:axId val="18932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23999"/>
        <c:crosses val="autoZero"/>
        <c:auto val="1"/>
        <c:lblAlgn val="ctr"/>
        <c:lblOffset val="100"/>
        <c:noMultiLvlLbl val="0"/>
      </c:catAx>
      <c:valAx>
        <c:axId val="18932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24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hr!$D$3</c:f>
              <c:strCache>
                <c:ptCount val="1"/>
                <c:pt idx="0">
                  <c:v>% Women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hr!$D$4:$D$93</c:f>
              <c:numCache>
                <c:formatCode>0.0%</c:formatCode>
                <c:ptCount val="90"/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36">
                  <c:v>4.6875E-2</c:v>
                </c:pt>
                <c:pt idx="37">
                  <c:v>7.6923076923076927E-2</c:v>
                </c:pt>
                <c:pt idx="38">
                  <c:v>0.17741935483870969</c:v>
                </c:pt>
                <c:pt idx="39">
                  <c:v>0.13084112149532709</c:v>
                </c:pt>
                <c:pt idx="40">
                  <c:v>0.16551724137931034</c:v>
                </c:pt>
                <c:pt idx="48">
                  <c:v>0.30599999999999999</c:v>
                </c:pt>
                <c:pt idx="56">
                  <c:v>0.50485436893203883</c:v>
                </c:pt>
                <c:pt idx="57">
                  <c:v>0.40100000000000002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C1-4278-956F-406193842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140239"/>
        <c:axId val="596136079"/>
      </c:lineChart>
      <c:catAx>
        <c:axId val="596140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136079"/>
        <c:crosses val="autoZero"/>
        <c:auto val="1"/>
        <c:lblAlgn val="ctr"/>
        <c:lblOffset val="100"/>
        <c:noMultiLvlLbl val="0"/>
      </c:catAx>
      <c:valAx>
        <c:axId val="59613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140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% Female</a:t>
            </a:r>
            <a:r>
              <a:rPr lang="en-US" baseline="0">
                <a:solidFill>
                  <a:schemeClr val="tx1"/>
                </a:solidFill>
              </a:rPr>
              <a:t> German Veterinary Professionals &amp; </a:t>
            </a:r>
            <a:r>
              <a:rPr lang="en-US">
                <a:solidFill>
                  <a:schemeClr val="tx1"/>
                </a:solidFill>
              </a:rPr>
              <a:t>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'Master Data (old)'!$CJ$2</c:f>
              <c:strCache>
                <c:ptCount val="1"/>
                <c:pt idx="0">
                  <c:v>Total Students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'Master Data (old)'!$A$30:$A$92</c:f>
              <c:numCache>
                <c:formatCode>General</c:formatCode>
                <c:ptCount val="63"/>
                <c:pt idx="0">
                  <c:v>1958</c:v>
                </c:pt>
                <c:pt idx="1">
                  <c:v>1959</c:v>
                </c:pt>
                <c:pt idx="2">
                  <c:v>1960</c:v>
                </c:pt>
                <c:pt idx="3">
                  <c:v>1961</c:v>
                </c:pt>
                <c:pt idx="4">
                  <c:v>1962</c:v>
                </c:pt>
                <c:pt idx="5">
                  <c:v>1963</c:v>
                </c:pt>
                <c:pt idx="6">
                  <c:v>1964</c:v>
                </c:pt>
                <c:pt idx="7">
                  <c:v>1965</c:v>
                </c:pt>
                <c:pt idx="8">
                  <c:v>1966</c:v>
                </c:pt>
                <c:pt idx="9">
                  <c:v>1967</c:v>
                </c:pt>
                <c:pt idx="10">
                  <c:v>1968</c:v>
                </c:pt>
                <c:pt idx="11">
                  <c:v>1969</c:v>
                </c:pt>
                <c:pt idx="12">
                  <c:v>1970</c:v>
                </c:pt>
                <c:pt idx="13">
                  <c:v>1971</c:v>
                </c:pt>
                <c:pt idx="14">
                  <c:v>1972</c:v>
                </c:pt>
                <c:pt idx="15">
                  <c:v>1973</c:v>
                </c:pt>
                <c:pt idx="16">
                  <c:v>1974</c:v>
                </c:pt>
                <c:pt idx="17">
                  <c:v>1975</c:v>
                </c:pt>
                <c:pt idx="18">
                  <c:v>1976</c:v>
                </c:pt>
                <c:pt idx="19">
                  <c:v>1977</c:v>
                </c:pt>
                <c:pt idx="20">
                  <c:v>1978</c:v>
                </c:pt>
                <c:pt idx="21">
                  <c:v>1979</c:v>
                </c:pt>
                <c:pt idx="22">
                  <c:v>1980</c:v>
                </c:pt>
                <c:pt idx="23">
                  <c:v>1981</c:v>
                </c:pt>
                <c:pt idx="24">
                  <c:v>1982</c:v>
                </c:pt>
                <c:pt idx="25">
                  <c:v>1983</c:v>
                </c:pt>
                <c:pt idx="26">
                  <c:v>1984</c:v>
                </c:pt>
                <c:pt idx="27">
                  <c:v>1985</c:v>
                </c:pt>
                <c:pt idx="28">
                  <c:v>1986</c:v>
                </c:pt>
                <c:pt idx="29">
                  <c:v>1987</c:v>
                </c:pt>
                <c:pt idx="30">
                  <c:v>1988</c:v>
                </c:pt>
                <c:pt idx="31">
                  <c:v>1989</c:v>
                </c:pt>
                <c:pt idx="32">
                  <c:v>1990</c:v>
                </c:pt>
                <c:pt idx="33">
                  <c:v>1991</c:v>
                </c:pt>
                <c:pt idx="34">
                  <c:v>1992</c:v>
                </c:pt>
                <c:pt idx="35">
                  <c:v>1993</c:v>
                </c:pt>
                <c:pt idx="36">
                  <c:v>1994</c:v>
                </c:pt>
                <c:pt idx="37">
                  <c:v>1995</c:v>
                </c:pt>
                <c:pt idx="38">
                  <c:v>1996</c:v>
                </c:pt>
                <c:pt idx="39">
                  <c:v>1997</c:v>
                </c:pt>
                <c:pt idx="40">
                  <c:v>1998</c:v>
                </c:pt>
                <c:pt idx="41">
                  <c:v>1999</c:v>
                </c:pt>
                <c:pt idx="42">
                  <c:v>2000</c:v>
                </c:pt>
                <c:pt idx="43">
                  <c:v>2001</c:v>
                </c:pt>
                <c:pt idx="44">
                  <c:v>2002</c:v>
                </c:pt>
                <c:pt idx="45">
                  <c:v>2003</c:v>
                </c:pt>
                <c:pt idx="46">
                  <c:v>2004</c:v>
                </c:pt>
                <c:pt idx="47">
                  <c:v>2005</c:v>
                </c:pt>
                <c:pt idx="48">
                  <c:v>2006</c:v>
                </c:pt>
                <c:pt idx="49">
                  <c:v>2007</c:v>
                </c:pt>
                <c:pt idx="50">
                  <c:v>2008</c:v>
                </c:pt>
                <c:pt idx="51">
                  <c:v>2009</c:v>
                </c:pt>
                <c:pt idx="52">
                  <c:v>2010</c:v>
                </c:pt>
                <c:pt idx="53">
                  <c:v>2011</c:v>
                </c:pt>
                <c:pt idx="54">
                  <c:v>2012</c:v>
                </c:pt>
                <c:pt idx="55">
                  <c:v>2013</c:v>
                </c:pt>
                <c:pt idx="56">
                  <c:v>2014</c:v>
                </c:pt>
                <c:pt idx="57">
                  <c:v>2015</c:v>
                </c:pt>
                <c:pt idx="58">
                  <c:v>2016</c:v>
                </c:pt>
                <c:pt idx="59">
                  <c:v>2017</c:v>
                </c:pt>
                <c:pt idx="60">
                  <c:v>2018</c:v>
                </c:pt>
                <c:pt idx="61">
                  <c:v>2019</c:v>
                </c:pt>
                <c:pt idx="62">
                  <c:v>2020</c:v>
                </c:pt>
              </c:numCache>
            </c:numRef>
          </c:xVal>
          <c:yVal>
            <c:numRef>
              <c:f>'Master Data (old)'!$CL$30:$CL$92</c:f>
              <c:numCache>
                <c:formatCode>General</c:formatCode>
                <c:ptCount val="63"/>
                <c:pt idx="0">
                  <c:v>0.14018087855297157</c:v>
                </c:pt>
                <c:pt idx="1">
                  <c:v>0.14394904458598726</c:v>
                </c:pt>
                <c:pt idx="2">
                  <c:v>0.14470443349753695</c:v>
                </c:pt>
                <c:pt idx="3">
                  <c:v>0.14076782449725778</c:v>
                </c:pt>
                <c:pt idx="4">
                  <c:v>0.15673981191222572</c:v>
                </c:pt>
                <c:pt idx="5">
                  <c:v>0.18761384335154827</c:v>
                </c:pt>
                <c:pt idx="6">
                  <c:v>0.19334112149532709</c:v>
                </c:pt>
                <c:pt idx="7">
                  <c:v>0.17906178489702518</c:v>
                </c:pt>
                <c:pt idx="8">
                  <c:v>0.20992366412213739</c:v>
                </c:pt>
                <c:pt idx="9">
                  <c:v>0.21340523882896764</c:v>
                </c:pt>
                <c:pt idx="10">
                  <c:v>0.21635569670504168</c:v>
                </c:pt>
                <c:pt idx="11">
                  <c:v>0.22578094108343219</c:v>
                </c:pt>
                <c:pt idx="12">
                  <c:v>0.245</c:v>
                </c:pt>
                <c:pt idx="13">
                  <c:v>0.266812865497076</c:v>
                </c:pt>
                <c:pt idx="14">
                  <c:v>0.30070671378091873</c:v>
                </c:pt>
                <c:pt idx="15">
                  <c:v>0.33118862174060276</c:v>
                </c:pt>
                <c:pt idx="16">
                  <c:v>0.32998996990972917</c:v>
                </c:pt>
                <c:pt idx="17">
                  <c:v>0.33767038413878564</c:v>
                </c:pt>
                <c:pt idx="18">
                  <c:v>0.32779845405095909</c:v>
                </c:pt>
                <c:pt idx="19">
                  <c:v>0.34447983014861994</c:v>
                </c:pt>
                <c:pt idx="20">
                  <c:v>0.39557364538285422</c:v>
                </c:pt>
                <c:pt idx="21">
                  <c:v>0.40920716112531969</c:v>
                </c:pt>
                <c:pt idx="22">
                  <c:v>0.44150475403059114</c:v>
                </c:pt>
                <c:pt idx="23">
                  <c:v>0.46867263378404111</c:v>
                </c:pt>
                <c:pt idx="24">
                  <c:v>0.49404976559682656</c:v>
                </c:pt>
                <c:pt idx="25">
                  <c:v>0.51477091809658593</c:v>
                </c:pt>
                <c:pt idx="26">
                  <c:v>0.54217285664699755</c:v>
                </c:pt>
                <c:pt idx="27">
                  <c:v>0.56648294867378579</c:v>
                </c:pt>
                <c:pt idx="28">
                  <c:v>0.58005159071367152</c:v>
                </c:pt>
                <c:pt idx="29">
                  <c:v>0.60542832909245126</c:v>
                </c:pt>
                <c:pt idx="30">
                  <c:v>0.61140939597315436</c:v>
                </c:pt>
                <c:pt idx="31">
                  <c:v>0.6281287246722288</c:v>
                </c:pt>
                <c:pt idx="32">
                  <c:v>0.65357643758765782</c:v>
                </c:pt>
                <c:pt idx="33">
                  <c:v>0.63396226415094337</c:v>
                </c:pt>
                <c:pt idx="34">
                  <c:v>0.66038009574931089</c:v>
                </c:pt>
                <c:pt idx="35">
                  <c:v>0.68702843876958797</c:v>
                </c:pt>
                <c:pt idx="36">
                  <c:v>0.71608226068945113</c:v>
                </c:pt>
                <c:pt idx="37">
                  <c:v>0.74299273320480497</c:v>
                </c:pt>
                <c:pt idx="38">
                  <c:v>0.76862626567931092</c:v>
                </c:pt>
                <c:pt idx="39">
                  <c:v>0.78963461244458033</c:v>
                </c:pt>
                <c:pt idx="40">
                  <c:v>0.79252537680713631</c:v>
                </c:pt>
                <c:pt idx="41">
                  <c:v>0.80455727175409086</c:v>
                </c:pt>
                <c:pt idx="42">
                  <c:v>0.81414172266340867</c:v>
                </c:pt>
                <c:pt idx="43">
                  <c:v>0.82699827936805881</c:v>
                </c:pt>
                <c:pt idx="44">
                  <c:v>0.83518721604261315</c:v>
                </c:pt>
                <c:pt idx="45">
                  <c:v>0.84051036682615632</c:v>
                </c:pt>
                <c:pt idx="46">
                  <c:v>0.84041402749884131</c:v>
                </c:pt>
                <c:pt idx="47">
                  <c:v>0.85596000624902358</c:v>
                </c:pt>
                <c:pt idx="48">
                  <c:v>0.86353879178166204</c:v>
                </c:pt>
                <c:pt idx="49">
                  <c:v>0.85996758508914095</c:v>
                </c:pt>
                <c:pt idx="50">
                  <c:v>0.86350844277673544</c:v>
                </c:pt>
                <c:pt idx="51">
                  <c:v>0.86722187303582654</c:v>
                </c:pt>
                <c:pt idx="52">
                  <c:v>0.85117656225650618</c:v>
                </c:pt>
                <c:pt idx="53">
                  <c:v>0.85208557795905804</c:v>
                </c:pt>
                <c:pt idx="54">
                  <c:v>0.71208720743828147</c:v>
                </c:pt>
                <c:pt idx="55">
                  <c:v>0.85451713395638629</c:v>
                </c:pt>
                <c:pt idx="56">
                  <c:v>0.8633675692499222</c:v>
                </c:pt>
                <c:pt idx="57">
                  <c:v>0.86546943919344677</c:v>
                </c:pt>
                <c:pt idx="58">
                  <c:v>0.85640056683986776</c:v>
                </c:pt>
                <c:pt idx="59">
                  <c:v>0.87092198581560287</c:v>
                </c:pt>
                <c:pt idx="60">
                  <c:v>0.85440552850636098</c:v>
                </c:pt>
                <c:pt idx="61">
                  <c:v>0.85631372549019613</c:v>
                </c:pt>
                <c:pt idx="62">
                  <c:v>0.860610806577917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08-4C9E-B39A-9D6BA1168431}"/>
            </c:ext>
          </c:extLst>
        </c:ser>
        <c:ser>
          <c:idx val="0"/>
          <c:order val="1"/>
          <c:tx>
            <c:strRef>
              <c:f>'Master Data (old)'!$CM$2</c:f>
              <c:strCache>
                <c:ptCount val="1"/>
                <c:pt idx="0">
                  <c:v>New Students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'Master Data (old)'!$A$30:$A$92</c:f>
              <c:numCache>
                <c:formatCode>General</c:formatCode>
                <c:ptCount val="63"/>
                <c:pt idx="0">
                  <c:v>1958</c:v>
                </c:pt>
                <c:pt idx="1">
                  <c:v>1959</c:v>
                </c:pt>
                <c:pt idx="2">
                  <c:v>1960</c:v>
                </c:pt>
                <c:pt idx="3">
                  <c:v>1961</c:v>
                </c:pt>
                <c:pt idx="4">
                  <c:v>1962</c:v>
                </c:pt>
                <c:pt idx="5">
                  <c:v>1963</c:v>
                </c:pt>
                <c:pt idx="6">
                  <c:v>1964</c:v>
                </c:pt>
                <c:pt idx="7">
                  <c:v>1965</c:v>
                </c:pt>
                <c:pt idx="8">
                  <c:v>1966</c:v>
                </c:pt>
                <c:pt idx="9">
                  <c:v>1967</c:v>
                </c:pt>
                <c:pt idx="10">
                  <c:v>1968</c:v>
                </c:pt>
                <c:pt idx="11">
                  <c:v>1969</c:v>
                </c:pt>
                <c:pt idx="12">
                  <c:v>1970</c:v>
                </c:pt>
                <c:pt idx="13">
                  <c:v>1971</c:v>
                </c:pt>
                <c:pt idx="14">
                  <c:v>1972</c:v>
                </c:pt>
                <c:pt idx="15">
                  <c:v>1973</c:v>
                </c:pt>
                <c:pt idx="16">
                  <c:v>1974</c:v>
                </c:pt>
                <c:pt idx="17">
                  <c:v>1975</c:v>
                </c:pt>
                <c:pt idx="18">
                  <c:v>1976</c:v>
                </c:pt>
                <c:pt idx="19">
                  <c:v>1977</c:v>
                </c:pt>
                <c:pt idx="20">
                  <c:v>1978</c:v>
                </c:pt>
                <c:pt idx="21">
                  <c:v>1979</c:v>
                </c:pt>
                <c:pt idx="22">
                  <c:v>1980</c:v>
                </c:pt>
                <c:pt idx="23">
                  <c:v>1981</c:v>
                </c:pt>
                <c:pt idx="24">
                  <c:v>1982</c:v>
                </c:pt>
                <c:pt idx="25">
                  <c:v>1983</c:v>
                </c:pt>
                <c:pt idx="26">
                  <c:v>1984</c:v>
                </c:pt>
                <c:pt idx="27">
                  <c:v>1985</c:v>
                </c:pt>
                <c:pt idx="28">
                  <c:v>1986</c:v>
                </c:pt>
                <c:pt idx="29">
                  <c:v>1987</c:v>
                </c:pt>
                <c:pt idx="30">
                  <c:v>1988</c:v>
                </c:pt>
                <c:pt idx="31">
                  <c:v>1989</c:v>
                </c:pt>
                <c:pt idx="32">
                  <c:v>1990</c:v>
                </c:pt>
                <c:pt idx="33">
                  <c:v>1991</c:v>
                </c:pt>
                <c:pt idx="34">
                  <c:v>1992</c:v>
                </c:pt>
                <c:pt idx="35">
                  <c:v>1993</c:v>
                </c:pt>
                <c:pt idx="36">
                  <c:v>1994</c:v>
                </c:pt>
                <c:pt idx="37">
                  <c:v>1995</c:v>
                </c:pt>
                <c:pt idx="38">
                  <c:v>1996</c:v>
                </c:pt>
                <c:pt idx="39">
                  <c:v>1997</c:v>
                </c:pt>
                <c:pt idx="40">
                  <c:v>1998</c:v>
                </c:pt>
                <c:pt idx="41">
                  <c:v>1999</c:v>
                </c:pt>
                <c:pt idx="42">
                  <c:v>2000</c:v>
                </c:pt>
                <c:pt idx="43">
                  <c:v>2001</c:v>
                </c:pt>
                <c:pt idx="44">
                  <c:v>2002</c:v>
                </c:pt>
                <c:pt idx="45">
                  <c:v>2003</c:v>
                </c:pt>
                <c:pt idx="46">
                  <c:v>2004</c:v>
                </c:pt>
                <c:pt idx="47">
                  <c:v>2005</c:v>
                </c:pt>
                <c:pt idx="48">
                  <c:v>2006</c:v>
                </c:pt>
                <c:pt idx="49">
                  <c:v>2007</c:v>
                </c:pt>
                <c:pt idx="50">
                  <c:v>2008</c:v>
                </c:pt>
                <c:pt idx="51">
                  <c:v>2009</c:v>
                </c:pt>
                <c:pt idx="52">
                  <c:v>2010</c:v>
                </c:pt>
                <c:pt idx="53">
                  <c:v>2011</c:v>
                </c:pt>
                <c:pt idx="54">
                  <c:v>2012</c:v>
                </c:pt>
                <c:pt idx="55">
                  <c:v>2013</c:v>
                </c:pt>
                <c:pt idx="56">
                  <c:v>2014</c:v>
                </c:pt>
                <c:pt idx="57">
                  <c:v>2015</c:v>
                </c:pt>
                <c:pt idx="58">
                  <c:v>2016</c:v>
                </c:pt>
                <c:pt idx="59">
                  <c:v>2017</c:v>
                </c:pt>
                <c:pt idx="60">
                  <c:v>2018</c:v>
                </c:pt>
                <c:pt idx="61">
                  <c:v>2019</c:v>
                </c:pt>
                <c:pt idx="62">
                  <c:v>2020</c:v>
                </c:pt>
              </c:numCache>
            </c:numRef>
          </c:xVal>
          <c:yVal>
            <c:numRef>
              <c:f>'Master Data (old)'!$CO$30:$CO$92</c:f>
              <c:numCache>
                <c:formatCode>General</c:formatCode>
                <c:ptCount val="63"/>
                <c:pt idx="0">
                  <c:v>5.3072625698324022E-2</c:v>
                </c:pt>
                <c:pt idx="1">
                  <c:v>4.1237113402061855E-2</c:v>
                </c:pt>
                <c:pt idx="2">
                  <c:v>5.089820359281437E-2</c:v>
                </c:pt>
                <c:pt idx="3">
                  <c:v>7.6696165191740412E-2</c:v>
                </c:pt>
                <c:pt idx="4">
                  <c:v>8.143322475570032E-2</c:v>
                </c:pt>
                <c:pt idx="5">
                  <c:v>9.8522167487684734E-2</c:v>
                </c:pt>
                <c:pt idx="6">
                  <c:v>5.8380414312617701E-2</c:v>
                </c:pt>
                <c:pt idx="7">
                  <c:v>6.7901234567901231E-2</c:v>
                </c:pt>
                <c:pt idx="8">
                  <c:v>0.14116094986807387</c:v>
                </c:pt>
                <c:pt idx="9">
                  <c:v>8.7378640776699032E-2</c:v>
                </c:pt>
                <c:pt idx="10">
                  <c:v>0.1348314606741573</c:v>
                </c:pt>
                <c:pt idx="11">
                  <c:v>0.19616204690831557</c:v>
                </c:pt>
                <c:pt idx="12">
                  <c:v>0.25157232704402516</c:v>
                </c:pt>
                <c:pt idx="13">
                  <c:v>0.25263157894736843</c:v>
                </c:pt>
                <c:pt idx="15">
                  <c:v>0.34337349397590361</c:v>
                </c:pt>
                <c:pt idx="16">
                  <c:v>0.21029411764705883</c:v>
                </c:pt>
                <c:pt idx="17">
                  <c:v>0.31294452347083929</c:v>
                </c:pt>
                <c:pt idx="18">
                  <c:v>0.33828996282527879</c:v>
                </c:pt>
                <c:pt idx="19">
                  <c:v>0.41278439869989164</c:v>
                </c:pt>
                <c:pt idx="20">
                  <c:v>0.45986238532110091</c:v>
                </c:pt>
                <c:pt idx="21">
                  <c:v>0.4563758389261745</c:v>
                </c:pt>
                <c:pt idx="22">
                  <c:v>0.52023692003948663</c:v>
                </c:pt>
                <c:pt idx="23">
                  <c:v>0.53175457481162536</c:v>
                </c:pt>
                <c:pt idx="24">
                  <c:v>0.56589958158995812</c:v>
                </c:pt>
                <c:pt idx="25">
                  <c:v>0.57525083612040129</c:v>
                </c:pt>
                <c:pt idx="26">
                  <c:v>0.61928934010152281</c:v>
                </c:pt>
                <c:pt idx="27">
                  <c:v>0.60373443983402486</c:v>
                </c:pt>
                <c:pt idx="28">
                  <c:v>0.61254199328107506</c:v>
                </c:pt>
                <c:pt idx="29">
                  <c:v>0.6388571428571429</c:v>
                </c:pt>
                <c:pt idx="30">
                  <c:v>0.67932960893854744</c:v>
                </c:pt>
                <c:pt idx="31">
                  <c:v>0.66371681415929207</c:v>
                </c:pt>
                <c:pt idx="32">
                  <c:v>0.74392935982339958</c:v>
                </c:pt>
                <c:pt idx="33">
                  <c:v>0.71024146544546207</c:v>
                </c:pt>
                <c:pt idx="34">
                  <c:v>0.76415094339622647</c:v>
                </c:pt>
                <c:pt idx="35">
                  <c:v>0.79460966542750933</c:v>
                </c:pt>
                <c:pt idx="36">
                  <c:v>0.77659574468085102</c:v>
                </c:pt>
                <c:pt idx="37">
                  <c:v>0.80366972477064225</c:v>
                </c:pt>
                <c:pt idx="38">
                  <c:v>0.78526504941599284</c:v>
                </c:pt>
                <c:pt idx="39">
                  <c:v>0.80595667870036103</c:v>
                </c:pt>
                <c:pt idx="40">
                  <c:v>0.81750465549348228</c:v>
                </c:pt>
                <c:pt idx="41">
                  <c:v>0.87737642585551334</c:v>
                </c:pt>
                <c:pt idx="42">
                  <c:v>0.86237623762376237</c:v>
                </c:pt>
                <c:pt idx="43">
                  <c:v>0.87887887887887883</c:v>
                </c:pt>
                <c:pt idx="44">
                  <c:v>0.86220472440944884</c:v>
                </c:pt>
                <c:pt idx="45">
                  <c:v>0.87035271687321258</c:v>
                </c:pt>
                <c:pt idx="46">
                  <c:v>0.84694754944110062</c:v>
                </c:pt>
                <c:pt idx="47">
                  <c:v>0.88121546961325969</c:v>
                </c:pt>
                <c:pt idx="48">
                  <c:v>0.8705357142857143</c:v>
                </c:pt>
                <c:pt idx="49">
                  <c:v>0.8549172346640701</c:v>
                </c:pt>
                <c:pt idx="50">
                  <c:v>0.90808823529411764</c:v>
                </c:pt>
                <c:pt idx="51">
                  <c:v>0.85489833641404811</c:v>
                </c:pt>
                <c:pt idx="52">
                  <c:v>0.8605724838411819</c:v>
                </c:pt>
                <c:pt idx="53">
                  <c:v>0.84664246823956446</c:v>
                </c:pt>
                <c:pt idx="54">
                  <c:v>0.81334459459459463</c:v>
                </c:pt>
                <c:pt idx="55">
                  <c:v>0.86261682242990656</c:v>
                </c:pt>
                <c:pt idx="56">
                  <c:v>0.85420560747663554</c:v>
                </c:pt>
                <c:pt idx="57">
                  <c:v>0.86155285313376984</c:v>
                </c:pt>
                <c:pt idx="58">
                  <c:v>0.87012987012987009</c:v>
                </c:pt>
                <c:pt idx="59">
                  <c:v>0.89645522388059706</c:v>
                </c:pt>
                <c:pt idx="60">
                  <c:v>0.8528880866425993</c:v>
                </c:pt>
                <c:pt idx="61">
                  <c:v>0.85296722763507526</c:v>
                </c:pt>
                <c:pt idx="62">
                  <c:v>0.89454870420017873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08-4C9E-B39A-9D6BA1168431}"/>
            </c:ext>
          </c:extLst>
        </c:ser>
        <c:ser>
          <c:idx val="2"/>
          <c:order val="2"/>
          <c:tx>
            <c:strRef>
              <c:f>'Master Data (old)'!$CG$2</c:f>
              <c:strCache>
                <c:ptCount val="1"/>
                <c:pt idx="0">
                  <c:v>New Graduates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'Master Data (old)'!$A$30:$A$92</c:f>
              <c:numCache>
                <c:formatCode>General</c:formatCode>
                <c:ptCount val="63"/>
                <c:pt idx="0">
                  <c:v>1958</c:v>
                </c:pt>
                <c:pt idx="1">
                  <c:v>1959</c:v>
                </c:pt>
                <c:pt idx="2">
                  <c:v>1960</c:v>
                </c:pt>
                <c:pt idx="3">
                  <c:v>1961</c:v>
                </c:pt>
                <c:pt idx="4">
                  <c:v>1962</c:v>
                </c:pt>
                <c:pt idx="5">
                  <c:v>1963</c:v>
                </c:pt>
                <c:pt idx="6">
                  <c:v>1964</c:v>
                </c:pt>
                <c:pt idx="7">
                  <c:v>1965</c:v>
                </c:pt>
                <c:pt idx="8">
                  <c:v>1966</c:v>
                </c:pt>
                <c:pt idx="9">
                  <c:v>1967</c:v>
                </c:pt>
                <c:pt idx="10">
                  <c:v>1968</c:v>
                </c:pt>
                <c:pt idx="11">
                  <c:v>1969</c:v>
                </c:pt>
                <c:pt idx="12">
                  <c:v>1970</c:v>
                </c:pt>
                <c:pt idx="13">
                  <c:v>1971</c:v>
                </c:pt>
                <c:pt idx="14">
                  <c:v>1972</c:v>
                </c:pt>
                <c:pt idx="15">
                  <c:v>1973</c:v>
                </c:pt>
                <c:pt idx="16">
                  <c:v>1974</c:v>
                </c:pt>
                <c:pt idx="17">
                  <c:v>1975</c:v>
                </c:pt>
                <c:pt idx="18">
                  <c:v>1976</c:v>
                </c:pt>
                <c:pt idx="19">
                  <c:v>1977</c:v>
                </c:pt>
                <c:pt idx="20">
                  <c:v>1978</c:v>
                </c:pt>
                <c:pt idx="21">
                  <c:v>1979</c:v>
                </c:pt>
                <c:pt idx="22">
                  <c:v>1980</c:v>
                </c:pt>
                <c:pt idx="23">
                  <c:v>1981</c:v>
                </c:pt>
                <c:pt idx="24">
                  <c:v>1982</c:v>
                </c:pt>
                <c:pt idx="25">
                  <c:v>1983</c:v>
                </c:pt>
                <c:pt idx="26">
                  <c:v>1984</c:v>
                </c:pt>
                <c:pt idx="27">
                  <c:v>1985</c:v>
                </c:pt>
                <c:pt idx="28">
                  <c:v>1986</c:v>
                </c:pt>
                <c:pt idx="29">
                  <c:v>1987</c:v>
                </c:pt>
                <c:pt idx="30">
                  <c:v>1988</c:v>
                </c:pt>
                <c:pt idx="31">
                  <c:v>1989</c:v>
                </c:pt>
                <c:pt idx="32">
                  <c:v>1990</c:v>
                </c:pt>
                <c:pt idx="33">
                  <c:v>1991</c:v>
                </c:pt>
                <c:pt idx="34">
                  <c:v>1992</c:v>
                </c:pt>
                <c:pt idx="35">
                  <c:v>1993</c:v>
                </c:pt>
                <c:pt idx="36">
                  <c:v>1994</c:v>
                </c:pt>
                <c:pt idx="37">
                  <c:v>1995</c:v>
                </c:pt>
                <c:pt idx="38">
                  <c:v>1996</c:v>
                </c:pt>
                <c:pt idx="39">
                  <c:v>1997</c:v>
                </c:pt>
                <c:pt idx="40">
                  <c:v>1998</c:v>
                </c:pt>
                <c:pt idx="41">
                  <c:v>1999</c:v>
                </c:pt>
                <c:pt idx="42">
                  <c:v>2000</c:v>
                </c:pt>
                <c:pt idx="43">
                  <c:v>2001</c:v>
                </c:pt>
                <c:pt idx="44">
                  <c:v>2002</c:v>
                </c:pt>
                <c:pt idx="45">
                  <c:v>2003</c:v>
                </c:pt>
                <c:pt idx="46">
                  <c:v>2004</c:v>
                </c:pt>
                <c:pt idx="47">
                  <c:v>2005</c:v>
                </c:pt>
                <c:pt idx="48">
                  <c:v>2006</c:v>
                </c:pt>
                <c:pt idx="49">
                  <c:v>2007</c:v>
                </c:pt>
                <c:pt idx="50">
                  <c:v>2008</c:v>
                </c:pt>
                <c:pt idx="51">
                  <c:v>2009</c:v>
                </c:pt>
                <c:pt idx="52">
                  <c:v>2010</c:v>
                </c:pt>
                <c:pt idx="53">
                  <c:v>2011</c:v>
                </c:pt>
                <c:pt idx="54">
                  <c:v>2012</c:v>
                </c:pt>
                <c:pt idx="55">
                  <c:v>2013</c:v>
                </c:pt>
                <c:pt idx="56">
                  <c:v>2014</c:v>
                </c:pt>
                <c:pt idx="57">
                  <c:v>2015</c:v>
                </c:pt>
                <c:pt idx="58">
                  <c:v>2016</c:v>
                </c:pt>
                <c:pt idx="59">
                  <c:v>2017</c:v>
                </c:pt>
                <c:pt idx="60">
                  <c:v>2018</c:v>
                </c:pt>
                <c:pt idx="61">
                  <c:v>2019</c:v>
                </c:pt>
                <c:pt idx="62">
                  <c:v>2020</c:v>
                </c:pt>
              </c:numCache>
            </c:numRef>
          </c:xVal>
          <c:yVal>
            <c:numRef>
              <c:f>'Master Data (old)'!$CI$30:$CI$92</c:f>
              <c:numCache>
                <c:formatCode>General</c:formatCode>
                <c:ptCount val="63"/>
                <c:pt idx="0">
                  <c:v>8.5836909871244635E-2</c:v>
                </c:pt>
                <c:pt idx="1">
                  <c:v>0.10416666666666667</c:v>
                </c:pt>
                <c:pt idx="2">
                  <c:v>0.19243986254295534</c:v>
                </c:pt>
                <c:pt idx="3">
                  <c:v>0.14130434782608695</c:v>
                </c:pt>
                <c:pt idx="4">
                  <c:v>0.14130434782608695</c:v>
                </c:pt>
                <c:pt idx="5">
                  <c:v>0.11589403973509933</c:v>
                </c:pt>
                <c:pt idx="6">
                  <c:v>0.16370106761565836</c:v>
                </c:pt>
                <c:pt idx="7">
                  <c:v>0.14878892733564014</c:v>
                </c:pt>
                <c:pt idx="8">
                  <c:v>0.19282511210762332</c:v>
                </c:pt>
                <c:pt idx="9">
                  <c:v>0.19047619047619047</c:v>
                </c:pt>
                <c:pt idx="13">
                  <c:v>0.26196473551637278</c:v>
                </c:pt>
                <c:pt idx="14">
                  <c:v>0.25225225225225223</c:v>
                </c:pt>
                <c:pt idx="15">
                  <c:v>0.43085106382978722</c:v>
                </c:pt>
                <c:pt idx="16">
                  <c:v>0.25360230547550433</c:v>
                </c:pt>
                <c:pt idx="17">
                  <c:v>0.29749103942652327</c:v>
                </c:pt>
                <c:pt idx="18">
                  <c:v>0.33121019108280253</c:v>
                </c:pt>
                <c:pt idx="19">
                  <c:v>0.40369393139841686</c:v>
                </c:pt>
                <c:pt idx="20">
                  <c:v>0.39407744874715261</c:v>
                </c:pt>
                <c:pt idx="21">
                  <c:v>0.35421686746987951</c:v>
                </c:pt>
                <c:pt idx="22">
                  <c:v>0.42723004694835681</c:v>
                </c:pt>
                <c:pt idx="23">
                  <c:v>0.34274952919020718</c:v>
                </c:pt>
                <c:pt idx="24">
                  <c:v>0.41538461538461541</c:v>
                </c:pt>
                <c:pt idx="25">
                  <c:v>0.45387994143484628</c:v>
                </c:pt>
                <c:pt idx="26">
                  <c:v>0.45987261146496816</c:v>
                </c:pt>
                <c:pt idx="27">
                  <c:v>0.49813664596273294</c:v>
                </c:pt>
                <c:pt idx="28">
                  <c:v>0.49316770186335401</c:v>
                </c:pt>
                <c:pt idx="29">
                  <c:v>0.55461165048543692</c:v>
                </c:pt>
                <c:pt idx="30">
                  <c:v>0.54299175500588925</c:v>
                </c:pt>
                <c:pt idx="31">
                  <c:v>0.59563543003851094</c:v>
                </c:pt>
                <c:pt idx="32">
                  <c:v>0.59132720105124836</c:v>
                </c:pt>
                <c:pt idx="33">
                  <c:v>0.59422110552763818</c:v>
                </c:pt>
                <c:pt idx="34">
                  <c:v>0.59979423868312753</c:v>
                </c:pt>
                <c:pt idx="35">
                  <c:v>0.63157894736842102</c:v>
                </c:pt>
                <c:pt idx="36">
                  <c:v>0.61388286334056397</c:v>
                </c:pt>
                <c:pt idx="37">
                  <c:v>0.63699307616221568</c:v>
                </c:pt>
                <c:pt idx="38">
                  <c:v>0.62072072072072071</c:v>
                </c:pt>
                <c:pt idx="39">
                  <c:v>0.71280991735537191</c:v>
                </c:pt>
                <c:pt idx="40">
                  <c:v>0.79625292740046838</c:v>
                </c:pt>
                <c:pt idx="41">
                  <c:v>0.81500513874614589</c:v>
                </c:pt>
                <c:pt idx="42">
                  <c:v>0.79795686719636771</c:v>
                </c:pt>
                <c:pt idx="43">
                  <c:v>0.79677419354838708</c:v>
                </c:pt>
                <c:pt idx="44">
                  <c:v>0.77814938684503898</c:v>
                </c:pt>
                <c:pt idx="45">
                  <c:v>0.82195121951219507</c:v>
                </c:pt>
                <c:pt idx="46">
                  <c:v>0.80769230769230771</c:v>
                </c:pt>
                <c:pt idx="47">
                  <c:v>0.85614849187935038</c:v>
                </c:pt>
                <c:pt idx="48">
                  <c:v>0.86036036036036034</c:v>
                </c:pt>
                <c:pt idx="49">
                  <c:v>0.85284280936454848</c:v>
                </c:pt>
                <c:pt idx="50">
                  <c:v>0.86558516801854002</c:v>
                </c:pt>
                <c:pt idx="51">
                  <c:v>0.89009793253536451</c:v>
                </c:pt>
                <c:pt idx="52">
                  <c:v>0.87394067796610164</c:v>
                </c:pt>
                <c:pt idx="53">
                  <c:v>0.88719512195121952</c:v>
                </c:pt>
                <c:pt idx="54">
                  <c:v>0.88865323435843058</c:v>
                </c:pt>
                <c:pt idx="55">
                  <c:v>0.85414480587618047</c:v>
                </c:pt>
                <c:pt idx="56">
                  <c:v>0.84188481675392668</c:v>
                </c:pt>
                <c:pt idx="57">
                  <c:v>0.8586387434554974</c:v>
                </c:pt>
                <c:pt idx="58">
                  <c:v>0.86363636363636365</c:v>
                </c:pt>
                <c:pt idx="59">
                  <c:v>0.854389721627409</c:v>
                </c:pt>
                <c:pt idx="60">
                  <c:v>0.86862967157417892</c:v>
                </c:pt>
                <c:pt idx="61">
                  <c:v>0.84399551066217737</c:v>
                </c:pt>
                <c:pt idx="62">
                  <c:v>0.86833144154370034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08-4C9E-B39A-9D6BA1168431}"/>
            </c:ext>
          </c:extLst>
        </c:ser>
        <c:ser>
          <c:idx val="3"/>
          <c:order val="3"/>
          <c:tx>
            <c:v>Total Professionals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'Master Data (old)'!$A$30:$A$92</c:f>
              <c:numCache>
                <c:formatCode>General</c:formatCode>
                <c:ptCount val="63"/>
                <c:pt idx="0">
                  <c:v>1958</c:v>
                </c:pt>
                <c:pt idx="1">
                  <c:v>1959</c:v>
                </c:pt>
                <c:pt idx="2">
                  <c:v>1960</c:v>
                </c:pt>
                <c:pt idx="3">
                  <c:v>1961</c:v>
                </c:pt>
                <c:pt idx="4">
                  <c:v>1962</c:v>
                </c:pt>
                <c:pt idx="5">
                  <c:v>1963</c:v>
                </c:pt>
                <c:pt idx="6">
                  <c:v>1964</c:v>
                </c:pt>
                <c:pt idx="7">
                  <c:v>1965</c:v>
                </c:pt>
                <c:pt idx="8">
                  <c:v>1966</c:v>
                </c:pt>
                <c:pt idx="9">
                  <c:v>1967</c:v>
                </c:pt>
                <c:pt idx="10">
                  <c:v>1968</c:v>
                </c:pt>
                <c:pt idx="11">
                  <c:v>1969</c:v>
                </c:pt>
                <c:pt idx="12">
                  <c:v>1970</c:v>
                </c:pt>
                <c:pt idx="13">
                  <c:v>1971</c:v>
                </c:pt>
                <c:pt idx="14">
                  <c:v>1972</c:v>
                </c:pt>
                <c:pt idx="15">
                  <c:v>1973</c:v>
                </c:pt>
                <c:pt idx="16">
                  <c:v>1974</c:v>
                </c:pt>
                <c:pt idx="17">
                  <c:v>1975</c:v>
                </c:pt>
                <c:pt idx="18">
                  <c:v>1976</c:v>
                </c:pt>
                <c:pt idx="19">
                  <c:v>1977</c:v>
                </c:pt>
                <c:pt idx="20">
                  <c:v>1978</c:v>
                </c:pt>
                <c:pt idx="21">
                  <c:v>1979</c:v>
                </c:pt>
                <c:pt idx="22">
                  <c:v>1980</c:v>
                </c:pt>
                <c:pt idx="23">
                  <c:v>1981</c:v>
                </c:pt>
                <c:pt idx="24">
                  <c:v>1982</c:v>
                </c:pt>
                <c:pt idx="25">
                  <c:v>1983</c:v>
                </c:pt>
                <c:pt idx="26">
                  <c:v>1984</c:v>
                </c:pt>
                <c:pt idx="27">
                  <c:v>1985</c:v>
                </c:pt>
                <c:pt idx="28">
                  <c:v>1986</c:v>
                </c:pt>
                <c:pt idx="29">
                  <c:v>1987</c:v>
                </c:pt>
                <c:pt idx="30">
                  <c:v>1988</c:v>
                </c:pt>
                <c:pt idx="31">
                  <c:v>1989</c:v>
                </c:pt>
                <c:pt idx="32">
                  <c:v>1990</c:v>
                </c:pt>
                <c:pt idx="33">
                  <c:v>1991</c:v>
                </c:pt>
                <c:pt idx="34">
                  <c:v>1992</c:v>
                </c:pt>
                <c:pt idx="35">
                  <c:v>1993</c:v>
                </c:pt>
                <c:pt idx="36">
                  <c:v>1994</c:v>
                </c:pt>
                <c:pt idx="37">
                  <c:v>1995</c:v>
                </c:pt>
                <c:pt idx="38">
                  <c:v>1996</c:v>
                </c:pt>
                <c:pt idx="39">
                  <c:v>1997</c:v>
                </c:pt>
                <c:pt idx="40">
                  <c:v>1998</c:v>
                </c:pt>
                <c:pt idx="41">
                  <c:v>1999</c:v>
                </c:pt>
                <c:pt idx="42">
                  <c:v>2000</c:v>
                </c:pt>
                <c:pt idx="43">
                  <c:v>2001</c:v>
                </c:pt>
                <c:pt idx="44">
                  <c:v>2002</c:v>
                </c:pt>
                <c:pt idx="45">
                  <c:v>2003</c:v>
                </c:pt>
                <c:pt idx="46">
                  <c:v>2004</c:v>
                </c:pt>
                <c:pt idx="47">
                  <c:v>2005</c:v>
                </c:pt>
                <c:pt idx="48">
                  <c:v>2006</c:v>
                </c:pt>
                <c:pt idx="49">
                  <c:v>2007</c:v>
                </c:pt>
                <c:pt idx="50">
                  <c:v>2008</c:v>
                </c:pt>
                <c:pt idx="51">
                  <c:v>2009</c:v>
                </c:pt>
                <c:pt idx="52">
                  <c:v>2010</c:v>
                </c:pt>
                <c:pt idx="53">
                  <c:v>2011</c:v>
                </c:pt>
                <c:pt idx="54">
                  <c:v>2012</c:v>
                </c:pt>
                <c:pt idx="55">
                  <c:v>2013</c:v>
                </c:pt>
                <c:pt idx="56">
                  <c:v>2014</c:v>
                </c:pt>
                <c:pt idx="57">
                  <c:v>2015</c:v>
                </c:pt>
                <c:pt idx="58">
                  <c:v>2016</c:v>
                </c:pt>
                <c:pt idx="59">
                  <c:v>2017</c:v>
                </c:pt>
                <c:pt idx="60">
                  <c:v>2018</c:v>
                </c:pt>
                <c:pt idx="61">
                  <c:v>2019</c:v>
                </c:pt>
                <c:pt idx="62">
                  <c:v>2020</c:v>
                </c:pt>
              </c:numCache>
            </c:numRef>
          </c:xVal>
          <c:yVal>
            <c:numRef>
              <c:f>'Master Data (old)'!$CB$30:$CB$92</c:f>
              <c:numCache>
                <c:formatCode>General</c:formatCode>
                <c:ptCount val="63"/>
                <c:pt idx="6">
                  <c:v>3.2945955094211894E-2</c:v>
                </c:pt>
                <c:pt idx="7">
                  <c:v>3.9430086149768055E-2</c:v>
                </c:pt>
                <c:pt idx="8">
                  <c:v>3.958673191952148E-2</c:v>
                </c:pt>
                <c:pt idx="9">
                  <c:v>4.3543223052294557E-2</c:v>
                </c:pt>
                <c:pt idx="10">
                  <c:v>4.6811184417216462E-2</c:v>
                </c:pt>
                <c:pt idx="11">
                  <c:v>5.8625761714645931E-2</c:v>
                </c:pt>
                <c:pt idx="12">
                  <c:v>6.106176826806621E-2</c:v>
                </c:pt>
                <c:pt idx="13">
                  <c:v>6.0240963855421686E-2</c:v>
                </c:pt>
                <c:pt idx="14">
                  <c:v>6.7008237894313843E-2</c:v>
                </c:pt>
                <c:pt idx="15">
                  <c:v>8.2716289945440377E-2</c:v>
                </c:pt>
                <c:pt idx="16">
                  <c:v>8.9050131926121379E-2</c:v>
                </c:pt>
                <c:pt idx="17">
                  <c:v>9.4524602293747692E-2</c:v>
                </c:pt>
                <c:pt idx="18">
                  <c:v>0.10147567862998724</c:v>
                </c:pt>
                <c:pt idx="19">
                  <c:v>0.11110109929717066</c:v>
                </c:pt>
                <c:pt idx="20">
                  <c:v>0.12126507076708021</c:v>
                </c:pt>
                <c:pt idx="21">
                  <c:v>0.1327659574468085</c:v>
                </c:pt>
                <c:pt idx="22">
                  <c:v>0.14183345688164073</c:v>
                </c:pt>
                <c:pt idx="23">
                  <c:v>0.15290912005129026</c:v>
                </c:pt>
                <c:pt idx="24">
                  <c:v>0.16315830056288072</c:v>
                </c:pt>
                <c:pt idx="25">
                  <c:v>0.17440214557103478</c:v>
                </c:pt>
                <c:pt idx="26">
                  <c:v>0.19137389317337902</c:v>
                </c:pt>
                <c:pt idx="27">
                  <c:v>0.20894603652280966</c:v>
                </c:pt>
                <c:pt idx="28">
                  <c:v>0.2245232321908382</c:v>
                </c:pt>
                <c:pt idx="29">
                  <c:v>0.2418202331703648</c:v>
                </c:pt>
                <c:pt idx="30">
                  <c:v>0.25865506615914446</c:v>
                </c:pt>
                <c:pt idx="31">
                  <c:v>0.27281699953553179</c:v>
                </c:pt>
                <c:pt idx="32">
                  <c:v>0.28954467874249851</c:v>
                </c:pt>
                <c:pt idx="33">
                  <c:v>0.29101660795168593</c:v>
                </c:pt>
                <c:pt idx="34">
                  <c:v>0.3028748269403046</c:v>
                </c:pt>
                <c:pt idx="35">
                  <c:v>0.31753909173264011</c:v>
                </c:pt>
                <c:pt idx="36">
                  <c:v>0.33011716057891111</c:v>
                </c:pt>
                <c:pt idx="37">
                  <c:v>0.34219515817614732</c:v>
                </c:pt>
                <c:pt idx="43">
                  <c:v>0.42301841602744605</c:v>
                </c:pt>
                <c:pt idx="44">
                  <c:v>0.43600012714154029</c:v>
                </c:pt>
                <c:pt idx="45">
                  <c:v>0.44915307012081207</c:v>
                </c:pt>
                <c:pt idx="46">
                  <c:v>0.46046511627906977</c:v>
                </c:pt>
                <c:pt idx="47">
                  <c:v>0.47339060915219855</c:v>
                </c:pt>
                <c:pt idx="48">
                  <c:v>0.48255932747599173</c:v>
                </c:pt>
                <c:pt idx="49">
                  <c:v>0.49516194449272843</c:v>
                </c:pt>
                <c:pt idx="50">
                  <c:v>0.50649609664368345</c:v>
                </c:pt>
                <c:pt idx="51">
                  <c:v>0.51827836780324199</c:v>
                </c:pt>
                <c:pt idx="52">
                  <c:v>0.53012509923079032</c:v>
                </c:pt>
                <c:pt idx="53">
                  <c:v>0.54321749631021066</c:v>
                </c:pt>
                <c:pt idx="54">
                  <c:v>0.55529584788717601</c:v>
                </c:pt>
                <c:pt idx="55">
                  <c:v>0.56608639587362997</c:v>
                </c:pt>
                <c:pt idx="56">
                  <c:v>0.57593733363753896</c:v>
                </c:pt>
                <c:pt idx="57">
                  <c:v>0.58581241413762952</c:v>
                </c:pt>
                <c:pt idx="58">
                  <c:v>0.59654662062160824</c:v>
                </c:pt>
                <c:pt idx="59">
                  <c:v>0.60606792015640465</c:v>
                </c:pt>
                <c:pt idx="60">
                  <c:v>0.61404133153012075</c:v>
                </c:pt>
                <c:pt idx="61">
                  <c:v>0.62150834718677561</c:v>
                </c:pt>
                <c:pt idx="62">
                  <c:v>0.6327512022272842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08-4C9E-B39A-9D6BA1168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650943"/>
        <c:axId val="2142653855"/>
      </c:scatterChart>
      <c:valAx>
        <c:axId val="2142650943"/>
        <c:scaling>
          <c:orientation val="minMax"/>
          <c:max val="2020"/>
          <c:min val="19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653855"/>
        <c:crosses val="autoZero"/>
        <c:crossBetween val="midCat"/>
      </c:valAx>
      <c:valAx>
        <c:axId val="214265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650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  <a:effectLst/>
              </a:rPr>
              <a:t>% Females in academia &amp; the whole profession in Germany</a:t>
            </a:r>
            <a:endParaRPr lang="en-US" b="1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25462962962962965"/>
          <c:w val="0.87122462817147861"/>
          <c:h val="0.51760061242344713"/>
        </c:manualLayout>
      </c:layout>
      <c:scatterChart>
        <c:scatterStyle val="lineMarker"/>
        <c:varyColors val="0"/>
        <c:ser>
          <c:idx val="0"/>
          <c:order val="0"/>
          <c:tx>
            <c:v>total % females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'Master Data (old)'!$A$83:$A$92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xVal>
          <c:yVal>
            <c:numRef>
              <c:f>'Master Data (old)'!$CB$84:$CB$92</c:f>
              <c:numCache>
                <c:formatCode>General</c:formatCode>
                <c:ptCount val="9"/>
                <c:pt idx="0">
                  <c:v>0.55529584788717601</c:v>
                </c:pt>
                <c:pt idx="1">
                  <c:v>0.56608639587362997</c:v>
                </c:pt>
                <c:pt idx="2">
                  <c:v>0.57593733363753896</c:v>
                </c:pt>
                <c:pt idx="3">
                  <c:v>0.58581241413762952</c:v>
                </c:pt>
                <c:pt idx="4">
                  <c:v>0.59654662062160824</c:v>
                </c:pt>
                <c:pt idx="5">
                  <c:v>0.60606792015640465</c:v>
                </c:pt>
                <c:pt idx="6">
                  <c:v>0.61404133153012075</c:v>
                </c:pt>
                <c:pt idx="7">
                  <c:v>0.62150834718677561</c:v>
                </c:pt>
                <c:pt idx="8">
                  <c:v>0.6327512022272842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1E-450A-A0FC-B2D2CB0F1DBE}"/>
            </c:ext>
          </c:extLst>
        </c:ser>
        <c:ser>
          <c:idx val="1"/>
          <c:order val="1"/>
          <c:tx>
            <c:v>% females in academia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'Master Data (old)'!$A$84:$A$92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xVal>
          <c:yVal>
            <c:numRef>
              <c:f>'Master Data (old)'!$CF$84:$CF$92</c:f>
              <c:numCache>
                <c:formatCode>General</c:formatCode>
                <c:ptCount val="9"/>
                <c:pt idx="0">
                  <c:v>0.64982110912343471</c:v>
                </c:pt>
                <c:pt idx="2">
                  <c:v>0.65912117177097207</c:v>
                </c:pt>
                <c:pt idx="3">
                  <c:v>0.71732652192422308</c:v>
                </c:pt>
                <c:pt idx="4">
                  <c:v>0.6785243741765481</c:v>
                </c:pt>
                <c:pt idx="5">
                  <c:v>0.6867157074859368</c:v>
                </c:pt>
                <c:pt idx="6">
                  <c:v>0.69282700421940924</c:v>
                </c:pt>
                <c:pt idx="7">
                  <c:v>0.71548672566371685</c:v>
                </c:pt>
                <c:pt idx="8">
                  <c:v>0.72182786157941436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1E-450A-A0FC-B2D2CB0F1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559983"/>
        <c:axId val="2021560815"/>
      </c:scatterChart>
      <c:valAx>
        <c:axId val="2021559983"/>
        <c:scaling>
          <c:orientation val="minMax"/>
          <c:max val="2020"/>
          <c:min val="201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560815"/>
        <c:crosses val="autoZero"/>
        <c:crossBetween val="midCat"/>
      </c:valAx>
      <c:valAx>
        <c:axId val="2021560815"/>
        <c:scaling>
          <c:orientation val="minMax"/>
          <c:min val="0.5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55998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9.1593613298337706E-2"/>
          <c:y val="0.92187445319335082"/>
          <c:w val="0.87117672790901146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total</a:t>
            </a:r>
            <a:r>
              <a:rPr lang="en-US" baseline="0"/>
              <a:t> % females</a:t>
            </a:r>
            <a:r>
              <a:rPr lang="en-US" baseline="30000"/>
              <a:t>1</a:t>
            </a:r>
            <a:r>
              <a:rPr lang="en-US" baseline="0"/>
              <a:t> vs. % females in academia</a:t>
            </a:r>
            <a:r>
              <a:rPr lang="en-US" baseline="30000"/>
              <a:t>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us!$D$3</c:f>
              <c:strCache>
                <c:ptCount val="1"/>
                <c:pt idx="0">
                  <c:v>%  Total females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us!$A$111:$A$124</c:f>
              <c:numCache>
                <c:formatCode>General</c:formatCod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numCache>
            </c:numRef>
          </c:cat>
          <c:val>
            <c:numRef>
              <c:f>us!$D$111:$D$124</c:f>
              <c:numCache>
                <c:formatCode>0.00%</c:formatCode>
                <c:ptCount val="14"/>
                <c:pt idx="0">
                  <c:v>0.48410366654723502</c:v>
                </c:pt>
                <c:pt idx="1">
                  <c:v>0.496528141247078</c:v>
                </c:pt>
                <c:pt idx="2">
                  <c:v>0.50912520739107703</c:v>
                </c:pt>
                <c:pt idx="3">
                  <c:v>0.520969834037317</c:v>
                </c:pt>
                <c:pt idx="4">
                  <c:v>0.53327498460241796</c:v>
                </c:pt>
                <c:pt idx="5">
                  <c:v>0.54068025249456797</c:v>
                </c:pt>
                <c:pt idx="6">
                  <c:v>0.55408142799839599</c:v>
                </c:pt>
                <c:pt idx="7">
                  <c:v>0.56683855999532096</c:v>
                </c:pt>
                <c:pt idx="8">
                  <c:v>0.57886444313673402</c:v>
                </c:pt>
                <c:pt idx="9">
                  <c:v>0.59129589332839505</c:v>
                </c:pt>
                <c:pt idx="10">
                  <c:v>0.60373107996851605</c:v>
                </c:pt>
                <c:pt idx="11">
                  <c:v>0.61650528246644398</c:v>
                </c:pt>
                <c:pt idx="12">
                  <c:v>0.62819684557803801</c:v>
                </c:pt>
                <c:pt idx="13">
                  <c:v>0.63983679525222503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2D-4600-969F-624A609B0960}"/>
            </c:ext>
          </c:extLst>
        </c:ser>
        <c:ser>
          <c:idx val="1"/>
          <c:order val="1"/>
          <c:tx>
            <c:strRef>
              <c:f>us!$G$3</c:f>
              <c:strCache>
                <c:ptCount val="1"/>
                <c:pt idx="0">
                  <c:v>% females in academia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us!$A$111:$A$124</c:f>
              <c:numCache>
                <c:formatCode>General</c:formatCode>
                <c:ptCount val="1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numCache>
            </c:numRef>
          </c:cat>
          <c:val>
            <c:numRef>
              <c:f>us!$G$111:$G$124</c:f>
              <c:numCache>
                <c:formatCode>General</c:formatCode>
                <c:ptCount val="14"/>
                <c:pt idx="0">
                  <c:v>0.46800000000000003</c:v>
                </c:pt>
                <c:pt idx="1">
                  <c:v>0.48199999999999998</c:v>
                </c:pt>
                <c:pt idx="2">
                  <c:v>0.49399999999999999</c:v>
                </c:pt>
                <c:pt idx="3">
                  <c:v>0.499</c:v>
                </c:pt>
                <c:pt idx="4">
                  <c:v>0.51700000000000002</c:v>
                </c:pt>
                <c:pt idx="5">
                  <c:v>0.52500000000000002</c:v>
                </c:pt>
                <c:pt idx="6">
                  <c:v>0.53500000000000003</c:v>
                </c:pt>
                <c:pt idx="7">
                  <c:v>0.54299999999999993</c:v>
                </c:pt>
                <c:pt idx="8">
                  <c:v>0.55200000000000005</c:v>
                </c:pt>
                <c:pt idx="9">
                  <c:v>0.56700000000000006</c:v>
                </c:pt>
                <c:pt idx="10">
                  <c:v>0.57999999999999996</c:v>
                </c:pt>
                <c:pt idx="11">
                  <c:v>0.58799999999999997</c:v>
                </c:pt>
                <c:pt idx="12">
                  <c:v>0.59899999999999998</c:v>
                </c:pt>
                <c:pt idx="13">
                  <c:v>0.60499999999999998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2D-4600-969F-624A609B0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241536"/>
        <c:axId val="493242784"/>
      </c:lineChart>
      <c:catAx>
        <c:axId val="493241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42784"/>
        <c:crosses val="autoZero"/>
        <c:auto val="1"/>
        <c:lblAlgn val="ctr"/>
        <c:lblOffset val="100"/>
        <c:noMultiLvlLbl val="0"/>
      </c:catAx>
      <c:valAx>
        <c:axId val="49324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women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4153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en-US" baseline="0"/>
              <a:t> US vets in working in colleges or universities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us!$H$3</c:f>
              <c:strCache>
                <c:ptCount val="1"/>
                <c:pt idx="0">
                  <c:v>aca. % of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us!$A$3:$A$124</c15:sqref>
                  </c15:fullRef>
                </c:ext>
              </c:extLst>
              <c:f>us!$A$4:$A$124</c:f>
              <c:numCache>
                <c:formatCode>General</c:formatCode>
                <c:ptCount val="12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us!$H$111:$H$124</c15:sqref>
                  </c15:fullRef>
                </c:ext>
              </c:extLst>
              <c:f>us!$H$112:$H$124</c:f>
              <c:numCache>
                <c:formatCode>General</c:formatCode>
                <c:ptCount val="13"/>
                <c:pt idx="0">
                  <c:v>7.2775277108994271E-2</c:v>
                </c:pt>
                <c:pt idx="1">
                  <c:v>7.2228914293506669E-2</c:v>
                </c:pt>
                <c:pt idx="2">
                  <c:v>7.1229808982162066E-2</c:v>
                </c:pt>
                <c:pt idx="3">
                  <c:v>7.082887613861065E-2</c:v>
                </c:pt>
                <c:pt idx="4">
                  <c:v>6.758245718816612E-2</c:v>
                </c:pt>
                <c:pt idx="5">
                  <c:v>6.5633774568792616E-2</c:v>
                </c:pt>
                <c:pt idx="6">
                  <c:v>6.3412066326779287E-2</c:v>
                </c:pt>
                <c:pt idx="7">
                  <c:v>6.2605592361282478E-2</c:v>
                </c:pt>
                <c:pt idx="8">
                  <c:v>6.2058428630955134E-2</c:v>
                </c:pt>
                <c:pt idx="9">
                  <c:v>6.2226886574807065E-2</c:v>
                </c:pt>
                <c:pt idx="10">
                  <c:v>6.0752773515353548E-2</c:v>
                </c:pt>
                <c:pt idx="11">
                  <c:v>5.9875442540765433E-2</c:v>
                </c:pt>
                <c:pt idx="12">
                  <c:v>5.8571621257081201E-2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9B-4D0A-A031-F16CE41E9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7695216"/>
        <c:axId val="1917702288"/>
      </c:lineChart>
      <c:catAx>
        <c:axId val="191769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702288"/>
        <c:crosses val="autoZero"/>
        <c:auto val="1"/>
        <c:lblAlgn val="ctr"/>
        <c:lblOffset val="100"/>
        <c:noMultiLvlLbl val="0"/>
      </c:catAx>
      <c:valAx>
        <c:axId val="191770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% of US vets at college or universities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69521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373380</xdr:colOff>
      <xdr:row>43</xdr:row>
      <xdr:rowOff>64770</xdr:rowOff>
    </xdr:from>
    <xdr:to>
      <xdr:col>46</xdr:col>
      <xdr:colOff>121920</xdr:colOff>
      <xdr:row>58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E1C100-10B6-A363-FCC2-7B31DB8F8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327660</xdr:colOff>
      <xdr:row>70</xdr:row>
      <xdr:rowOff>87630</xdr:rowOff>
    </xdr:from>
    <xdr:to>
      <xdr:col>37</xdr:col>
      <xdr:colOff>266700</xdr:colOff>
      <xdr:row>86</xdr:row>
      <xdr:rowOff>182880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97BD69-F343-6A1F-C576-4726A5D24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61</xdr:row>
      <xdr:rowOff>99060</xdr:rowOff>
    </xdr:from>
    <xdr:to>
      <xdr:col>13</xdr:col>
      <xdr:colOff>312420</xdr:colOff>
      <xdr:row>76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B901D9-5BB2-0202-A06B-669B01964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198120</xdr:colOff>
      <xdr:row>51</xdr:row>
      <xdr:rowOff>83820</xdr:rowOff>
    </xdr:from>
    <xdr:to>
      <xdr:col>14</xdr:col>
      <xdr:colOff>194310</xdr:colOff>
      <xdr:row>66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7E745F-2DAD-0C6C-6AB1-3847719FD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415290</xdr:colOff>
      <xdr:row>48</xdr:row>
      <xdr:rowOff>19050</xdr:rowOff>
    </xdr:from>
    <xdr:to>
      <xdr:col>17</xdr:col>
      <xdr:colOff>483870</xdr:colOff>
      <xdr:row>63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34FB8E-A9E2-3E15-C13A-55B8BB509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569595</xdr:colOff>
      <xdr:row>3</xdr:row>
      <xdr:rowOff>140970</xdr:rowOff>
    </xdr:from>
    <xdr:to>
      <xdr:col>27</xdr:col>
      <xdr:colOff>74295</xdr:colOff>
      <xdr:row>19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560070</xdr:colOff>
      <xdr:row>20</xdr:row>
      <xdr:rowOff>83820</xdr:rowOff>
    </xdr:from>
    <xdr:to>
      <xdr:col>25</xdr:col>
      <xdr:colOff>255270</xdr:colOff>
      <xdr:row>35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  <a:ext uri="{147F2762-F138-4A5C-976F-8EAC2B608ADB}">
              <a16:predDERef xmlns:a16="http://schemas.microsoft.com/office/drawing/2014/main" pre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230505</xdr:colOff>
      <xdr:row>3</xdr:row>
      <xdr:rowOff>95250</xdr:rowOff>
    </xdr:from>
    <xdr:to>
      <xdr:col>20</xdr:col>
      <xdr:colOff>259080</xdr:colOff>
      <xdr:row>25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7BBDB0-573C-4ABE-3B0C-71FD2AC67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75045" y="643890"/>
          <a:ext cx="6124575" cy="393763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243840</xdr:colOff>
      <xdr:row>133</xdr:row>
      <xdr:rowOff>15240</xdr:rowOff>
    </xdr:from>
    <xdr:to>
      <xdr:col>28</xdr:col>
      <xdr:colOff>548640</xdr:colOff>
      <xdr:row>148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333375</xdr:colOff>
      <xdr:row>136</xdr:row>
      <xdr:rowOff>22860</xdr:rowOff>
    </xdr:from>
    <xdr:to>
      <xdr:col>20</xdr:col>
      <xdr:colOff>188595</xdr:colOff>
      <xdr:row>151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300-000003000000}"/>
            </a:ext>
            <a:ext uri="{147F2762-F138-4A5C-976F-8EAC2B608ADB}">
              <a16:predDERef xmlns:a16="http://schemas.microsoft.com/office/drawing/2014/main" pred="{00000000-0008-0000-2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48</xdr:col>
      <xdr:colOff>276225</xdr:colOff>
      <xdr:row>43</xdr:row>
      <xdr:rowOff>32385</xdr:rowOff>
    </xdr:from>
    <xdr:to>
      <xdr:col>55</xdr:col>
      <xdr:colOff>561975</xdr:colOff>
      <xdr:row>58</xdr:row>
      <xdr:rowOff>32385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2300-000004000000}"/>
            </a:ext>
            <a:ext uri="{147F2762-F138-4A5C-976F-8EAC2B608ADB}">
              <a16:predDERef xmlns:a16="http://schemas.microsoft.com/office/drawing/2014/main" pred="{00000000-0008-0000-2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552450</xdr:colOff>
      <xdr:row>50</xdr:row>
      <xdr:rowOff>59055</xdr:rowOff>
    </xdr:from>
    <xdr:to>
      <xdr:col>15</xdr:col>
      <xdr:colOff>47625</xdr:colOff>
      <xdr:row>65</xdr:row>
      <xdr:rowOff>62865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2300-000007000000}"/>
            </a:ext>
            <a:ext uri="{147F2762-F138-4A5C-976F-8EAC2B608ADB}">
              <a16:predDERef xmlns:a16="http://schemas.microsoft.com/office/drawing/2014/main" pred="{00000000-0008-0000-2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159</xdr:col>
      <xdr:colOff>236220</xdr:colOff>
      <xdr:row>42</xdr:row>
      <xdr:rowOff>102870</xdr:rowOff>
    </xdr:from>
    <xdr:to>
      <xdr:col>166</xdr:col>
      <xdr:colOff>541020</xdr:colOff>
      <xdr:row>57</xdr:row>
      <xdr:rowOff>102870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2300-000008000000}"/>
            </a:ext>
            <a:ext uri="{147F2762-F138-4A5C-976F-8EAC2B608ADB}">
              <a16:predDERef xmlns:a16="http://schemas.microsoft.com/office/drawing/2014/main" pred="{00000000-0008-0000-2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243840</xdr:colOff>
      <xdr:row>98</xdr:row>
      <xdr:rowOff>15240</xdr:rowOff>
    </xdr:from>
    <xdr:to>
      <xdr:col>28</xdr:col>
      <xdr:colOff>548640</xdr:colOff>
      <xdr:row>113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333375</xdr:colOff>
      <xdr:row>101</xdr:row>
      <xdr:rowOff>22860</xdr:rowOff>
    </xdr:from>
    <xdr:to>
      <xdr:col>20</xdr:col>
      <xdr:colOff>188595</xdr:colOff>
      <xdr:row>116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2400-000005000000}"/>
            </a:ext>
            <a:ext uri="{147F2762-F138-4A5C-976F-8EAC2B608ADB}">
              <a16:predDERef xmlns:a16="http://schemas.microsoft.com/office/drawing/2014/main" pred="{00000000-0008-0000-2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48</xdr:col>
      <xdr:colOff>276225</xdr:colOff>
      <xdr:row>11</xdr:row>
      <xdr:rowOff>32385</xdr:rowOff>
    </xdr:from>
    <xdr:to>
      <xdr:col>55</xdr:col>
      <xdr:colOff>561975</xdr:colOff>
      <xdr:row>26</xdr:row>
      <xdr:rowOff>32385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2400-000004000000}"/>
            </a:ext>
            <a:ext uri="{147F2762-F138-4A5C-976F-8EAC2B608ADB}">
              <a16:predDERef xmlns:a16="http://schemas.microsoft.com/office/drawing/2014/main" pred="{00000000-0008-0000-2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80</xdr:col>
      <xdr:colOff>502920</xdr:colOff>
      <xdr:row>10</xdr:row>
      <xdr:rowOff>160020</xdr:rowOff>
    </xdr:from>
    <xdr:to>
      <xdr:col>90</xdr:col>
      <xdr:colOff>198120</xdr:colOff>
      <xdr:row>26</xdr:row>
      <xdr:rowOff>49530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2400-000009000000}"/>
            </a:ext>
            <a:ext uri="{147F2762-F138-4A5C-976F-8EAC2B608ADB}">
              <a16:predDERef xmlns:a16="http://schemas.microsoft.com/office/drawing/2014/main" pred="{00000000-0008-0000-2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80</xdr:col>
      <xdr:colOff>487680</xdr:colOff>
      <xdr:row>67</xdr:row>
      <xdr:rowOff>118110</xdr:rowOff>
    </xdr:from>
    <xdr:to>
      <xdr:col>88</xdr:col>
      <xdr:colOff>182880</xdr:colOff>
      <xdr:row>82</xdr:row>
      <xdr:rowOff>118110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2400-000006000000}"/>
            </a:ext>
            <a:ext uri="{147F2762-F138-4A5C-976F-8EAC2B608ADB}">
              <a16:predDERef xmlns:a16="http://schemas.microsoft.com/office/drawing/2014/main" pred="{00000000-0008-0000-2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361950</xdr:colOff>
      <xdr:row>36</xdr:row>
      <xdr:rowOff>87630</xdr:rowOff>
    </xdr:from>
    <xdr:to>
      <xdr:col>21</xdr:col>
      <xdr:colOff>76200</xdr:colOff>
      <xdr:row>51</xdr:row>
      <xdr:rowOff>91440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2400-000007000000}"/>
            </a:ext>
            <a:ext uri="{147F2762-F138-4A5C-976F-8EAC2B608ADB}">
              <a16:predDERef xmlns:a16="http://schemas.microsoft.com/office/drawing/2014/main" pred="{00000000-0008-0000-2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160</xdr:col>
      <xdr:colOff>487680</xdr:colOff>
      <xdr:row>11</xdr:row>
      <xdr:rowOff>110490</xdr:rowOff>
    </xdr:from>
    <xdr:to>
      <xdr:col>168</xdr:col>
      <xdr:colOff>182880</xdr:colOff>
      <xdr:row>26</xdr:row>
      <xdr:rowOff>110490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2400-000008000000}"/>
            </a:ext>
            <a:ext uri="{147F2762-F138-4A5C-976F-8EAC2B608ADB}">
              <a16:predDERef xmlns:a16="http://schemas.microsoft.com/office/drawing/2014/main" pred="{00000000-0008-0000-2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Neil Vezeau" id="{913104B3-8A19-47C6-9AE9-77E92A5E5937}" userId="5141a47629328be6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70C0"/>
      </a:accent1>
      <a:accent2>
        <a:srgbClr val="FF0000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4" dT="2025-01-04T22:24:20.50" personId="{913104B3-8A19-47C6-9AE9-77E92A5E5937}" id="{F192ADFC-F0EB-4FAA-B589-10B98872A4E3}">
    <text>May be figure for 2001: https://www.researchgate.net/publication/43983529_APROXIMACION_A_LA_HISTORIA_DE_LA_MUJER_EN_LA_MEDICINA_VETERINARIA_EL_CASO_DEL_DECANATO_DE_CIENCIAS_VETERINARIAS_DE_LA_UNIVERSIDAD_CENTROCCIDENTAL_LISANDRO_ALVARADO</text>
    <extLst>
      <x:ext xmlns:xltc2="http://schemas.microsoft.com/office/spreadsheetml/2020/threadedcomments2" uri="{F7C98A9C-CBB3-438F-8F68-D28B6AF4A901}">
        <xltc2:checksum>1584603911</xltc2:checksum>
        <xltc2:hyperlink startIndex="24" length="213" url="https://www.researchgate.net/publication/43983529_APROXIMACION_A_LA_HISTORIA_DE_LA_MUJER_EN_LA_MEDICINA_VETERINARIA_EL_CASO_DEL_DECANATO_DE_CIENCIAS_VETERINARIAS_DE_LA_UNIVERSIDAD_CENTROCCIDENTAL_LISANDRO_ALVARADO"/>
      </x:ext>
    </extLs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2" dT="2024-12-21T21:52:19.89" personId="{913104B3-8A19-47C6-9AE9-77E92A5E5937}" id="{7C68C2A5-B61C-4387-B3BA-32EA9F49C991}">
    <text>Includes veterinary and zootechnical graduates. Zootechnicians constitute a minority of graduates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2" dT="2023-12-08T04:20:31.72" personId="{913104B3-8A19-47C6-9AE9-77E92A5E5937}" id="{E36DC6F1-583A-4EA3-A6CB-1E78744A5D74}">
    <text>Includes paraprofessionals and those without higher education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G3" dT="2024-12-24T20:46:59.22" personId="{913104B3-8A19-47C6-9AE9-77E92A5E5937}" id="{0906933E-AFB2-40B5-8C56-37AA8606C26B}">
    <text>Approximate: Includes “women” and “men” categories, but not “unspecified”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fve.org/cms/wp-content/uploads/FVE-Survey-2023_updated-v3.pdf" TargetMode="External"/><Relationship Id="rId18" Type="http://schemas.openxmlformats.org/officeDocument/2006/relationships/hyperlink" Target="https://www.fve.org/cms/wp-content/uploads/FVE_Survey_2018_WEB.pdf" TargetMode="External"/><Relationship Id="rId26" Type="http://schemas.openxmlformats.org/officeDocument/2006/relationships/hyperlink" Target="https://www.colvet.es/files/portalcontenidos/documentos/document-2022-02-09t112347.069.pdf" TargetMode="External"/><Relationship Id="rId39" Type="http://schemas.openxmlformats.org/officeDocument/2006/relationships/hyperlink" Target="https://www.colvet.es/files/portalcontenidos/documentos/document-2022-02-09t112347.069.pdf" TargetMode="External"/><Relationship Id="rId21" Type="http://schemas.openxmlformats.org/officeDocument/2006/relationships/hyperlink" Target="https://www.fve.org/cms/wp-content/uploads/FVE_Survey_2018_WEB.pdf" TargetMode="External"/><Relationship Id="rId34" Type="http://schemas.openxmlformats.org/officeDocument/2006/relationships/hyperlink" Target="https://www.fve.org/cms/wp-content/uploads/FVE_Survey_2018_WEB.pdf" TargetMode="External"/><Relationship Id="rId42" Type="http://schemas.openxmlformats.org/officeDocument/2006/relationships/hyperlink" Target="https://www.diarioveterinario.com/t/4284880/analizan-dificultades-mujeres-veterinarias-prosperar-profesion" TargetMode="External"/><Relationship Id="rId47" Type="http://schemas.openxmlformats.org/officeDocument/2006/relationships/hyperlink" Target="https://fve.org/cms/wp-content/uploads/FVE-Survey-2023_updated-v3.pdf" TargetMode="External"/><Relationship Id="rId50" Type="http://schemas.openxmlformats.org/officeDocument/2006/relationships/drawing" Target="../drawings/drawing1.xml"/><Relationship Id="rId7" Type="http://schemas.openxmlformats.org/officeDocument/2006/relationships/hyperlink" Target="https://www.colvet.es/files/portalcontenidos/documentos/document-2022-02-09t112347.069.pdf" TargetMode="External"/><Relationship Id="rId2" Type="http://schemas.openxmlformats.org/officeDocument/2006/relationships/hyperlink" Target="https://www.colvet.es/files/portalcontenidos/documentos/document-2022-02-09t112347.069.pdf" TargetMode="External"/><Relationship Id="rId16" Type="http://schemas.openxmlformats.org/officeDocument/2006/relationships/hyperlink" Target="https://fve.org/cms/wp-content/uploads/FVE-Survey-2023_updated-v3.pdf" TargetMode="External"/><Relationship Id="rId29" Type="http://schemas.openxmlformats.org/officeDocument/2006/relationships/hyperlink" Target="https://www.fve.org/cms/wp-content/uploads/FVE_Survey_2018_WEB.pdf" TargetMode="External"/><Relationship Id="rId11" Type="http://schemas.openxmlformats.org/officeDocument/2006/relationships/hyperlink" Target="https://www.colvet.es/files/portalcontenidos/documentos/document-2022-02-09t112347.069.pdf" TargetMode="External"/><Relationship Id="rId24" Type="http://schemas.openxmlformats.org/officeDocument/2006/relationships/hyperlink" Target="https://www.fve.org/cms/wp-content/uploads/FVE_Survey_2018_WEB.pdf" TargetMode="External"/><Relationship Id="rId32" Type="http://schemas.openxmlformats.org/officeDocument/2006/relationships/hyperlink" Target="https://fve.org/cms/wp-content/uploads/FVE-Survey-2023_updated-v3.pdf" TargetMode="External"/><Relationship Id="rId37" Type="http://schemas.openxmlformats.org/officeDocument/2006/relationships/hyperlink" Target="https://fve.org/cms/wp-content/uploads/FVE-Survey-2023_updated-v3.pdf" TargetMode="External"/><Relationship Id="rId40" Type="http://schemas.openxmlformats.org/officeDocument/2006/relationships/hyperlink" Target="https://www.fve.org/cms/wp-content/uploads/FVE_Survey_2018_WEB.pdf" TargetMode="External"/><Relationship Id="rId45" Type="http://schemas.openxmlformats.org/officeDocument/2006/relationships/hyperlink" Target="https://www.colvet.es/files/portalcontenidos/documentos/document-2022-02-09t112347.069.pdf" TargetMode="External"/><Relationship Id="rId5" Type="http://schemas.openxmlformats.org/officeDocument/2006/relationships/hyperlink" Target="https://www.researchgate.net/publication/43983529_APROXIMACION_A_LA_HISTORIA_DE_LA_MUJER_EN_LA_MEDICINA_VETERINARIA_EL_CASO_DEL_DECANATO_DE_CIENCIAS_VETERINARIAS_DE_LA_UNIVERSIDAD_CENTROCCIDENTAL_LISANDRO_ALVARADO" TargetMode="External"/><Relationship Id="rId15" Type="http://schemas.openxmlformats.org/officeDocument/2006/relationships/hyperlink" Target="https://www.fve.org/cms/wp-content/uploads/FVE_Survey_2018_WEB.pdf" TargetMode="External"/><Relationship Id="rId23" Type="http://schemas.openxmlformats.org/officeDocument/2006/relationships/hyperlink" Target="https://www.colvet.es/files/portalcontenidos/documentos/document-2022-02-09t112347.069.pdf" TargetMode="External"/><Relationship Id="rId28" Type="http://schemas.openxmlformats.org/officeDocument/2006/relationships/hyperlink" Target="https://fve.org/cms/wp-content/uploads/FVE-Survey-2023_updated-v3.pdf" TargetMode="External"/><Relationship Id="rId36" Type="http://schemas.openxmlformats.org/officeDocument/2006/relationships/hyperlink" Target="https://www.fve.org/cms/wp-content/uploads/FVE_Survey_2018_WEB.pdf" TargetMode="External"/><Relationship Id="rId49" Type="http://schemas.openxmlformats.org/officeDocument/2006/relationships/hyperlink" Target="https://fve.org/cms/wp-content/uploads/FVE-Survey-2023_updated-v3.pdf" TargetMode="External"/><Relationship Id="rId10" Type="http://schemas.openxmlformats.org/officeDocument/2006/relationships/hyperlink" Target="https://www.colvet.es/files/portalcontenidos/documentos/document-2022-02-09t112347.069.pdf" TargetMode="External"/><Relationship Id="rId19" Type="http://schemas.openxmlformats.org/officeDocument/2006/relationships/hyperlink" Target="https://fve.org/cms/wp-content/uploads/FVE-Survey-2023_updated-v3.pdf" TargetMode="External"/><Relationship Id="rId31" Type="http://schemas.openxmlformats.org/officeDocument/2006/relationships/hyperlink" Target="https://www.fve.org/cms/wp-content/uploads/FVE_Survey_2018_WEB.pdf" TargetMode="External"/><Relationship Id="rId44" Type="http://schemas.openxmlformats.org/officeDocument/2006/relationships/hyperlink" Target="https://efeverde.com/veterinarios-mujeres/" TargetMode="External"/><Relationship Id="rId52" Type="http://schemas.openxmlformats.org/officeDocument/2006/relationships/comments" Target="../comments1.xml"/><Relationship Id="rId4" Type="http://schemas.openxmlformats.org/officeDocument/2006/relationships/hyperlink" Target="https://fve.org/cms/wp-content/uploads/FVE-Survey-2023_updated-v3.pdf" TargetMode="External"/><Relationship Id="rId9" Type="http://schemas.openxmlformats.org/officeDocument/2006/relationships/hyperlink" Target="https://fve.org/cms/wp-content/uploads/FVE-Survey-2023_updated-v3.pdf" TargetMode="External"/><Relationship Id="rId14" Type="http://schemas.openxmlformats.org/officeDocument/2006/relationships/hyperlink" Target="https://www.colvet.es/files/portalcontenidos/documentos/document-2022-02-09t112347.069.pdf" TargetMode="External"/><Relationship Id="rId22" Type="http://schemas.openxmlformats.org/officeDocument/2006/relationships/hyperlink" Target="https://fve.org/cms/wp-content/uploads/FVE-Survey-2023_updated-v3.pdf" TargetMode="External"/><Relationship Id="rId27" Type="http://schemas.openxmlformats.org/officeDocument/2006/relationships/hyperlink" Target="https://www.fve.org/cms/wp-content/uploads/FVE_Survey_2018_WEB.pdf" TargetMode="External"/><Relationship Id="rId30" Type="http://schemas.openxmlformats.org/officeDocument/2006/relationships/hyperlink" Target="https://www.colvet.es/files/portalcontenidos/documentos/document-2022-02-09t112347.069.pdf" TargetMode="External"/><Relationship Id="rId35" Type="http://schemas.openxmlformats.org/officeDocument/2006/relationships/hyperlink" Target="https://fve.org/cms/wp-content/uploads/FVE-Survey-2023_updated-v3.pdf" TargetMode="External"/><Relationship Id="rId43" Type="http://schemas.openxmlformats.org/officeDocument/2006/relationships/hyperlink" Target="https://axoncomunicacion.net/las-mujeres-suponen-el-70-de-los-veterinarios-colegiados-menores-de-35-anos-en-espana/" TargetMode="External"/><Relationship Id="rId48" Type="http://schemas.openxmlformats.org/officeDocument/2006/relationships/hyperlink" Target="https://www.colvet.es/files/portalcontenidos/documentos/document-2022-02-09t112347.069.pdf" TargetMode="External"/><Relationship Id="rId8" Type="http://schemas.openxmlformats.org/officeDocument/2006/relationships/hyperlink" Target="https://www.fve.org/cms/wp-content/uploads/FVE_Survey_2018_WEB.pdf" TargetMode="External"/><Relationship Id="rId51" Type="http://schemas.openxmlformats.org/officeDocument/2006/relationships/vmlDrawing" Target="../drawings/vmlDrawing1.vml"/><Relationship Id="rId3" Type="http://schemas.openxmlformats.org/officeDocument/2006/relationships/hyperlink" Target="https://www.fve.org/cms/wp-content/uploads/FVE_Survey_2018_WEB.pdf" TargetMode="External"/><Relationship Id="rId12" Type="http://schemas.openxmlformats.org/officeDocument/2006/relationships/hyperlink" Target="https://www.fve.org/cms/wp-content/uploads/FVE_Survey_2018_WEB.pdf" TargetMode="External"/><Relationship Id="rId17" Type="http://schemas.openxmlformats.org/officeDocument/2006/relationships/hyperlink" Target="https://www.colvet.es/files/portalcontenidos/documentos/document-2022-02-09t112347.069.pdf" TargetMode="External"/><Relationship Id="rId25" Type="http://schemas.openxmlformats.org/officeDocument/2006/relationships/hyperlink" Target="https://fve.org/cms/wp-content/uploads/FVE-Survey-2023_updated-v3.pdf" TargetMode="External"/><Relationship Id="rId33" Type="http://schemas.openxmlformats.org/officeDocument/2006/relationships/hyperlink" Target="https://www.colvet.es/files/portalcontenidos/documentos/document-2022-02-09t112347.069.pdf" TargetMode="External"/><Relationship Id="rId38" Type="http://schemas.openxmlformats.org/officeDocument/2006/relationships/hyperlink" Target="https://ceve.es/wp-content/uploads/2020/10/Informe-CEVE-2020-1.pdf" TargetMode="External"/><Relationship Id="rId46" Type="http://schemas.openxmlformats.org/officeDocument/2006/relationships/hyperlink" Target="https://www.fve.org/cms/wp-content/uploads/FVE_Survey_2018_WEB.pdf" TargetMode="External"/><Relationship Id="rId20" Type="http://schemas.openxmlformats.org/officeDocument/2006/relationships/hyperlink" Target="https://www.colvet.es/files/portalcontenidos/documentos/document-2022-02-09t112347.069.pdf" TargetMode="External"/><Relationship Id="rId41" Type="http://schemas.openxmlformats.org/officeDocument/2006/relationships/hyperlink" Target="https://fve.org/cms/wp-content/uploads/FVE-Survey-2023_updated-v3.pdf" TargetMode="External"/><Relationship Id="rId1" Type="http://schemas.openxmlformats.org/officeDocument/2006/relationships/hyperlink" Target="https://www.raadgevers.nl/wp-content/uploads/2018/06/Artikel-feminisering-en-ondernemerschap-site-Raadgevers.pdf" TargetMode="External"/><Relationship Id="rId6" Type="http://schemas.openxmlformats.org/officeDocument/2006/relationships/hyperlink" Target="https://www.researchgate.net/publication/43983529_APROXIMACION_A_LA_HISTORIA_DE_LA_MUJER_EN_LA_MEDICINA_VETERINARIA_EL_CASO_DEL_DECANATO_DE_CIENCIAS_VETERINARIAS_DE_LA_UNIVERSIDAD_CENTROCCIDENTAL_LISANDRO_ALVARADO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hyperlink" Target="../Zotero/storage/PIDNUE8P/Villamil%20Jim%25C3%25A9nez%20-%202018%20-%20La%20mujer%20en%20la%20medicina%20veterinaria%20colombiana.%20Ap.pdf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veterina.com.hr/?p=65885" TargetMode="External"/><Relationship Id="rId13" Type="http://schemas.openxmlformats.org/officeDocument/2006/relationships/hyperlink" Target="https://veterina.com.hr/?p=65885" TargetMode="External"/><Relationship Id="rId18" Type="http://schemas.openxmlformats.org/officeDocument/2006/relationships/vmlDrawing" Target="../drawings/vmlDrawing10.vml"/><Relationship Id="rId3" Type="http://schemas.openxmlformats.org/officeDocument/2006/relationships/hyperlink" Target="https://veterina.com.hr/?p=65885" TargetMode="External"/><Relationship Id="rId7" Type="http://schemas.openxmlformats.org/officeDocument/2006/relationships/hyperlink" Target="https://veterina.com.hr/?p=65885" TargetMode="External"/><Relationship Id="rId12" Type="http://schemas.openxmlformats.org/officeDocument/2006/relationships/hyperlink" Target="https://veterina.com.hr/?p=65885" TargetMode="External"/><Relationship Id="rId17" Type="http://schemas.openxmlformats.org/officeDocument/2006/relationships/drawing" Target="../drawings/drawing5.xml"/><Relationship Id="rId2" Type="http://schemas.openxmlformats.org/officeDocument/2006/relationships/hyperlink" Target="https://veterina.com.hr/?p=65885" TargetMode="External"/><Relationship Id="rId16" Type="http://schemas.openxmlformats.org/officeDocument/2006/relationships/hyperlink" Target="https://fve.org/cms/wp-content/uploads/FVE-Survey-2023_updated-v3.pdf" TargetMode="External"/><Relationship Id="rId1" Type="http://schemas.openxmlformats.org/officeDocument/2006/relationships/hyperlink" Target="https://veterina.com.hr/?p=65885" TargetMode="External"/><Relationship Id="rId6" Type="http://schemas.openxmlformats.org/officeDocument/2006/relationships/hyperlink" Target="https://veterina.com.hr/?p=65885" TargetMode="External"/><Relationship Id="rId11" Type="http://schemas.openxmlformats.org/officeDocument/2006/relationships/hyperlink" Target="https://veterina.com.hr/?p=65885" TargetMode="External"/><Relationship Id="rId5" Type="http://schemas.openxmlformats.org/officeDocument/2006/relationships/hyperlink" Target="https://veterina.com.hr/?p=65885" TargetMode="External"/><Relationship Id="rId15" Type="http://schemas.openxmlformats.org/officeDocument/2006/relationships/hyperlink" Target="https://veterina.com.hr/?p=65885" TargetMode="External"/><Relationship Id="rId10" Type="http://schemas.openxmlformats.org/officeDocument/2006/relationships/hyperlink" Target="https://veterina.com.hr/?p=65885" TargetMode="External"/><Relationship Id="rId19" Type="http://schemas.openxmlformats.org/officeDocument/2006/relationships/comments" Target="../comments10.xml"/><Relationship Id="rId4" Type="http://schemas.openxmlformats.org/officeDocument/2006/relationships/hyperlink" Target="https://veterina.com.hr/?p=65885" TargetMode="External"/><Relationship Id="rId9" Type="http://schemas.openxmlformats.org/officeDocument/2006/relationships/hyperlink" Target="https://veterina.com.hr/?p=65885" TargetMode="External"/><Relationship Id="rId14" Type="http://schemas.openxmlformats.org/officeDocument/2006/relationships/hyperlink" Target="https://veterina.com.hr/?p=65885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fve.org/cms/wp-content/uploads/FVE-Survey-2023_updated-v3.pdf" TargetMode="External"/><Relationship Id="rId2" Type="http://schemas.openxmlformats.org/officeDocument/2006/relationships/hyperlink" Target="https://www.fve.org/cms/wp-content/uploads/FVE_Survey_2018_WEB.pdf" TargetMode="External"/><Relationship Id="rId1" Type="http://schemas.openxmlformats.org/officeDocument/2006/relationships/hyperlink" Target="https://www.colvet.es/files/portalcontenidos/documentos/document-2022-02-09t112347.069.pdf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lvet.es/files/portalcontenidos/documentos/document-2022-02-09t112347.069.pdf" TargetMode="External"/><Relationship Id="rId3" Type="http://schemas.openxmlformats.org/officeDocument/2006/relationships/hyperlink" Target="https://jyllands-posten.dk/indland/article6901940.ece" TargetMode="External"/><Relationship Id="rId7" Type="http://schemas.openxmlformats.org/officeDocument/2006/relationships/hyperlink" Target="https://www.bet&#230;nkninger.dk/wp-content/uploads/2021/02/504.pdf" TargetMode="External"/><Relationship Id="rId2" Type="http://schemas.openxmlformats.org/officeDocument/2006/relationships/hyperlink" Target="https://jyllands-posten.dk/indland/article6901940.ece" TargetMode="External"/><Relationship Id="rId1" Type="http://schemas.openxmlformats.org/officeDocument/2006/relationships/hyperlink" Target="https://www.djoef-forlag.dk/openaccess/samf/samfdocs/2020/2020_1/Samf_7_1_2020.pdf" TargetMode="External"/><Relationship Id="rId6" Type="http://schemas.openxmlformats.org/officeDocument/2006/relationships/hyperlink" Target="https://www.bet&#230;nkninger.dk/wp-content/uploads/2021/02/504.pdf" TargetMode="External"/><Relationship Id="rId5" Type="http://schemas.openxmlformats.org/officeDocument/2006/relationships/hyperlink" Target="https://jyllands-posten.dk/indland/article6901940.ece" TargetMode="External"/><Relationship Id="rId10" Type="http://schemas.openxmlformats.org/officeDocument/2006/relationships/hyperlink" Target="https://fve.org/cms/wp-content/uploads/FVE-Survey-2023_updated-v3.pdf" TargetMode="External"/><Relationship Id="rId4" Type="http://schemas.openxmlformats.org/officeDocument/2006/relationships/hyperlink" Target="https://jyllands-posten.dk/indland/article6901940.ece" TargetMode="External"/><Relationship Id="rId9" Type="http://schemas.openxmlformats.org/officeDocument/2006/relationships/hyperlink" Target="https://www.fve.org/cms/wp-content/uploads/FVE_Survey_2018_WEB.pdf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s://fve.org/cms/wp-content/uploads/FVE-Survey-2023_updated-v3.pdf" TargetMode="External"/><Relationship Id="rId2" Type="http://schemas.openxmlformats.org/officeDocument/2006/relationships/hyperlink" Target="https://www.fve.org/cms/wp-content/uploads/FVE_Survey_2018_WEB.pdf" TargetMode="External"/><Relationship Id="rId1" Type="http://schemas.openxmlformats.org/officeDocument/2006/relationships/hyperlink" Target="https://www.colvet.es/files/portalcontenidos/documentos/document-2022-02-09t112347.069.pdf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elsinki.fi/assets/drupal/2021-09/Yhteishaussa%20kandiohjelmiin%20hakeneet%2C%20hyv%C3%A4ksytyt%20ja%20opiskelupaikan%20vastaanottaneet%20hakukohteittain%20ja%20tiedekunnittain%206.9.2021.pdf" TargetMode="External"/><Relationship Id="rId13" Type="http://schemas.openxmlformats.org/officeDocument/2006/relationships/hyperlink" Target="https://www.helsinki.fi/assets/drupal/2023-06/University%20of%20Helsinki%20Statistical%20overview%202022_0.pdf" TargetMode="External"/><Relationship Id="rId18" Type="http://schemas.openxmlformats.org/officeDocument/2006/relationships/hyperlink" Target="https://www.helsinki.fi/assets/drupal/2021-01/Yhteishaussa%20hakeneet%2C%20hyv%C3%A4ksytyt%20ja%20opiskelupaikan%20vastaanottaneet%20hakukohteittain%2015.9.2020.pdf" TargetMode="External"/><Relationship Id="rId26" Type="http://schemas.openxmlformats.org/officeDocument/2006/relationships/hyperlink" Target="https://www.helsinki.fi/assets/drupal/2021-03/Yhteishaussa%20kandiohjelmiin%20hakeneet%2C%20hyv%C3%A4ksytyt%20ja%20opiskelupaikan%20vastaanottaneet%20hakukohteittain%2014.9.2017.pdf" TargetMode="External"/><Relationship Id="rId3" Type="http://schemas.openxmlformats.org/officeDocument/2006/relationships/hyperlink" Target="https://www.helsinki.fi/assets/drupal/2022-09/Yhteishaussa%20kandiohjelmiin%20hakeneet%2C%20hyv%C3%A4ksytyt%20ja%20opiskelupaikan%20vastaanottaneet%20hakukohteittain%20ja%20tiedekunnittain%206.9.2022.pdf" TargetMode="External"/><Relationship Id="rId21" Type="http://schemas.openxmlformats.org/officeDocument/2006/relationships/hyperlink" Target="https://www.helsinki.fi/assets/drupal/2021-03/Yhteishaussa%20kandiohjelmiin%20hakeneet%2C%20hyv%C3%A4ksytyt%20ja%20opiskelupaikan%20vastaanottaneet%20hakukohteittain%2031.8.2018.pdf" TargetMode="External"/><Relationship Id="rId7" Type="http://schemas.openxmlformats.org/officeDocument/2006/relationships/hyperlink" Target="https://www.helsinki.fi/assets/drupal/2021-09/Yhteishaussa%20kandiohjelmiin%20hakeneet%2C%20hyv%C3%A4ksytyt%20ja%20opiskelupaikan%20vastaanottaneet%20hakukohteittain%20ja%20tiedekunnittain%206.9.2021.pdf" TargetMode="External"/><Relationship Id="rId12" Type="http://schemas.openxmlformats.org/officeDocument/2006/relationships/hyperlink" Target="https://www.helsinki.fi/assets/drupal/2023-06/University%20of%20Helsinki%20Statistical%20overview%202022_0.pdf" TargetMode="External"/><Relationship Id="rId17" Type="http://schemas.openxmlformats.org/officeDocument/2006/relationships/hyperlink" Target="file:///C:\Users\neilv\Downloads\Yhteishaussa%20kandiohjelmiin%20hakeneet,%20hyv&#195;&#164;ksytyt%20ja%20opiskelupaikan%20vastaanottaneet%20hakukohteittain%202.9.2019.pdf" TargetMode="External"/><Relationship Id="rId25" Type="http://schemas.openxmlformats.org/officeDocument/2006/relationships/hyperlink" Target="https://www.helsinki.fi/assets/drupal/2021-03/Yhteishaussa%20kandiohjelmiin%20hakeneet%2C%20hyv%C3%A4ksytyt%20ja%20opiskelupaikan%20vastaanottaneet%20hakukohteittain%2014.9.2017.pdf" TargetMode="External"/><Relationship Id="rId2" Type="http://schemas.openxmlformats.org/officeDocument/2006/relationships/hyperlink" Target="https://www.helsinki.fi/assets/drupal/2022-09/Yhteishaussa%20kandiohjelmiin%20hakeneet%2C%20hyv%C3%A4ksytyt%20ja%20opiskelupaikan%20vastaanottaneet%20hakukohteittain%20ja%20tiedekunnittain%206.9.2022.pdf" TargetMode="External"/><Relationship Id="rId16" Type="http://schemas.openxmlformats.org/officeDocument/2006/relationships/hyperlink" Target="file:///C:\Users\neilv\Downloads\Yhteishaussa%20kandiohjelmiin%20hakeneet,%20hyv&#195;&#164;ksytyt%20ja%20opiskelupaikan%20vastaanottaneet%20hakukohteittain%202.9.2019.pdf" TargetMode="External"/><Relationship Id="rId20" Type="http://schemas.openxmlformats.org/officeDocument/2006/relationships/hyperlink" Target="https://www.helsinki.fi/assets/drupal/2021-03/Yhteishaussa%20kandiohjelmiin%20hakeneet%2C%20hyv%C3%A4ksytyt%20ja%20opiskelupaikan%20vastaanottaneet%20hakukohteittain%2031.8.2018.pdf" TargetMode="External"/><Relationship Id="rId29" Type="http://schemas.openxmlformats.org/officeDocument/2006/relationships/hyperlink" Target="https://www.colvet.es/files/portalcontenidos/documentos/document-2022-02-09t112347.069.pdf" TargetMode="External"/><Relationship Id="rId1" Type="http://schemas.openxmlformats.org/officeDocument/2006/relationships/hyperlink" Target="https://web.archive.org/web/20080222025132/http:/www.vetmed.helsinki.fi/opiskelu/valinta/tilasto.htm" TargetMode="External"/><Relationship Id="rId6" Type="http://schemas.openxmlformats.org/officeDocument/2006/relationships/hyperlink" Target="https://www.helsinki.fi/assets/drupal/2021-09/Yhteishaussa%20kandiohjelmiin%20hakeneet%2C%20hyv%C3%A4ksytyt%20ja%20opiskelupaikan%20vastaanottaneet%20hakukohteittain%20ja%20tiedekunnittain%206.9.2021.pdf" TargetMode="External"/><Relationship Id="rId11" Type="http://schemas.openxmlformats.org/officeDocument/2006/relationships/hyperlink" Target="https://www.helsinki.fi/assets/drupal/2023-06/University%20of%20Helsinki%20Statistical%20overview%202022_0.pdf" TargetMode="External"/><Relationship Id="rId24" Type="http://schemas.openxmlformats.org/officeDocument/2006/relationships/hyperlink" Target="https://www.helsinki.fi/assets/drupal/2021-01/Yhteishaussa%20hakeneet%2C%20hyv%C3%A4ksytyt%20ja%20opiskelupaikan%20vastaanottaneet%20hakukohteittain%2015.9.2020.pdf" TargetMode="External"/><Relationship Id="rId5" Type="http://schemas.openxmlformats.org/officeDocument/2006/relationships/hyperlink" Target="https://www.helsinki.fi/assets/drupal/2023-09/Yhteishaussa%20kandiohjelmiin%20hakeneet%2C%20hyv%C3%A4ksytyt%20ja%20opiskelupaikan%20vastaanottaneet%20hakukohteittain%20ja%20tiedekunnittain%206.9.2023_1.pdf" TargetMode="External"/><Relationship Id="rId15" Type="http://schemas.openxmlformats.org/officeDocument/2006/relationships/hyperlink" Target="https://www.helsinki.fi/assets/drupal/2021-01/Yhteishaussa%20hakeneet%2C%20hyv%C3%A4ksytyt%20ja%20opiskelupaikan%20vastaanottaneet%20hakukohteittain%2015.9.2020.pdf" TargetMode="External"/><Relationship Id="rId23" Type="http://schemas.openxmlformats.org/officeDocument/2006/relationships/hyperlink" Target="file:///C:\Users\neilv\Downloads\Yhteishaussa%20kandiohjelmiin%20hakeneet,%20hyv&#195;&#164;ksytyt%20ja%20opiskelupaikan%20vastaanottaneet%20hakukohteittain%202.9.2019.pdf" TargetMode="External"/><Relationship Id="rId28" Type="http://schemas.openxmlformats.org/officeDocument/2006/relationships/hyperlink" Target="https://www.helsinki.fi/assets/drupal/2021-03/Yhteishaussa%20kandiohjelmiin%20hakeneet%2C%20hyv%C3%A4ksytyt%20ja%20opiskelupaikan%20vastaanottaneet%20hakukohteittain%2014.9.2017.pdf" TargetMode="External"/><Relationship Id="rId10" Type="http://schemas.openxmlformats.org/officeDocument/2006/relationships/hyperlink" Target="https://www.helsinki.fi/assets/drupal/2023-06/University%20of%20Helsinki%20Statistical%20overview%202022_0.pdf" TargetMode="External"/><Relationship Id="rId19" Type="http://schemas.openxmlformats.org/officeDocument/2006/relationships/hyperlink" Target="https://www.helsinki.fi/assets/drupal/2021-03/Yhteishaussa%20kandiohjelmiin%20hakeneet%2C%20hyv%C3%A4ksytyt%20ja%20opiskelupaikan%20vastaanottaneet%20hakukohteittain%2031.8.2018.pdf" TargetMode="External"/><Relationship Id="rId31" Type="http://schemas.openxmlformats.org/officeDocument/2006/relationships/hyperlink" Target="https://fve.org/cms/wp-content/uploads/FVE-Survey-2023_updated-v3.pdf" TargetMode="External"/><Relationship Id="rId4" Type="http://schemas.openxmlformats.org/officeDocument/2006/relationships/hyperlink" Target="https://www.helsinki.fi/assets/drupal/2023-09/Yhteishaussa%20kandiohjelmiin%20hakeneet%2C%20hyv%C3%A4ksytyt%20ja%20opiskelupaikan%20vastaanottaneet%20hakukohteittain%20ja%20tiedekunnittain%206.9.2023_1.pdf" TargetMode="External"/><Relationship Id="rId9" Type="http://schemas.openxmlformats.org/officeDocument/2006/relationships/hyperlink" Target="https://www.helsinki.fi/assets/drupal/2022-09/Yhteishaussa%20kandiohjelmiin%20hakeneet%2C%20hyv%C3%A4ksytyt%20ja%20opiskelupaikan%20vastaanottaneet%20hakukohteittain%20ja%20tiedekunnittain%206.9.2022.pdf" TargetMode="External"/><Relationship Id="rId14" Type="http://schemas.openxmlformats.org/officeDocument/2006/relationships/hyperlink" Target="https://www.helsinki.fi/assets/drupal/2023-06/University%20of%20Helsinki%20Statistical%20overview%202022_0.pdf" TargetMode="External"/><Relationship Id="rId22" Type="http://schemas.openxmlformats.org/officeDocument/2006/relationships/hyperlink" Target="https://www.helsinki.fi/assets/drupal/2021-03/Yhteishaussa%20kandiohjelmiin%20hakeneet%2C%20hyv%C3%A4ksytyt%20ja%20opiskelupaikan%20vastaanottaneet%20hakukohteittain%2031.8.2018.pdf" TargetMode="External"/><Relationship Id="rId27" Type="http://schemas.openxmlformats.org/officeDocument/2006/relationships/hyperlink" Target="https://www.helsinki.fi/assets/drupal/2021-03/Yhteishaussa%20kandiohjelmiin%20hakeneet%2C%20hyv%C3%A4ksytyt%20ja%20opiskelupaikan%20vastaanottaneet%20hakukohteittain%2014.9.2017.pdf" TargetMode="External"/><Relationship Id="rId30" Type="http://schemas.openxmlformats.org/officeDocument/2006/relationships/hyperlink" Target="https://www.fve.org/cms/wp-content/uploads/FVE_Survey_2018_WEB.pdf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airn.info/revue-formation-emploi-2020-3-page-93.htm" TargetMode="External"/><Relationship Id="rId13" Type="http://schemas.openxmlformats.org/officeDocument/2006/relationships/hyperlink" Target="../Zotero/storage/7MCSIUWU/veterinaire-une-profession-qui-se-feminise.html" TargetMode="External"/><Relationship Id="rId18" Type="http://schemas.openxmlformats.org/officeDocument/2006/relationships/hyperlink" Target="https://www.veterinaire.fr/system/files/files/2021-11/ODV-ATLAS-NATIONAL-2021.pdf" TargetMode="External"/><Relationship Id="rId26" Type="http://schemas.openxmlformats.org/officeDocument/2006/relationships/comments" Target="../comments11.xml"/><Relationship Id="rId3" Type="http://schemas.openxmlformats.org/officeDocument/2006/relationships/hyperlink" Target="../Zotero/storage/QZ4XRU23/paulet_5106_1.pdf" TargetMode="External"/><Relationship Id="rId21" Type="http://schemas.openxmlformats.org/officeDocument/2006/relationships/hyperlink" Target="https://www.crmv-pr.org.br/uploads/revista/arquivos/20160307140058.pdf" TargetMode="External"/><Relationship Id="rId7" Type="http://schemas.openxmlformats.org/officeDocument/2006/relationships/hyperlink" Target="https://www.cairn.info/revue-formation-emploi-2020-3-page-93.htm" TargetMode="External"/><Relationship Id="rId12" Type="http://schemas.openxmlformats.org/officeDocument/2006/relationships/hyperlink" Target="../Zotero/storage/7MCSIUWU/veterinaire-une-profession-qui-se-feminise.html" TargetMode="External"/><Relationship Id="rId17" Type="http://schemas.openxmlformats.org/officeDocument/2006/relationships/hyperlink" Target="https://www.veterinaire.fr/system/files/files/2021-11/ODV-ATLAS-NATIONAL-2021.pdf" TargetMode="External"/><Relationship Id="rId25" Type="http://schemas.openxmlformats.org/officeDocument/2006/relationships/vmlDrawing" Target="../drawings/vmlDrawing11.vml"/><Relationship Id="rId2" Type="http://schemas.openxmlformats.org/officeDocument/2006/relationships/hyperlink" Target="https://www.cairn.info/revue-travail-genre-et-societes-2001-1-page-91.htm" TargetMode="External"/><Relationship Id="rId16" Type="http://schemas.openxmlformats.org/officeDocument/2006/relationships/hyperlink" Target="F" TargetMode="External"/><Relationship Id="rId20" Type="http://schemas.openxmlformats.org/officeDocument/2006/relationships/hyperlink" Target="https://journals.openedition.org/formationemploi/8487?lang=fr" TargetMode="External"/><Relationship Id="rId1" Type="http://schemas.openxmlformats.org/officeDocument/2006/relationships/hyperlink" Target="https://www.veterinaire.fr/la-profession/observatoire-national-demographique-de-la-profession-veterinaire/archives-atlas-demographiques-depuis-2016.html" TargetMode="External"/><Relationship Id="rId6" Type="http://schemas.openxmlformats.org/officeDocument/2006/relationships/hyperlink" Target="https://www.cairn.info/revue-formation-emploi-2020-3-page-93.htm" TargetMode="External"/><Relationship Id="rId11" Type="http://schemas.openxmlformats.org/officeDocument/2006/relationships/hyperlink" Target="../Zotero/storage/7MCSIUWU/veterinaire-une-profession-qui-se-feminise.html" TargetMode="External"/><Relationship Id="rId24" Type="http://schemas.openxmlformats.org/officeDocument/2006/relationships/hyperlink" Target="https://fve.org/cms/wp-content/uploads/FVE-Survey-2023_updated-v3.pdf" TargetMode="External"/><Relationship Id="rId5" Type="http://schemas.openxmlformats.org/officeDocument/2006/relationships/hyperlink" Target="https://www.cairn.info/revue-formation-emploi-2020-3-page-93.htm" TargetMode="External"/><Relationship Id="rId15" Type="http://schemas.openxmlformats.org/officeDocument/2006/relationships/hyperlink" Target="https://www.lepointveterinaire.fr/publications/la-semaine-veterinaire/article/n-1252/l-avenir-de-la-profession-est-marque-par-sa-feminisation.html" TargetMode="External"/><Relationship Id="rId23" Type="http://schemas.openxmlformats.org/officeDocument/2006/relationships/hyperlink" Target="https://www.colvet.es/files/portalcontenidos/documentos/document-2022-02-09t112347.069.pdf" TargetMode="External"/><Relationship Id="rId10" Type="http://schemas.openxmlformats.org/officeDocument/2006/relationships/hyperlink" Target="https://oatao.univ-toulouse.fr/5106/1/paulet_5106_1.pdf" TargetMode="External"/><Relationship Id="rId19" Type="http://schemas.openxmlformats.org/officeDocument/2006/relationships/hyperlink" Target="https://plone.unige.ch/aref2010/communications-orales/premiers-auteurs-en-g/Veterinaire.pdf/view" TargetMode="External"/><Relationship Id="rId4" Type="http://schemas.openxmlformats.org/officeDocument/2006/relationships/hyperlink" Target="../Zotero/storage/QZ4XRU23/paulet_5106_1.pdf" TargetMode="External"/><Relationship Id="rId9" Type="http://schemas.openxmlformats.org/officeDocument/2006/relationships/hyperlink" Target="https://www.lepointveterinaire.fr/publications/la-semaine-veterinaire/article/n-1252/l-avenir-de-la-profession-est-marque-par-sa-feminisation.html" TargetMode="External"/><Relationship Id="rId14" Type="http://schemas.openxmlformats.org/officeDocument/2006/relationships/hyperlink" Target="../Zotero/storage/7MCSIUWU/veterinaire-une-profession-qui-se-feminise.html" TargetMode="External"/><Relationship Id="rId22" Type="http://schemas.openxmlformats.org/officeDocument/2006/relationships/hyperlink" Target="https://www.crmv-pr.org.br/uploads/revista/arquivos/20160307140058.pdf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6.xml"/><Relationship Id="rId1" Type="http://schemas.openxmlformats.org/officeDocument/2006/relationships/hyperlink" Target="https://www.bundestieraerztekammer.de/btk/statistik/" TargetMode="External"/><Relationship Id="rId4" Type="http://schemas.openxmlformats.org/officeDocument/2006/relationships/comments" Target="../comments12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hyperlink" Target="https://core.ac.uk/download/pdf/268612576.pdf" TargetMode="External"/><Relationship Id="rId4" Type="http://schemas.microsoft.com/office/2017/10/relationships/threadedComment" Target="../threadedComments/threadedComment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airn.info/revue-formation-emploi-2020-3-page-93.htm" TargetMode="External"/><Relationship Id="rId13" Type="http://schemas.openxmlformats.org/officeDocument/2006/relationships/hyperlink" Target="https://www.khrono.no/faerre-menn-i-kvinnestudier-kjonnspoeng-hjelper-lite/796855" TargetMode="External"/><Relationship Id="rId18" Type="http://schemas.openxmlformats.org/officeDocument/2006/relationships/hyperlink" Target="https://vetmarketportal.com.ar/nota/2303/las-mujeres-son-mayoria-en-la-profesion-veterinaria/" TargetMode="External"/><Relationship Id="rId26" Type="http://schemas.openxmlformats.org/officeDocument/2006/relationships/hyperlink" Target="https://vetmarketportal.com.ar/nota/2303/las-mujeres-son-mayoria-en-la-profesion-veterinaria/" TargetMode="External"/><Relationship Id="rId3" Type="http://schemas.openxmlformats.org/officeDocument/2006/relationships/hyperlink" Target="https://pubmed.ncbi.nlm.nih.gov/23050383/" TargetMode="External"/><Relationship Id="rId21" Type="http://schemas.openxmlformats.org/officeDocument/2006/relationships/hyperlink" Target="https://vetmarketportal.com.ar/nota/2303/las-mujeres-son-mayoria-en-la-profesion-veterinaria/" TargetMode="External"/><Relationship Id="rId7" Type="http://schemas.openxmlformats.org/officeDocument/2006/relationships/hyperlink" Target="https://veterina.com.hr/?p=65885" TargetMode="External"/><Relationship Id="rId12" Type="http://schemas.openxmlformats.org/officeDocument/2006/relationships/hyperlink" Target="https://www.khrono.no/faerre-menn-i-kvinnestudier-kjonnspoeng-hjelper-lite/796855" TargetMode="External"/><Relationship Id="rId17" Type="http://schemas.openxmlformats.org/officeDocument/2006/relationships/hyperlink" Target="https://vetmarketportal.com.ar/nota/2303/las-mujeres-son-mayoria-en-la-profesion-veterinaria/" TargetMode="External"/><Relationship Id="rId25" Type="http://schemas.openxmlformats.org/officeDocument/2006/relationships/hyperlink" Target="https://vetmarketportal.com.ar/nota/2303/las-mujeres-son-mayoria-en-la-profesion-veterinaria/" TargetMode="External"/><Relationship Id="rId2" Type="http://schemas.openxmlformats.org/officeDocument/2006/relationships/hyperlink" Target="https://www.jstor.org/stable/pdf/20676846.pdf?refreqid=excelsior%3A67279bcca727c64ef8ca5cd50e1f7ff5" TargetMode="External"/><Relationship Id="rId16" Type="http://schemas.openxmlformats.org/officeDocument/2006/relationships/hyperlink" Target="https://vetmarketportal.com.ar/nota/2303/las-mujeres-son-mayoria-en-la-profesion-veterinaria/" TargetMode="External"/><Relationship Id="rId20" Type="http://schemas.openxmlformats.org/officeDocument/2006/relationships/hyperlink" Target="https://vetmarketportal.com.ar/nota/2303/las-mujeres-son-mayoria-en-la-profesion-veterinaria/" TargetMode="External"/><Relationship Id="rId29" Type="http://schemas.openxmlformats.org/officeDocument/2006/relationships/vmlDrawing" Target="../drawings/vmlDrawing2.vml"/><Relationship Id="rId1" Type="http://schemas.openxmlformats.org/officeDocument/2006/relationships/hyperlink" Target="https://www.jstor.org/stable/pdf/20676846.pdf?refreqid=excelsior%3A67279bcca727c64ef8ca5cd50e1f7ff5" TargetMode="External"/><Relationship Id="rId6" Type="http://schemas.openxmlformats.org/officeDocument/2006/relationships/hyperlink" Target="https://veterina.com.hr/?p=65885" TargetMode="External"/><Relationship Id="rId11" Type="http://schemas.openxmlformats.org/officeDocument/2006/relationships/hyperlink" Target="https://www.nrk.no/norge/studier-med-skjev-kjonnsbalanse-kan-igjen-gi-tilleggspoeng-1.13895281" TargetMode="External"/><Relationship Id="rId24" Type="http://schemas.openxmlformats.org/officeDocument/2006/relationships/hyperlink" Target="https://vetmarketportal.com.ar/nota/2303/las-mujeres-son-mayoria-en-la-profesion-veterinaria/" TargetMode="External"/><Relationship Id="rId5" Type="http://schemas.openxmlformats.org/officeDocument/2006/relationships/hyperlink" Target="https://veterina.com.hr/?p=65885" TargetMode="External"/><Relationship Id="rId15" Type="http://schemas.openxmlformats.org/officeDocument/2006/relationships/hyperlink" Target="https://vetmarketportal.com.ar/nota/2303/las-mujeres-son-mayoria-en-la-profesion-veterinaria/" TargetMode="External"/><Relationship Id="rId23" Type="http://schemas.openxmlformats.org/officeDocument/2006/relationships/hyperlink" Target="https://vetmarketportal.com.ar/nota/2303/las-mujeres-son-mayoria-en-la-profesion-veterinaria/" TargetMode="External"/><Relationship Id="rId28" Type="http://schemas.openxmlformats.org/officeDocument/2006/relationships/drawing" Target="../drawings/drawing2.xml"/><Relationship Id="rId10" Type="http://schemas.openxmlformats.org/officeDocument/2006/relationships/hyperlink" Target="https://www.nmbu.no/download/file/fid/32021../Downloads/veterinaerstudiets_omslag_fra_mannsstudium_til_kvinnestudium_-_ide_til_forskningsprosjekt_-_revidert_2017.pdf" TargetMode="External"/><Relationship Id="rId19" Type="http://schemas.openxmlformats.org/officeDocument/2006/relationships/hyperlink" Target="https://vetmarketportal.com.ar/nota/2303/las-mujeres-son-mayoria-en-la-profesion-veterinaria/" TargetMode="External"/><Relationship Id="rId4" Type="http://schemas.openxmlformats.org/officeDocument/2006/relationships/hyperlink" Target="https://veterina.com.hr/?p=65885" TargetMode="External"/><Relationship Id="rId9" Type="http://schemas.openxmlformats.org/officeDocument/2006/relationships/hyperlink" Target="https://journals.openedition.org/formationemploi/8487?lang=fr" TargetMode="External"/><Relationship Id="rId14" Type="http://schemas.openxmlformats.org/officeDocument/2006/relationships/hyperlink" Target="https://vetmarketportal.com.ar/nota/2965/casi-el-80--de-las-nuevas-generaciones-de-profesionales-de-la-medicina-veterinaria-son-mujeres" TargetMode="External"/><Relationship Id="rId22" Type="http://schemas.openxmlformats.org/officeDocument/2006/relationships/hyperlink" Target="https://vetmarketportal.com.ar/nota/2303/las-mujeres-son-mayoria-en-la-profesion-veterinaria/" TargetMode="External"/><Relationship Id="rId27" Type="http://schemas.openxmlformats.org/officeDocument/2006/relationships/hyperlink" Target="https://vetmarketportal.com.ar/nota/2303/las-mujeres-son-mayoria-en-la-profesion-veterinaria/" TargetMode="External"/><Relationship Id="rId30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https://fve.org/cms/wp-content/uploads/FVE-Survey-2023_updated-v3.pdf" TargetMode="External"/><Relationship Id="rId2" Type="http://schemas.openxmlformats.org/officeDocument/2006/relationships/hyperlink" Target="https://www.fve.org/cms/wp-content/uploads/FVE_Survey_2018_WEB.pdf" TargetMode="External"/><Relationship Id="rId1" Type="http://schemas.openxmlformats.org/officeDocument/2006/relationships/hyperlink" Target="https://univet.hu/hu/2021/11/10/allatorvos-leszek-interju-dr-sotonyi-peterrel-a-petplace-magazinban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fve.org/cms/wp-content/uploads/FVE_Survey_2018_WEB.pdf" TargetMode="External"/><Relationship Id="rId1" Type="http://schemas.openxmlformats.org/officeDocument/2006/relationships/hyperlink" Target="https://www.colvet.es/files/portalcontenidos/documentos/document-2022-02-09t112347.069.pdf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shirazveterinary.blogfa.com/post/202" TargetMode="External"/><Relationship Id="rId1" Type="http://schemas.openxmlformats.org/officeDocument/2006/relationships/hyperlink" Target="https://www.hakimemehr.ir/fa/news/63294/%D8%AF%D8%AE%D8%AA%D8%B1%D8%A7%D9%86-%D8%AF%D8%A7%D9%86%D8%B4%D8%AC%D9%88%DB%8C-%D8%B1%D8%B4%D8%AA%D9%87-%D8%AF%D8%A7%D9%85%D9%BE%D8%B2%D8%B4%DA%A9%DB%8C-%D8%A8%DB%8C%D8%B4%D8%AA%D8%B1%DB%8C%D9%86-%D9%85%D8%B4%DA%A9" TargetMode="External"/><Relationship Id="rId5" Type="http://schemas.openxmlformats.org/officeDocument/2006/relationships/comments" Target="../comments14.xml"/><Relationship Id="rId4" Type="http://schemas.openxmlformats.org/officeDocument/2006/relationships/vmlDrawing" Target="../drawings/vmlDrawing14.v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esearchgate.net/publication/261796398_Gender_distribution_in_Iraqi_veterinary_medical_education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olvet.es/files/portalcontenidos/documentos/document-2022-02-09t112347.069.pdf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https://fve.org/cms/wp-content/uploads/FVE-Survey-2023_updated-v3.pdf" TargetMode="External"/><Relationship Id="rId2" Type="http://schemas.openxmlformats.org/officeDocument/2006/relationships/hyperlink" Target="https://www.colvet.es/files/portalcontenidos/documentos/document-2022-02-09t112347.069.pdf" TargetMode="External"/><Relationship Id="rId1" Type="http://schemas.openxmlformats.org/officeDocument/2006/relationships/hyperlink" Target="https://www.censis.it/sites/default/files/downloads/Rapporto.pdf" TargetMode="External"/><Relationship Id="rId5" Type="http://schemas.openxmlformats.org/officeDocument/2006/relationships/comments" Target="../comments15.xml"/><Relationship Id="rId4" Type="http://schemas.openxmlformats.org/officeDocument/2006/relationships/vmlDrawing" Target="../drawings/vmlDrawing15.v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ichiju-shien.com/support-solution/teacher_r03.html" TargetMode="External"/><Relationship Id="rId13" Type="http://schemas.openxmlformats.org/officeDocument/2006/relationships/hyperlink" Target="https://www.maff.go.jp/j/tokei/kouhyou/zyui/" TargetMode="External"/><Relationship Id="rId3" Type="http://schemas.openxmlformats.org/officeDocument/2006/relationships/hyperlink" Target="https://www.nichiju-shien.com/support-solution/teacher_r03.html" TargetMode="External"/><Relationship Id="rId7" Type="http://schemas.openxmlformats.org/officeDocument/2006/relationships/hyperlink" Target="https://www.nichiju-shien.com/support-solution/teacher_r03.html" TargetMode="External"/><Relationship Id="rId12" Type="http://schemas.openxmlformats.org/officeDocument/2006/relationships/hyperlink" Target="https://www.nichiju-shien.com/support-solution/teacher_r03.html" TargetMode="External"/><Relationship Id="rId17" Type="http://schemas.openxmlformats.org/officeDocument/2006/relationships/comments" Target="../comments16.xml"/><Relationship Id="rId2" Type="http://schemas.openxmlformats.org/officeDocument/2006/relationships/hyperlink" Target="https://www.nichiju-shien.com/support-solution/teacher_r03.html" TargetMode="External"/><Relationship Id="rId16" Type="http://schemas.openxmlformats.org/officeDocument/2006/relationships/vmlDrawing" Target="../drawings/vmlDrawing16.vml"/><Relationship Id="rId1" Type="http://schemas.openxmlformats.org/officeDocument/2006/relationships/hyperlink" Target="https://www.nichiju-shien.com/support-solution/teacher_r03.html" TargetMode="External"/><Relationship Id="rId6" Type="http://schemas.openxmlformats.org/officeDocument/2006/relationships/hyperlink" Target="https://www.nichiju-shien.com/support-solution/teacher_r03.html" TargetMode="External"/><Relationship Id="rId11" Type="http://schemas.openxmlformats.org/officeDocument/2006/relationships/hyperlink" Target="https://www.nichiju-shien.com/support-solution/teacher_r03.html" TargetMode="External"/><Relationship Id="rId5" Type="http://schemas.openxmlformats.org/officeDocument/2006/relationships/hyperlink" Target="https://www.nichiju-shien.com/support-solution/teacher_r03.html" TargetMode="External"/><Relationship Id="rId15" Type="http://schemas.openxmlformats.org/officeDocument/2006/relationships/hyperlink" Target="https://www.maff.go.jp/j/tokei/kouhyou/zyui/" TargetMode="External"/><Relationship Id="rId10" Type="http://schemas.openxmlformats.org/officeDocument/2006/relationships/hyperlink" Target="https://www.nichiju-shien.com/support-solution/teacher_r03.html" TargetMode="External"/><Relationship Id="rId4" Type="http://schemas.openxmlformats.org/officeDocument/2006/relationships/hyperlink" Target="https://www.nichiju-shien.com/support-solution/teacher_r03.html" TargetMode="External"/><Relationship Id="rId9" Type="http://schemas.openxmlformats.org/officeDocument/2006/relationships/hyperlink" Target="https://www.nichiju-shien.com/support-solution/teacher_r03.html" TargetMode="External"/><Relationship Id="rId14" Type="http://schemas.openxmlformats.org/officeDocument/2006/relationships/hyperlink" Target="https://www.maff.go.jp/j/tokei/kouhyou/zyui/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hyperlink" Target="https://www.medvet.umontreal.ca/AffaireVieEtudiantes/Defi_Vet_Monde/kenya_tanza_zanzi/n_sta.htm" TargetMode="Externa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hyperlink" Target="https://www.woah.org/app/uploads/2021/03/20190424-kr-pvs-gap-analysis-report.pdf" TargetMode="External"/><Relationship Id="rId1" Type="http://schemas.openxmlformats.org/officeDocument/2006/relationships/hyperlink" Target="https://www.woah.org/app/uploads/2021/03/20190424-kr-pvs-gap-analysis-report.pdf" TargetMode="External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18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fve.org/cms/wp-content/uploads/FVE_Survey_2018_WEB.pdf" TargetMode="External"/><Relationship Id="rId1" Type="http://schemas.openxmlformats.org/officeDocument/2006/relationships/hyperlink" Target="https://www.colvet.es/files/portalcontenidos/documentos/document-2022-02-09t112347.069.pdf" TargetMode="Externa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hyperlink" Target="https://fve.org/cms/wp-content/uploads/FVE-Survey-2023_updated-v3.pdf" TargetMode="External"/><Relationship Id="rId1" Type="http://schemas.openxmlformats.org/officeDocument/2006/relationships/hyperlink" Target="https://op.europa.eu/en/publication-detail/-/publication/40271e21-ca1b-461e-ba23-88fe4d4b3fd4/language-fr/format-PDF" TargetMode="External"/><Relationship Id="rId4" Type="http://schemas.openxmlformats.org/officeDocument/2006/relationships/comments" Target="../comments19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https://fve.org/cms/wp-content/uploads/FVE-Survey-2023_updated-v3.pdf" TargetMode="External"/><Relationship Id="rId2" Type="http://schemas.openxmlformats.org/officeDocument/2006/relationships/hyperlink" Target="https://www.fve.org/cms/wp-content/uploads/FVE_Survey_2018_WEB.pdf" TargetMode="External"/><Relationship Id="rId1" Type="http://schemas.openxmlformats.org/officeDocument/2006/relationships/hyperlink" Target="https://www.colvet.es/files/portalcontenidos/documentos/document-2022-02-09t112347.069.pdf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aceta.unam.mx/ganan-terreno-las-mujeres-en-la-profesion-veterinaria/" TargetMode="External"/><Relationship Id="rId2" Type="http://schemas.openxmlformats.org/officeDocument/2006/relationships/hyperlink" Target="https://www.gaceta.unam.mx/ganan-terreno-las-mujeres-en-la-profesion-veterinaria/" TargetMode="External"/><Relationship Id="rId1" Type="http://schemas.openxmlformats.org/officeDocument/2006/relationships/hyperlink" Target="../Zotero/storage/L72DEDH7/articulo.html" TargetMode="External"/><Relationship Id="rId5" Type="http://schemas.openxmlformats.org/officeDocument/2006/relationships/comments" Target="../comments20.xml"/><Relationship Id="rId4" Type="http://schemas.openxmlformats.org/officeDocument/2006/relationships/vmlDrawing" Target="../drawings/vmlDrawing20.v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hyperlink" Target="https://cdn.sida.se/publications/files/sida3349en-sidas-support-to-the-univerity-eduardo-mondlane-mozambique.pdf" TargetMode="External"/></Relationships>
</file>

<file path=xl/worksheets/_rels/sheet3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searchgate.net/publication/43983529_APROXIMACION_A_LA_HISTORIA_DE_LA_MUJER_EN_LA_MEDICINA_VETERINARIA_EL_CASO_DEL_DECANATO_DE_CIENCIAS_VETERINARIAS_DE_LA_UNIVERSIDAD_CENTROCCIDENTAL_LISANDRO_ALVARADO" TargetMode="External"/><Relationship Id="rId3" Type="http://schemas.openxmlformats.org/officeDocument/2006/relationships/hyperlink" Target="https://www.fve.org/cms/wp-content/uploads/FVE_Survey_2018_WEB.pdf" TargetMode="External"/><Relationship Id="rId7" Type="http://schemas.openxmlformats.org/officeDocument/2006/relationships/hyperlink" Target="https://www.raadgevers.nl/wp-content/uploads/2018/06/Artikel-feminisering-en-ondernemerschap-site-Raadgevers.pdf" TargetMode="External"/><Relationship Id="rId2" Type="http://schemas.openxmlformats.org/officeDocument/2006/relationships/hyperlink" Target="https://www.colvet.es/files/portalcontenidos/documentos/document-2022-02-09t112347.069.pdf" TargetMode="External"/><Relationship Id="rId1" Type="http://schemas.openxmlformats.org/officeDocument/2006/relationships/hyperlink" Target="https://www.raadgevers.nl/wp-content/uploads/2018/06/Artikel-feminisering-en-ondernemerschap-site-Raadgevers.pdf" TargetMode="External"/><Relationship Id="rId6" Type="http://schemas.openxmlformats.org/officeDocument/2006/relationships/hyperlink" Target="https://www.raadgevers.nl/wp-content/uploads/2018/06/Artikel-feminisering-en-ondernemerschap-site-Raadgevers.pdf" TargetMode="External"/><Relationship Id="rId11" Type="http://schemas.openxmlformats.org/officeDocument/2006/relationships/comments" Target="../comments21.xml"/><Relationship Id="rId5" Type="http://schemas.openxmlformats.org/officeDocument/2006/relationships/hyperlink" Target="https://www.raadgevers.nl/wp-content/uploads/2018/06/Artikel-feminisering-en-ondernemerschap-site-Raadgevers.pdf" TargetMode="External"/><Relationship Id="rId10" Type="http://schemas.openxmlformats.org/officeDocument/2006/relationships/vmlDrawing" Target="../drawings/vmlDrawing21.vml"/><Relationship Id="rId4" Type="http://schemas.openxmlformats.org/officeDocument/2006/relationships/hyperlink" Target="https://fve.org/cms/wp-content/uploads/FVE-Survey-2023_updated-v3.pdf" TargetMode="External"/><Relationship Id="rId9" Type="http://schemas.openxmlformats.org/officeDocument/2006/relationships/hyperlink" Target="https://www.researchgate.net/publication/43983529_APROXIMACION_A_LA_HISTORIA_DE_LA_MUJER_EN_LA_MEDICINA_VETERINARIA_EL_CASO_DEL_DECANATO_DE_CIENCIAS_VETERINARIAS_DE_LA_UNIVERSIDAD_CENTROCCIDENTAL_LISANDRO_ALVARADO" TargetMode="Externa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hyperlink" Target="https://figure.nz/chart/m2Bsp1Y7bUFJiR8p" TargetMode="External"/><Relationship Id="rId2" Type="http://schemas.openxmlformats.org/officeDocument/2006/relationships/hyperlink" Target="https://figure.nz/chart/m2Bsp1Y7bUFJiR8p" TargetMode="External"/><Relationship Id="rId1" Type="http://schemas.openxmlformats.org/officeDocument/2006/relationships/hyperlink" Target="https://figure.nz/chart/m2Bsp1Y7bUFJiR8p" TargetMode="External"/><Relationship Id="rId6" Type="http://schemas.openxmlformats.org/officeDocument/2006/relationships/comments" Target="../comments22.xml"/><Relationship Id="rId5" Type="http://schemas.openxmlformats.org/officeDocument/2006/relationships/vmlDrawing" Target="../drawings/vmlDrawing22.vml"/><Relationship Id="rId4" Type="http://schemas.openxmlformats.org/officeDocument/2006/relationships/printerSettings" Target="../printerSettings/printerSettings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https://fve.org/cms/wp-content/uploads/FVE-Survey-2023_updated-v3.pdf" TargetMode="External"/><Relationship Id="rId2" Type="http://schemas.openxmlformats.org/officeDocument/2006/relationships/hyperlink" Target="https://www.fve.org/cms/wp-content/uploads/FVE_Survey_2018_WEB.pdf" TargetMode="External"/><Relationship Id="rId1" Type="http://schemas.openxmlformats.org/officeDocument/2006/relationships/hyperlink" Target="https://www.colvet.es/files/portalcontenidos/documentos/document-2022-02-09t112347.069.pdf" TargetMode="External"/></Relationships>
</file>

<file path=xl/worksheets/_rels/sheet3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mbu.no/nyheter/fra-mannsbastion-til-kvinnedominans" TargetMode="External"/><Relationship Id="rId13" Type="http://schemas.openxmlformats.org/officeDocument/2006/relationships/hyperlink" Target="https://www.nmbu.no/download/file/fid/32021../Downloads/veterinaerstudiets_omslag_fra_mannsstudium_til_kvinnestudium_-_ide_til_forskningsprosjekt_-_revidert_2017.pdf" TargetMode="External"/><Relationship Id="rId18" Type="http://schemas.openxmlformats.org/officeDocument/2006/relationships/hyperlink" Target="https://www.fve.org/cms/wp-content/uploads/FVE_Survey_2018_WEB.pdf" TargetMode="External"/><Relationship Id="rId3" Type="http://schemas.openxmlformats.org/officeDocument/2006/relationships/hyperlink" Target="https://universitas.no/sak/50498/vellykket-mannskvotering/" TargetMode="External"/><Relationship Id="rId21" Type="http://schemas.openxmlformats.org/officeDocument/2006/relationships/vmlDrawing" Target="../drawings/vmlDrawing23.vml"/><Relationship Id="rId7" Type="http://schemas.openxmlformats.org/officeDocument/2006/relationships/hyperlink" Target="https://www.ldo.no/arkiv/klagesaker/klagesaker-1996---2005/1999/Kvotering-av-menn-til-veterinarstudiet-/" TargetMode="External"/><Relationship Id="rId12" Type="http://schemas.openxmlformats.org/officeDocument/2006/relationships/hyperlink" Target="https://www.nationen.no/article/ni-av-ti-studenter-er-kvinner/" TargetMode="External"/><Relationship Id="rId17" Type="http://schemas.openxmlformats.org/officeDocument/2006/relationships/hyperlink" Target="https://www.colvet.es/files/portalcontenidos/documentos/document-2022-02-09t112347.069.pdf" TargetMode="External"/><Relationship Id="rId2" Type="http://schemas.openxmlformats.org/officeDocument/2006/relationships/hyperlink" Target="https://universitas.no/sak/50498/vellykket-mannskvotering/" TargetMode="External"/><Relationship Id="rId16" Type="http://schemas.openxmlformats.org/officeDocument/2006/relationships/hyperlink" Target="https://nvt.vetnett.no/asset/Utgaver/2017/02/nvt-2017-02.pdf" TargetMode="External"/><Relationship Id="rId20" Type="http://schemas.openxmlformats.org/officeDocument/2006/relationships/drawing" Target="../drawings/drawing7.xml"/><Relationship Id="rId1" Type="http://schemas.openxmlformats.org/officeDocument/2006/relationships/hyperlink" Target="https://www.nationen.no/article/ni-av-ti-studenter-er-kvinner/" TargetMode="External"/><Relationship Id="rId6" Type="http://schemas.openxmlformats.org/officeDocument/2006/relationships/hyperlink" Target="https://www.ldo.no/arkiv/klagesaker/klagesaker-1996---2005/1999/Kvotering-av-menn-til-veterinarstudiet-/" TargetMode="External"/><Relationship Id="rId11" Type="http://schemas.openxmlformats.org/officeDocument/2006/relationships/hyperlink" Target="https://www.nmbu.no/fakultet/vet/aktuelt/node/38092" TargetMode="External"/><Relationship Id="rId5" Type="http://schemas.openxmlformats.org/officeDocument/2006/relationships/hyperlink" Target="https://www.nmbu.no/fakultet/vet/aktuelt/node/34782" TargetMode="External"/><Relationship Id="rId15" Type="http://schemas.openxmlformats.org/officeDocument/2006/relationships/hyperlink" Target="https://www.nationen.no/article/ni-av-ti-studenter-er-kvinner/" TargetMode="External"/><Relationship Id="rId10" Type="http://schemas.openxmlformats.org/officeDocument/2006/relationships/hyperlink" Target="https://www.nmbu.no/fakultet/vet/aktuelt/node/38092" TargetMode="External"/><Relationship Id="rId19" Type="http://schemas.openxmlformats.org/officeDocument/2006/relationships/hyperlink" Target="https://fve.org/cms/wp-content/uploads/FVE-Survey-2023_updated-v3.pdf" TargetMode="External"/><Relationship Id="rId4" Type="http://schemas.openxmlformats.org/officeDocument/2006/relationships/hyperlink" Target="https://www.nationen.no/article/ni-av-ti-studenter-er-kvinner/" TargetMode="External"/><Relationship Id="rId9" Type="http://schemas.openxmlformats.org/officeDocument/2006/relationships/hyperlink" Target="https://www.nationen.no/article/ni-av-ti-studenter-er-kvinner/" TargetMode="External"/><Relationship Id="rId14" Type="http://schemas.openxmlformats.org/officeDocument/2006/relationships/hyperlink" Target="https://www.nationen.no/article/ni-av-ti-studenter-er-kvinner/" TargetMode="External"/><Relationship Id="rId22" Type="http://schemas.openxmlformats.org/officeDocument/2006/relationships/comments" Target="../comments23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lvet.es/files/portalcontenidos/documentos/document-2022-02-09t112347.069.pdf" TargetMode="External"/><Relationship Id="rId7" Type="http://schemas.openxmlformats.org/officeDocument/2006/relationships/comments" Target="../comments24.xml"/><Relationship Id="rId2" Type="http://schemas.openxmlformats.org/officeDocument/2006/relationships/hyperlink" Target="https://prenumeratorka.pl/helena-jurgielewiczowa-pierwsza-lekarka-weterynarii-cz-2/" TargetMode="External"/><Relationship Id="rId1" Type="http://schemas.openxmlformats.org/officeDocument/2006/relationships/hyperlink" Target="https://niesamowitykaktus.wordpress.com/2020/06/07/od-kilku-pionierek-do-wiekszosci-grupy-zawodowej-jak-kobiety-zdobyly-weterynarie/" TargetMode="External"/><Relationship Id="rId6" Type="http://schemas.openxmlformats.org/officeDocument/2006/relationships/vmlDrawing" Target="../drawings/vmlDrawing24.vml"/><Relationship Id="rId5" Type="http://schemas.openxmlformats.org/officeDocument/2006/relationships/hyperlink" Target="https://fve.org/cms/wp-content/uploads/FVE-Survey-2023_updated-v3.pdf" TargetMode="External"/><Relationship Id="rId4" Type="http://schemas.openxmlformats.org/officeDocument/2006/relationships/hyperlink" Target="https://www.fve.org/cms/wp-content/uploads/FVE_Survey_2018_WEB.pdf" TargetMode="Externa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https://fve.org/cms/wp-content/uploads/FVE-Survey-2023_updated-v3.pdf" TargetMode="External"/><Relationship Id="rId2" Type="http://schemas.openxmlformats.org/officeDocument/2006/relationships/hyperlink" Target="https://www.fve.org/cms/wp-content/uploads/FVE_Survey_2018_WEB.pdf" TargetMode="External"/><Relationship Id="rId1" Type="http://schemas.openxmlformats.org/officeDocument/2006/relationships/hyperlink" Target="https://www.colvet.es/files/portalcontenidos/documentos/document-2022-02-09t112347.069.pdf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vetmarketportal.com.ar/nota/2303/las-mujeres-son-mayoria-en-la-profesion-veterinaria/" TargetMode="External"/><Relationship Id="rId13" Type="http://schemas.openxmlformats.org/officeDocument/2006/relationships/hyperlink" Target="https://vetmarketportal.com.ar/nota/2303/las-mujeres-son-mayoria-en-la-profesion-veterinaria/" TargetMode="External"/><Relationship Id="rId18" Type="http://schemas.openxmlformats.org/officeDocument/2006/relationships/hyperlink" Target="https://vetmarketportal.com.ar/nota/2303/las-mujeres-son-mayoria-en-la-profesion-veterinaria/" TargetMode="External"/><Relationship Id="rId3" Type="http://schemas.openxmlformats.org/officeDocument/2006/relationships/hyperlink" Target="https://intelvet.com.ar/2021/01/13/feminizacion-de-la-profesion-veterinaria-las-mujeres-representan-el-50-de-la-matriculacion-en-santa-fe/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vetmarketportal.com.ar/nota/2965/casi-el-80--de-las-nuevas-generaciones-de-profesionales-de-la-medicina-veterinaria-son-mujeres" TargetMode="External"/><Relationship Id="rId12" Type="http://schemas.openxmlformats.org/officeDocument/2006/relationships/hyperlink" Target="https://vetmarketportal.com.ar/nota/2303/las-mujeres-son-mayoria-en-la-profesion-veterinaria/" TargetMode="External"/><Relationship Id="rId17" Type="http://schemas.openxmlformats.org/officeDocument/2006/relationships/hyperlink" Target="https://vetmarketportal.com.ar/nota/2303/las-mujeres-son-mayoria-en-la-profesion-veterinaria/" TargetMode="External"/><Relationship Id="rId2" Type="http://schemas.openxmlformats.org/officeDocument/2006/relationships/hyperlink" Target="https://www.ellitoral.com.ar/corrientes/2015-8-6-5-45-0-en-veterinarias-ingresan-mas-mujeres-que-hombres-desde-hace-cinco-anos" TargetMode="External"/><Relationship Id="rId16" Type="http://schemas.openxmlformats.org/officeDocument/2006/relationships/hyperlink" Target="https://vetmarketportal.com.ar/nota/2303/las-mujeres-son-mayoria-en-la-profesion-veterinaria/" TargetMode="External"/><Relationship Id="rId20" Type="http://schemas.openxmlformats.org/officeDocument/2006/relationships/hyperlink" Target="https://vetmarketportal.com.ar/nota/2303/las-mujeres-son-mayoria-en-la-profesion-veterinaria/" TargetMode="External"/><Relationship Id="rId1" Type="http://schemas.openxmlformats.org/officeDocument/2006/relationships/hyperlink" Target="http://www.lavoz.com.ar/ciudadanos/cada-vez-mas-mujeres-estudian-veterinaria" TargetMode="External"/><Relationship Id="rId6" Type="http://schemas.openxmlformats.org/officeDocument/2006/relationships/hyperlink" Target="https://www.veterinariargentina.com/revista/2011/07/la-mujer-en-la-profesion-veterinaria/" TargetMode="External"/><Relationship Id="rId11" Type="http://schemas.openxmlformats.org/officeDocument/2006/relationships/hyperlink" Target="https://vetmarketportal.com.ar/nota/2303/las-mujeres-son-mayoria-en-la-profesion-veterinaria/" TargetMode="External"/><Relationship Id="rId5" Type="http://schemas.openxmlformats.org/officeDocument/2006/relationships/hyperlink" Target="https://www.uba.ar/noticia/12658" TargetMode="External"/><Relationship Id="rId15" Type="http://schemas.openxmlformats.org/officeDocument/2006/relationships/hyperlink" Target="https://vetmarketportal.com.ar/nota/2303/las-mujeres-son-mayoria-en-la-profesion-veterinaria/" TargetMode="External"/><Relationship Id="rId23" Type="http://schemas.openxmlformats.org/officeDocument/2006/relationships/comments" Target="../comments3.xml"/><Relationship Id="rId10" Type="http://schemas.openxmlformats.org/officeDocument/2006/relationships/hyperlink" Target="https://vetmarketportal.com.ar/nota/2303/las-mujeres-son-mayoria-en-la-profesion-veterinaria/" TargetMode="External"/><Relationship Id="rId19" Type="http://schemas.openxmlformats.org/officeDocument/2006/relationships/hyperlink" Target="https://vetmarketportal.com.ar/nota/2303/las-mujeres-son-mayoria-en-la-profesion-veterinaria/" TargetMode="External"/><Relationship Id="rId4" Type="http://schemas.openxmlformats.org/officeDocument/2006/relationships/hyperlink" Target="https://intelvet.com.ar/2021/01/13/feminizacion-de-la-profesion-veterinaria-las-mujeres-representan-el-50-de-la-matriculacion-en-santa-fe/" TargetMode="External"/><Relationship Id="rId9" Type="http://schemas.openxmlformats.org/officeDocument/2006/relationships/hyperlink" Target="https://vetmarketportal.com.ar/nota/2303/las-mujeres-son-mayoria-en-la-profesion-veterinaria/" TargetMode="External"/><Relationship Id="rId14" Type="http://schemas.openxmlformats.org/officeDocument/2006/relationships/hyperlink" Target="https://vetmarketportal.com.ar/nota/2303/las-mujeres-son-mayoria-en-la-profesion-veterinaria/" TargetMode="External"/><Relationship Id="rId22" Type="http://schemas.openxmlformats.org/officeDocument/2006/relationships/vmlDrawing" Target="../drawings/vmlDrawing3.v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hyperlink" Target="https://fve.org/cms/wp-content/uploads/FVE-Survey-2023_updated-v3.pdf" TargetMode="External"/><Relationship Id="rId2" Type="http://schemas.openxmlformats.org/officeDocument/2006/relationships/hyperlink" Target="https://www.fve.org/cms/wp-content/uploads/FVE_Survey_2018_WEB.pdf" TargetMode="External"/><Relationship Id="rId1" Type="http://schemas.openxmlformats.org/officeDocument/2006/relationships/hyperlink" Target="https://www.colvet.es/files/portalcontenidos/documentos/document-2022-02-09t112347.069.pdf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ve.org/cms/wp-content/uploads/FVE_Survey_2018_WEB.pdf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ve.org/cms/wp-content/uploads/FVE_Survey_2018_WEB.pdf" TargetMode="External"/><Relationship Id="rId2" Type="http://schemas.openxmlformats.org/officeDocument/2006/relationships/hyperlink" Target="https://www.colvet.es/files/portalcontenidos/documentos/document-2022-02-09t112347.069.pdf" TargetMode="External"/><Relationship Id="rId1" Type="http://schemas.openxmlformats.org/officeDocument/2006/relationships/hyperlink" Target="https://www.rts.rs/page/stories/ci/story/124/drustvo/1299554/ima-li-mesta-za-zene-rukovodioce.html" TargetMode="External"/><Relationship Id="rId4" Type="http://schemas.openxmlformats.org/officeDocument/2006/relationships/hyperlink" Target="https://fve.org/cms/wp-content/uploads/FVE-Survey-2023_updated-v3.pdf" TargetMode="Externa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lvet.es/files/portalcontenidos/documentos/document-2022-02-09t112347.069.pdf" TargetMode="External"/><Relationship Id="rId2" Type="http://schemas.openxmlformats.org/officeDocument/2006/relationships/hyperlink" Target="https://veterina.com.hr/?p=65885" TargetMode="External"/><Relationship Id="rId1" Type="http://schemas.openxmlformats.org/officeDocument/2006/relationships/hyperlink" Target="https://veterina.com.hr/?p=65885" TargetMode="External"/><Relationship Id="rId5" Type="http://schemas.openxmlformats.org/officeDocument/2006/relationships/hyperlink" Target="https://fve.org/cms/wp-content/uploads/FVE-Survey-2023_updated-v3.pdf" TargetMode="External"/><Relationship Id="rId4" Type="http://schemas.openxmlformats.org/officeDocument/2006/relationships/hyperlink" Target="https://www.fve.org/cms/wp-content/uploads/FVE_Survey_2018_WEB.pdf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hyperlink" Target="https://fve.org/cms/wp-content/uploads/FVE-Survey-2023_updated-v3.pdf" TargetMode="External"/><Relationship Id="rId1" Type="http://schemas.openxmlformats.org/officeDocument/2006/relationships/hyperlink" Target="https://www.fve.org/cms/wp-content/uploads/FVE_Survey_2018_WEB.pdf" TargetMode="Externa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hyperlink" Target="https://www.farmersweekly.co.za/bottomline/addressing-the-veterinary-shortage/" TargetMode="External"/><Relationship Id="rId1" Type="http://schemas.openxmlformats.org/officeDocument/2006/relationships/hyperlink" Target="https://www.farmersweekly.co.za/bottomline/addressing-the-veterinary-shortage/" TargetMode="External"/><Relationship Id="rId4" Type="http://schemas.openxmlformats.org/officeDocument/2006/relationships/comments" Target="../comments25.xm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ailyvet.co.kr/news/association/144619" TargetMode="External"/><Relationship Id="rId1" Type="http://schemas.openxmlformats.org/officeDocument/2006/relationships/hyperlink" Target="https://stat.gg.go.kr/statHtml/statHtml.do?orgId=210&amp;tblId=DT_21002E025&amp;vw_cd=undefined&amp;list_id=&amp;scrId=&amp;seqNo=&amp;language=ko&amp;obj_var_id=undefined&amp;conn_path=I2&amp;path=" TargetMode="External"/></Relationships>
</file>

<file path=xl/worksheets/_rels/sheet47.xml.rels><?xml version="1.0" encoding="UTF-8" standalone="yes"?>
<Relationships xmlns="http://schemas.openxmlformats.org/package/2006/relationships"><Relationship Id="rId8" Type="http://schemas.openxmlformats.org/officeDocument/2006/relationships/hyperlink" Target="http://estadisticas.mecd.gob.es/EducaJaxiPx/Tabla.htm?path=/Universitaria/Alumnado/EEU_2021/GradoCiclo/Matriculados//l0/&amp;file=Mat_GradCiclo_Sex_Edad(1)_Amb_Tot.px&amp;type=pcaxis&amp;L=0" TargetMode="External"/><Relationship Id="rId13" Type="http://schemas.openxmlformats.org/officeDocument/2006/relationships/hyperlink" Target="http://estadisticas.mecd.gob.es/EducaJaxiPx/Tabla.htm?path=/Universitaria/Alumnado/EEU_2021/GradoCiclo/Matriculados//l0/&amp;file=Mat_GradCiclo_Sex_Edad(1)_Amb_Tot.px&amp;type=pcaxis&amp;L=0" TargetMode="External"/><Relationship Id="rId18" Type="http://schemas.openxmlformats.org/officeDocument/2006/relationships/hyperlink" Target="https://ceve.es/wp-content/uploads/2020/10/Informe-CEVE-2020-1.pdf" TargetMode="External"/><Relationship Id="rId26" Type="http://schemas.openxmlformats.org/officeDocument/2006/relationships/hyperlink" Target="https://axoncomunicacion.net/las-mujeres-suponen-el-70-de-los-veterinarios-colegiados-menores-de-35-anos-en-espana/" TargetMode="External"/><Relationship Id="rId3" Type="http://schemas.openxmlformats.org/officeDocument/2006/relationships/hyperlink" Target="https://ceve.es/wp-content/uploads/2020/10/Informe-CEVE-2020-1.pdf" TargetMode="External"/><Relationship Id="rId21" Type="http://schemas.openxmlformats.org/officeDocument/2006/relationships/hyperlink" Target="https://fve.org/cms/wp-content/uploads/FVE-Survey-2023_updated-v3.pdf" TargetMode="External"/><Relationship Id="rId7" Type="http://schemas.openxmlformats.org/officeDocument/2006/relationships/hyperlink" Target="http://estadisticas.mecd.gob.es/EducaJaxiPx/Tabla.htm?path=/Universitaria/Alumnado/EEU_2021/GradoCiclo/Matriculados//l0/&amp;file=Mat_GradCiclo_Sex_Edad(1)_Amb_Tot.px&amp;type=pcaxis&amp;L=0" TargetMode="External"/><Relationship Id="rId12" Type="http://schemas.openxmlformats.org/officeDocument/2006/relationships/hyperlink" Target="http://estadisticas.mecd.gob.es/EducaJaxiPx/Tabla.htm?path=/Universitaria/Alumnado/EEU_2021/GradoCiclo/Matriculados//l0/&amp;file=Mat_GradCiclo_Sex_Edad(1)_Amb_Tot.px&amp;type=pcaxis&amp;L=0" TargetMode="External"/><Relationship Id="rId17" Type="http://schemas.openxmlformats.org/officeDocument/2006/relationships/hyperlink" Target="https://ceve.es/wp-content/uploads/2020/10/Informe-CEVE-2020-1.pdf" TargetMode="External"/><Relationship Id="rId25" Type="http://schemas.openxmlformats.org/officeDocument/2006/relationships/hyperlink" Target="https://axoncomunicacion.net/las-mujeres-suponen-el-70-de-los-veterinarios-colegiados-menores-de-35-anos-en-espana/" TargetMode="External"/><Relationship Id="rId2" Type="http://schemas.openxmlformats.org/officeDocument/2006/relationships/hyperlink" Target="https://ceve.es/informe-2020-sobre-la-situacion-socioeconomica-y-laboral-del-sector-veterinario-en-espana/" TargetMode="External"/><Relationship Id="rId16" Type="http://schemas.openxmlformats.org/officeDocument/2006/relationships/hyperlink" Target="https://ceve.es/wp-content/uploads/2020/10/Informe-CEVE-2020-1.pdf" TargetMode="External"/><Relationship Id="rId20" Type="http://schemas.openxmlformats.org/officeDocument/2006/relationships/hyperlink" Target="https://www.fve.org/cms/wp-content/uploads/FVE_Survey_2018_WEB.pdf" TargetMode="External"/><Relationship Id="rId29" Type="http://schemas.openxmlformats.org/officeDocument/2006/relationships/hyperlink" Target="https://efeverde.com/veterinarios-mujeres/" TargetMode="External"/><Relationship Id="rId1" Type="http://schemas.openxmlformats.org/officeDocument/2006/relationships/hyperlink" Target="https://ceve.es/wp-content/uploads/2020/10/Informe-CEVE-2020-1.pdf" TargetMode="External"/><Relationship Id="rId6" Type="http://schemas.openxmlformats.org/officeDocument/2006/relationships/hyperlink" Target="http://estadisticas.mecd.gob.es/EducaJaxiPx/Tabla.htm?path=/Universitaria/Alumnado/EEU_2021/GradoCiclo/Matriculados//l0/&amp;file=Mat_GradCiclo_Sex_Edad(1)_Amb_Tot.px&amp;type=pcaxis&amp;L=0" TargetMode="External"/><Relationship Id="rId11" Type="http://schemas.openxmlformats.org/officeDocument/2006/relationships/hyperlink" Target="http://estadisticas.mecd.gob.es/EducaJaxiPx/Tabla.htm?path=/Universitaria/Alumnado/EEU_2021/GradoCiclo/Matriculados//l0/&amp;file=Mat_GradCiclo_Sex_Edad(1)_Amb_Tot.px&amp;type=pcaxis&amp;L=0" TargetMode="External"/><Relationship Id="rId24" Type="http://schemas.openxmlformats.org/officeDocument/2006/relationships/hyperlink" Target="https://axoncomunicacion.net/las-mujeres-suponen-el-70-de-los-veterinarios-colegiados-menores-de-35-anos-en-espana/" TargetMode="External"/><Relationship Id="rId5" Type="http://schemas.openxmlformats.org/officeDocument/2006/relationships/hyperlink" Target="http://estadisticas.mecd.gob.es/EducaJaxiPx/Tabla.htm?path=/Universitaria/Alumnado/EEU_2021/GradoCiclo/Matriculados//l0/&amp;file=Mat_GradCiclo_Sex_Edad(1)_Amb_Tot.px&amp;type=pcaxis&amp;L=0" TargetMode="External"/><Relationship Id="rId15" Type="http://schemas.openxmlformats.org/officeDocument/2006/relationships/hyperlink" Target="http://estadisticas.mecd.gob.es/EducaJaxiPx/Tabla.htm?path=/Universitaria/Alumnado/EEU_2021/GradoCiclo/Matriculados//l0/&amp;file=Mat_GradCiclo_Sex_Edad(1)_Amb_Tot.px&amp;type=pcaxis&amp;L=0" TargetMode="External"/><Relationship Id="rId23" Type="http://schemas.openxmlformats.org/officeDocument/2006/relationships/hyperlink" Target="https://axoncomunicacion.net/las-mujeres-suponen-el-70-de-los-veterinarios-colegiados-menores-de-35-anos-en-espana/" TargetMode="External"/><Relationship Id="rId28" Type="http://schemas.openxmlformats.org/officeDocument/2006/relationships/hyperlink" Target="https://efeverde.com/veterinarios-mujeres/" TargetMode="External"/><Relationship Id="rId10" Type="http://schemas.openxmlformats.org/officeDocument/2006/relationships/hyperlink" Target="http://estadisticas.mecd.gob.es/EducaJaxiPx/Tabla.htm?path=/Universitaria/Alumnado/EEU_2021/GradoCiclo/Matriculados//l0/&amp;file=Mat_GradCiclo_Sex_Edad(1)_Amb_Tot.px&amp;type=pcaxis&amp;L=0" TargetMode="External"/><Relationship Id="rId19" Type="http://schemas.openxmlformats.org/officeDocument/2006/relationships/hyperlink" Target="https://www.colvet.es/files/portalcontenidos/documentos/document-2022-02-09t112347.069.pdf" TargetMode="External"/><Relationship Id="rId31" Type="http://schemas.openxmlformats.org/officeDocument/2006/relationships/comments" Target="../comments26.xml"/><Relationship Id="rId4" Type="http://schemas.openxmlformats.org/officeDocument/2006/relationships/hyperlink" Target="https://ceve.es/wp-content/uploads/2020/10/Informe-CEVE-2020-1.pdf" TargetMode="External"/><Relationship Id="rId9" Type="http://schemas.openxmlformats.org/officeDocument/2006/relationships/hyperlink" Target="http://estadisticas.mecd.gob.es/EducaJaxiPx/Tabla.htm?path=/Universitaria/Alumnado/EEU_2021/GradoCiclo/Matriculados//l0/&amp;file=Mat_GradCiclo_Sex_Edad(1)_Amb_Tot.px&amp;type=pcaxis&amp;L=0" TargetMode="External"/><Relationship Id="rId14" Type="http://schemas.openxmlformats.org/officeDocument/2006/relationships/hyperlink" Target="http://estadisticas.mecd.gob.es/EducaJaxiPx/Tabla.htm?path=/Universitaria/Alumnado/EEU_2021/GradoCiclo/Matriculados//l0/&amp;file=Mat_GradCiclo_Sex_Edad(1)_Amb_Tot.px&amp;type=pcaxis&amp;L=0" TargetMode="External"/><Relationship Id="rId22" Type="http://schemas.openxmlformats.org/officeDocument/2006/relationships/hyperlink" Target="https://www.diarioveterinario.com/t/4284880/analizan-dificultades-mujeres-veterinarias-prosperar-profesion" TargetMode="External"/><Relationship Id="rId27" Type="http://schemas.openxmlformats.org/officeDocument/2006/relationships/hyperlink" Target="https://efeverde.com/veterinarios-mujeres/" TargetMode="External"/><Relationship Id="rId30" Type="http://schemas.openxmlformats.org/officeDocument/2006/relationships/vmlDrawing" Target="../drawings/vmlDrawing26.vml"/></Relationships>
</file>

<file path=xl/worksheets/_rels/sheet4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lvet.es/files/portalcontenidos/documentos/document-2022-02-09t112347.069.pdf" TargetMode="External"/><Relationship Id="rId3" Type="http://schemas.openxmlformats.org/officeDocument/2006/relationships/hyperlink" Target="https://stud.epsilon.slu.se/14453/11/Wlosinska_J_190407.pdf" TargetMode="External"/><Relationship Id="rId7" Type="http://schemas.openxmlformats.org/officeDocument/2006/relationships/hyperlink" Target="https://stud.epsilon.slu.se/14453/11/Wlosinska_J_190407.pdf" TargetMode="External"/><Relationship Id="rId12" Type="http://schemas.openxmlformats.org/officeDocument/2006/relationships/comments" Target="../comments27.xml"/><Relationship Id="rId2" Type="http://schemas.openxmlformats.org/officeDocument/2006/relationships/hyperlink" Target="https://stud.epsilon.slu.se/14453/11/Wlosinska_J_190407.pdf" TargetMode="External"/><Relationship Id="rId1" Type="http://schemas.openxmlformats.org/officeDocument/2006/relationships/hyperlink" Target="https://www.metrojobb.se/artikel/6328-nu-tar-kvinnorna-%C3%B6ver-m%C3%A4nnens-jobb" TargetMode="External"/><Relationship Id="rId6" Type="http://schemas.openxmlformats.org/officeDocument/2006/relationships/hyperlink" Target="https://stud.epsilon.slu.se/14453/11/Wlosinska_J_190407.pdf" TargetMode="External"/><Relationship Id="rId11" Type="http://schemas.openxmlformats.org/officeDocument/2006/relationships/vmlDrawing" Target="../drawings/vmlDrawing27.vml"/><Relationship Id="rId5" Type="http://schemas.openxmlformats.org/officeDocument/2006/relationships/hyperlink" Target="https://stud.epsilon.slu.se/14453/11/Wlosinska_J_190407.pdf" TargetMode="External"/><Relationship Id="rId10" Type="http://schemas.openxmlformats.org/officeDocument/2006/relationships/hyperlink" Target="https://fve.org/cms/wp-content/uploads/FVE-Survey-2023_updated-v3.pdf" TargetMode="External"/><Relationship Id="rId4" Type="http://schemas.openxmlformats.org/officeDocument/2006/relationships/hyperlink" Target="https://stud.epsilon.slu.se/14453/11/Wlosinska_J_190407.pdf" TargetMode="External"/><Relationship Id="rId9" Type="http://schemas.openxmlformats.org/officeDocument/2006/relationships/hyperlink" Target="https://www.fve.org/cms/wp-content/uploads/FVE_Survey_2018_WEB.pdf" TargetMode="External"/></Relationships>
</file>

<file path=xl/worksheets/_rels/sheet4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stsvs.ch/fileadmin/user_upload/GST-SVS/Publikationen/Jahresbericht_GST/GST_Jahresbericht_2017_d.pdfhttps:/d.docs.live.net/5141a47629328be6/Gender%20in%20veterinary%20education%20leadership%20-%20a%20snapshot%20of%20global%20trends.pptx" TargetMode="External"/><Relationship Id="rId13" Type="http://schemas.openxmlformats.org/officeDocument/2006/relationships/comments" Target="../comments28.xml"/><Relationship Id="rId3" Type="http://schemas.openxmlformats.org/officeDocument/2006/relationships/hyperlink" Target="http://docplayer.org/13865971-Die-feminisierung-des-veterinaerwesens-in-der-schweiz.html" TargetMode="External"/><Relationship Id="rId7" Type="http://schemas.openxmlformats.org/officeDocument/2006/relationships/hyperlink" Target="https://www.gstsvs.ch/fileadmin/user_upload/GST-SVS/Publikationen/Jahresbericht_GST/GST_Jahresbericht_2018_d.pdf" TargetMode="External"/><Relationship Id="rId12" Type="http://schemas.openxmlformats.org/officeDocument/2006/relationships/vmlDrawing" Target="../drawings/vmlDrawing28.vml"/><Relationship Id="rId2" Type="http://schemas.openxmlformats.org/officeDocument/2006/relationships/hyperlink" Target="RAEStud-90-4-473-498.pdf" TargetMode="External"/><Relationship Id="rId1" Type="http://schemas.openxmlformats.org/officeDocument/2006/relationships/hyperlink" Target="https://www.gleichstellung.uzh.ch/dam/jcr:de2d7531-8d2b-4b64-ad0a-76fd189d056b/Datentabellen_GLM_2019_tbf.pdf" TargetMode="External"/><Relationship Id="rId6" Type="http://schemas.openxmlformats.org/officeDocument/2006/relationships/hyperlink" Target="https://sat.gstsvs.ch/de/sat/sat-artikel/archiv/2018/032018/nachfrage-nach-veterinaerstudium-so-hoch-wie-nie.html" TargetMode="External"/><Relationship Id="rId11" Type="http://schemas.openxmlformats.org/officeDocument/2006/relationships/printerSettings" Target="../printerSettings/printerSettings6.bin"/><Relationship Id="rId5" Type="http://schemas.openxmlformats.org/officeDocument/2006/relationships/hyperlink" Target="https://www.unibe.ch/unibe/portal/content/e796/e800/e10902/e277579/e542805/files542822/s_32_gespraech_ger.pdf" TargetMode="External"/><Relationship Id="rId10" Type="http://schemas.openxmlformats.org/officeDocument/2006/relationships/hyperlink" Target="https://fve.org/cms/wp-content/uploads/FVE-Survey-2023_updated-v3.pdf" TargetMode="External"/><Relationship Id="rId4" Type="http://schemas.openxmlformats.org/officeDocument/2006/relationships/hyperlink" Target="http://docplayer.org/13865971-Die-feminisierung-des-veterinaerwesens-in-der-schweiz.html" TargetMode="External"/><Relationship Id="rId9" Type="http://schemas.openxmlformats.org/officeDocument/2006/relationships/hyperlink" Target="https://www.colvet.es/files/portalcontenidos/documentos/document-2022-02-09t112347.069.pdf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mments" Target="../comments4.xml"/><Relationship Id="rId3" Type="http://schemas.openxmlformats.org/officeDocument/2006/relationships/hyperlink" Target="https://sci-hubtw.hkvisa.net/10.1111/j.1751-0813.2002.tb10995.x" TargetMode="External"/><Relationship Id="rId7" Type="http://schemas.openxmlformats.org/officeDocument/2006/relationships/vmlDrawing" Target="../drawings/vmlDrawing4.vml"/><Relationship Id="rId2" Type="http://schemas.openxmlformats.org/officeDocument/2006/relationships/hyperlink" Target="https://sci-hubtw.hkvisa.net/10.1111/j.1751-0813.2002.tb10995.x" TargetMode="External"/><Relationship Id="rId1" Type="http://schemas.openxmlformats.org/officeDocument/2006/relationships/hyperlink" Target="https://www.ava.com.au/policy-advocacy/advocacy/workforce/workforce-data/" TargetMode="External"/><Relationship Id="rId6" Type="http://schemas.openxmlformats.org/officeDocument/2006/relationships/hyperlink" Target="../Zotero/storage/EXMNBKZJ/women-in-the-veterinary-industry.html" TargetMode="External"/><Relationship Id="rId5" Type="http://schemas.openxmlformats.org/officeDocument/2006/relationships/hyperlink" Target="../Zotero/storage/EXMNBKZJ/women-in-the-veterinary-industry.html" TargetMode="External"/><Relationship Id="rId4" Type="http://schemas.openxmlformats.org/officeDocument/2006/relationships/hyperlink" Target="https://sci-hubtw.hkvisa.net/10.1111/j.1751-0813.2008.00314.x" TargetMode="Externa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fve.org/cms/wp-content/uploads/FVE_Survey_2018_WEB.pdf" TargetMode="External"/><Relationship Id="rId1" Type="http://schemas.openxmlformats.org/officeDocument/2006/relationships/hyperlink" Target="https://jvme.utpjournals.press/doi/10.3138/jvme.35.2.305?url_ver=Z39.88-2003&amp;rfr_id=ori%3Arid%3Acrossref.org&amp;rfr_dat=cr_pub++0pubmed" TargetMode="Externa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anafrican-med-journal.com/content/series/27/4/24/full/" TargetMode="External"/></Relationships>
</file>

<file path=xl/worksheets/_rels/sheet5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hyperlink" Target="https://veterina.com.hr/?p=65885" TargetMode="External"/><Relationship Id="rId7" Type="http://schemas.openxmlformats.org/officeDocument/2006/relationships/hyperlink" Target="https://fve.org/cms/wp-content/uploads/FVE-Survey-2023_updated-v3.pdf" TargetMode="External"/><Relationship Id="rId2" Type="http://schemas.openxmlformats.org/officeDocument/2006/relationships/hyperlink" Target="../OneDrive%20-%20Iowa%20State%20University/Vet%20School/Rotations/GVEL/Gender%20statistics%20about%20veterinary%20surgeons%20in%20the%20UK.pdf" TargetMode="External"/><Relationship Id="rId1" Type="http://schemas.openxmlformats.org/officeDocument/2006/relationships/hyperlink" Target="https://www.rcvs.org.uk/news-and-views/publications/?filter-keyword=&amp;filter-type=5&amp;filter-month=&amp;filter-year=&amp;p=2" TargetMode="External"/><Relationship Id="rId6" Type="http://schemas.openxmlformats.org/officeDocument/2006/relationships/hyperlink" Target="https://www.fve.org/cms/wp-content/uploads/FVE_Survey_2018_WEB.pdf" TargetMode="External"/><Relationship Id="rId11" Type="http://schemas.microsoft.com/office/2017/10/relationships/threadedComment" Target="../threadedComments/threadedComment4.xml"/><Relationship Id="rId5" Type="http://schemas.openxmlformats.org/officeDocument/2006/relationships/hyperlink" Target="https://www.rcvs.org.uk/news-and-views/publications/recruitment-retention-and-return-in-the-veterinary-profession/" TargetMode="External"/><Relationship Id="rId10" Type="http://schemas.openxmlformats.org/officeDocument/2006/relationships/comments" Target="../comments29.xml"/><Relationship Id="rId4" Type="http://schemas.openxmlformats.org/officeDocument/2006/relationships/hyperlink" Target="https://veterina.com.hr/?p=65885" TargetMode="External"/><Relationship Id="rId9" Type="http://schemas.openxmlformats.org/officeDocument/2006/relationships/vmlDrawing" Target="../drawings/vmlDrawing29.vml"/></Relationships>
</file>

<file path=xl/worksheets/_rels/sheet5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rmv-pr.org.br/uploads/revista/arquivos/20160307140058.pdf" TargetMode="External"/><Relationship Id="rId18" Type="http://schemas.openxmlformats.org/officeDocument/2006/relationships/hyperlink" Target="avma.org/javma-news/2007-06-15/2007-dvm-year-woman" TargetMode="External"/><Relationship Id="rId26" Type="http://schemas.openxmlformats.org/officeDocument/2006/relationships/hyperlink" Target="https://www.avma.org/javma-news/2007-06-15/2007-dvm-year-woman" TargetMode="External"/><Relationship Id="rId3" Type="http://schemas.openxmlformats.org/officeDocument/2006/relationships/hyperlink" Target="https://www.jstor.org/stable/pdf/20676846.pdf?refreqid=excelsior%3A67279bcca727c64ef8ca5cd50e1f7ff5" TargetMode="External"/><Relationship Id="rId21" Type="http://schemas.openxmlformats.org/officeDocument/2006/relationships/hyperlink" Target="https://pubmed.ncbi.nlm.nih.gov/23050383/" TargetMode="External"/><Relationship Id="rId34" Type="http://schemas.openxmlformats.org/officeDocument/2006/relationships/drawing" Target="../drawings/drawing8.xml"/><Relationship Id="rId7" Type="http://schemas.openxmlformats.org/officeDocument/2006/relationships/hyperlink" Target="http://www.dissertations.wsu.edu/Dissertations/Spring2004/A_Lincoln_050404.pdf" TargetMode="External"/><Relationship Id="rId12" Type="http://schemas.openxmlformats.org/officeDocument/2006/relationships/hyperlink" Target="https://www.ncbi.nlm.nih.gov/pmc/articles/PMC1681137/?page=2" TargetMode="External"/><Relationship Id="rId17" Type="http://schemas.openxmlformats.org/officeDocument/2006/relationships/hyperlink" Target="https://www.avma.org/javma-news/2007-06-15/2007-dvm-year-woman" TargetMode="External"/><Relationship Id="rId25" Type="http://schemas.openxmlformats.org/officeDocument/2006/relationships/hyperlink" Target="https://www.avma.org/javma-news/2007-06-15/2007-dvm-year-woman" TargetMode="External"/><Relationship Id="rId33" Type="http://schemas.openxmlformats.org/officeDocument/2006/relationships/printerSettings" Target="../printerSettings/printerSettings8.bin"/><Relationship Id="rId2" Type="http://schemas.openxmlformats.org/officeDocument/2006/relationships/hyperlink" Target="https://www.jstor.org/stable/pdf/20676846.pdf?refreqid=excelsior%3A67279bcca727c64ef8ca5cd50e1f7ff5" TargetMode="External"/><Relationship Id="rId16" Type="http://schemas.openxmlformats.org/officeDocument/2006/relationships/hyperlink" Target="avma.org/javma-news/2007-06-15/2007-dvm-year-woman" TargetMode="External"/><Relationship Id="rId20" Type="http://schemas.openxmlformats.org/officeDocument/2006/relationships/hyperlink" Target="https://pubmed.ncbi.nlm.nih.gov/23050383/" TargetMode="External"/><Relationship Id="rId29" Type="http://schemas.openxmlformats.org/officeDocument/2006/relationships/hyperlink" Target="https://www.avma.org/javma-news/2013-07-15/one-history-books" TargetMode="External"/><Relationship Id="rId1" Type="http://schemas.openxmlformats.org/officeDocument/2006/relationships/hyperlink" Target="http://www.dissertations.wsu.edu/Dissertations/Spring2004/A_Lincoln_050404.pdf" TargetMode="External"/><Relationship Id="rId6" Type="http://schemas.openxmlformats.org/officeDocument/2006/relationships/hyperlink" Target="http://www.dissertations.wsu.edu/Dissertations/Spring2004/A_Lincoln_050404.pdf" TargetMode="External"/><Relationship Id="rId11" Type="http://schemas.openxmlformats.org/officeDocument/2006/relationships/hyperlink" Target="https://www.ucop.edu/uc-health/_files/vet-med-an-era-of-change.pdf" TargetMode="External"/><Relationship Id="rId24" Type="http://schemas.openxmlformats.org/officeDocument/2006/relationships/hyperlink" Target="https://www.avma.org/javma-news/2007-06-15/2007-dvm-year-woman" TargetMode="External"/><Relationship Id="rId32" Type="http://schemas.openxmlformats.org/officeDocument/2006/relationships/hyperlink" Target="https://www.iowapbs.org/shows/mtom/market-feature/clip/11340/nations-almost-forgotten-first-female-veterinarian" TargetMode="External"/><Relationship Id="rId5" Type="http://schemas.openxmlformats.org/officeDocument/2006/relationships/hyperlink" Target="http://www.dissertations.wsu.edu/Dissertations/Spring2004/A_Lincoln_050404.pdf" TargetMode="External"/><Relationship Id="rId15" Type="http://schemas.openxmlformats.org/officeDocument/2006/relationships/hyperlink" Target="avma.org/javma-news/2007-06-15/2007-dvm-year-woman" TargetMode="External"/><Relationship Id="rId23" Type="http://schemas.openxmlformats.org/officeDocument/2006/relationships/hyperlink" Target="https://www.avma.org/javma-news/2007-06-15/2007-dvm-year-woman" TargetMode="External"/><Relationship Id="rId28" Type="http://schemas.openxmlformats.org/officeDocument/2006/relationships/hyperlink" Target="https://www.avma.org/javma-news/2013-07-15/one-history-books" TargetMode="External"/><Relationship Id="rId36" Type="http://schemas.openxmlformats.org/officeDocument/2006/relationships/comments" Target="../comments30.xml"/><Relationship Id="rId10" Type="http://schemas.openxmlformats.org/officeDocument/2006/relationships/hyperlink" Target="http://www.dissertations.wsu.edu/Dissertations/Spring2004/A_Lincoln_050404.pdf" TargetMode="External"/><Relationship Id="rId19" Type="http://schemas.openxmlformats.org/officeDocument/2006/relationships/hyperlink" Target="https://pubmed.ncbi.nlm.nih.gov/23050383/" TargetMode="External"/><Relationship Id="rId31" Type="http://schemas.openxmlformats.org/officeDocument/2006/relationships/hyperlink" Target="https://www.iowapbs.org/shows/mtom/market-feature/clip/11340/nations-almost-forgotten-first-female-veterinarian" TargetMode="External"/><Relationship Id="rId4" Type="http://schemas.openxmlformats.org/officeDocument/2006/relationships/hyperlink" Target="http://www.dissertations.wsu.edu/Dissertations/Spring2004/A_Lincoln_050404.pdf" TargetMode="External"/><Relationship Id="rId9" Type="http://schemas.openxmlformats.org/officeDocument/2006/relationships/hyperlink" Target="http://www.dissertations.wsu.edu/Dissertations/Spring2004/A_Lincoln_050404.pdf" TargetMode="External"/><Relationship Id="rId14" Type="http://schemas.openxmlformats.org/officeDocument/2006/relationships/hyperlink" Target="https://www.crmv-pr.org.br/uploads/revista/arquivos/20160307140058.pdf" TargetMode="External"/><Relationship Id="rId22" Type="http://schemas.openxmlformats.org/officeDocument/2006/relationships/hyperlink" Target="https://pubmed.ncbi.nlm.nih.gov/23050383/" TargetMode="External"/><Relationship Id="rId27" Type="http://schemas.openxmlformats.org/officeDocument/2006/relationships/hyperlink" Target="https://archiveswest.orbiscascade.org/ark:/80444/xv70617" TargetMode="External"/><Relationship Id="rId30" Type="http://schemas.openxmlformats.org/officeDocument/2006/relationships/hyperlink" Target="https://www.avma.org/javma-news/2015-10-01/1945-1955" TargetMode="External"/><Relationship Id="rId35" Type="http://schemas.openxmlformats.org/officeDocument/2006/relationships/vmlDrawing" Target="../drawings/vmlDrawing30.vml"/><Relationship Id="rId8" Type="http://schemas.openxmlformats.org/officeDocument/2006/relationships/hyperlink" Target="http://www.dissertations.wsu.edu/Dissertations/Spring2004/A_Lincoln_050404.pdf" TargetMode="External"/></Relationships>
</file>

<file path=xl/worksheets/_rels/sheet54.xml.rels><?xml version="1.0" encoding="UTF-8" standalone="yes"?>
<Relationships xmlns="http://schemas.openxmlformats.org/package/2006/relationships"><Relationship Id="rId117" Type="http://schemas.openxmlformats.org/officeDocument/2006/relationships/hyperlink" Target="http://estadisticas.mecd.gob.es/EducaJaxiPx/Tabla.htm?path=/Universitaria/Alumnado/EEU_2021/GradoCiclo/Matriculados//l0/&amp;file=Mat_GradCiclo_Sex_Edad(1)_Amb_Tot.px&amp;type=pcaxis&amp;L=0" TargetMode="External"/><Relationship Id="rId21" Type="http://schemas.openxmlformats.org/officeDocument/2006/relationships/hyperlink" Target="https://www.farmersweekly.co.za/bottomline/addressing-the-veterinary-shortage/" TargetMode="External"/><Relationship Id="rId42" Type="http://schemas.openxmlformats.org/officeDocument/2006/relationships/hyperlink" Target="https://www.cairn.info/revue-formation-emploi-2020-3-page-93.htm" TargetMode="External"/><Relationship Id="rId63" Type="http://schemas.openxmlformats.org/officeDocument/2006/relationships/hyperlink" Target="https://www.ncbi.nlm.nih.gov/pmc/articles/PMC1681137/?page=2" TargetMode="External"/><Relationship Id="rId84" Type="http://schemas.openxmlformats.org/officeDocument/2006/relationships/hyperlink" Target="https://www.crmv-pr.org.br/uploads/revista/arquivos/20160307140058.pdf" TargetMode="External"/><Relationship Id="rId138" Type="http://schemas.openxmlformats.org/officeDocument/2006/relationships/hyperlink" Target="https://jyllands-posten.dk/indland/article6901940.ece" TargetMode="External"/><Relationship Id="rId159" Type="http://schemas.openxmlformats.org/officeDocument/2006/relationships/hyperlink" Target="https://veterina.com.hr/?p=65885" TargetMode="External"/><Relationship Id="rId170" Type="http://schemas.openxmlformats.org/officeDocument/2006/relationships/hyperlink" Target="https://veterina.com.hr/?p=65885" TargetMode="External"/><Relationship Id="rId107" Type="http://schemas.openxmlformats.org/officeDocument/2006/relationships/hyperlink" Target="http://estadisticas.mecd.gob.es/EducaJaxiPx/Tabla.htm?path=/Universitaria/Alumnado/EEU_2021/GradoCiclo/Matriculados//l0/&amp;file=Mat_GradCiclo_Sex_Edad(1)_Amb_Tot.px&amp;type=pcaxis&amp;L=0" TargetMode="External"/><Relationship Id="rId11" Type="http://schemas.openxmlformats.org/officeDocument/2006/relationships/hyperlink" Target="https://www.nichiju-shien.com/support-solution/teacher_r03.html" TargetMode="External"/><Relationship Id="rId32" Type="http://schemas.openxmlformats.org/officeDocument/2006/relationships/hyperlink" Target="http://www.dissertations.wsu.edu/Dissertations/Spring2004/A_Lincoln_050404.pdf" TargetMode="External"/><Relationship Id="rId53" Type="http://schemas.openxmlformats.org/officeDocument/2006/relationships/hyperlink" Target="https://sci-hubtw.hkvisa.net/10.1111/j.1751-0813.2008.00314.x" TargetMode="External"/><Relationship Id="rId74" Type="http://schemas.openxmlformats.org/officeDocument/2006/relationships/hyperlink" Target="https://www.veterinaire.fr/system/files/files/2021-11/ODV-ATLAS-NATIONAL-2021.pdf" TargetMode="External"/><Relationship Id="rId128" Type="http://schemas.openxmlformats.org/officeDocument/2006/relationships/hyperlink" Target="https://www.metrojobb.se/artikel/6328-nu-tar-kvinnorna-%C3%B6ver-m%C3%A4nnens-jobb" TargetMode="External"/><Relationship Id="rId149" Type="http://schemas.openxmlformats.org/officeDocument/2006/relationships/hyperlink" Target="https://universitas.no/sak/50498/vellykket-mannskvotering/" TargetMode="External"/><Relationship Id="rId5" Type="http://schemas.openxmlformats.org/officeDocument/2006/relationships/hyperlink" Target="https://figure.nz/chart/m2Bsp1Y7bUFJiR8p" TargetMode="External"/><Relationship Id="rId95" Type="http://schemas.openxmlformats.org/officeDocument/2006/relationships/hyperlink" Target="../Downloads/33549-Texto%20do%20artigo-170600-1-10-20170721.pdf" TargetMode="External"/><Relationship Id="rId160" Type="http://schemas.openxmlformats.org/officeDocument/2006/relationships/hyperlink" Target="https://veterina.com.hr/?p=65885" TargetMode="External"/><Relationship Id="rId181" Type="http://schemas.openxmlformats.org/officeDocument/2006/relationships/vmlDrawing" Target="../drawings/vmlDrawing31.vml"/><Relationship Id="rId22" Type="http://schemas.openxmlformats.org/officeDocument/2006/relationships/hyperlink" Target="https://www.veterinaire.fr/la-profession/observatoire-national-demographique-de-la-profession-veterinaire/archives-atlas-demographiques-depuis-2016.html" TargetMode="External"/><Relationship Id="rId43" Type="http://schemas.openxmlformats.org/officeDocument/2006/relationships/hyperlink" Target="https://www.cairn.info/revue-formation-emploi-2020-3-page-93.htm" TargetMode="External"/><Relationship Id="rId64" Type="http://schemas.openxmlformats.org/officeDocument/2006/relationships/hyperlink" Target="https://www.censis.it/sites/default/files/downloads/Rapporto.pdf" TargetMode="External"/><Relationship Id="rId118" Type="http://schemas.openxmlformats.org/officeDocument/2006/relationships/hyperlink" Target="https://ceve.es/wp-content/uploads/2020/10/Informe-CEVE-2020-1.pdf" TargetMode="External"/><Relationship Id="rId139" Type="http://schemas.openxmlformats.org/officeDocument/2006/relationships/hyperlink" Target="https://jyllands-posten.dk/indland/article6901940.ece" TargetMode="External"/><Relationship Id="rId85" Type="http://schemas.openxmlformats.org/officeDocument/2006/relationships/hyperlink" Target="https://www.crmv-pr.org.br/uploads/revista/arquivos/20160307140058.pdf" TargetMode="External"/><Relationship Id="rId150" Type="http://schemas.openxmlformats.org/officeDocument/2006/relationships/hyperlink" Target="https://www.nationen.no/article/ni-av-ti-studenter-er-kvinner/" TargetMode="External"/><Relationship Id="rId171" Type="http://schemas.openxmlformats.org/officeDocument/2006/relationships/hyperlink" Target="https://veterina.com.hr/?p=65885" TargetMode="External"/><Relationship Id="rId12" Type="http://schemas.openxmlformats.org/officeDocument/2006/relationships/hyperlink" Target="https://www.nichiju-shien.com/support-solution/teacher_r03.html" TargetMode="External"/><Relationship Id="rId33" Type="http://schemas.openxmlformats.org/officeDocument/2006/relationships/hyperlink" Target="RAEStud-90-4-473-498.pdf" TargetMode="External"/><Relationship Id="rId108" Type="http://schemas.openxmlformats.org/officeDocument/2006/relationships/hyperlink" Target="http://estadisticas.mecd.gob.es/EducaJaxiPx/Tabla.htm?path=/Universitaria/Alumnado/EEU_2021/GradoCiclo/Matriculados//l0/&amp;file=Mat_GradCiclo_Sex_Edad(1)_Amb_Tot.px&amp;type=pcaxis&amp;L=0" TargetMode="External"/><Relationship Id="rId129" Type="http://schemas.openxmlformats.org/officeDocument/2006/relationships/hyperlink" Target="https://stud.epsilon.slu.se/14453/11/Wlosinska_J_190407.pdf" TargetMode="External"/><Relationship Id="rId54" Type="http://schemas.openxmlformats.org/officeDocument/2006/relationships/hyperlink" Target="https://www.vetmeduni.ac.at/fileadmin/v/z/news/2019/Veterinaermedizinische-Versorgung-IHS.pdf" TargetMode="External"/><Relationship Id="rId75" Type="http://schemas.openxmlformats.org/officeDocument/2006/relationships/hyperlink" Target="https://plone.unige.ch/aref2010/communications-orales/premiers-auteurs-en-g/Veterinaire.pdf/view" TargetMode="External"/><Relationship Id="rId96" Type="http://schemas.openxmlformats.org/officeDocument/2006/relationships/hyperlink" Target="https://www.cfmv.gov.br/mulheres-ocupam-espaco-crescente-na-medicina-veterinaria-e-na-zootecnia/comunicacao/noticias/2018/03/08/" TargetMode="External"/><Relationship Id="rId140" Type="http://schemas.openxmlformats.org/officeDocument/2006/relationships/hyperlink" Target="https://www.bet&#230;nkninger.dk/wp-content/uploads/2021/02/504.pdf" TargetMode="External"/><Relationship Id="rId161" Type="http://schemas.openxmlformats.org/officeDocument/2006/relationships/hyperlink" Target="https://veterina.com.hr/?p=65885" TargetMode="External"/><Relationship Id="rId182" Type="http://schemas.openxmlformats.org/officeDocument/2006/relationships/comments" Target="../comments31.xml"/><Relationship Id="rId6" Type="http://schemas.openxmlformats.org/officeDocument/2006/relationships/hyperlink" Target="https://www.nichiju-shien.com/support-solution/teacher_r03.html" TargetMode="External"/><Relationship Id="rId23" Type="http://schemas.openxmlformats.org/officeDocument/2006/relationships/hyperlink" Target="http://www.dissertations.wsu.edu/Dissertations/Spring2004/A_Lincoln_050404.pdf" TargetMode="External"/><Relationship Id="rId119" Type="http://schemas.openxmlformats.org/officeDocument/2006/relationships/hyperlink" Target="https://ceve.es/wp-content/uploads/2020/10/Informe-CEVE-2020-1.pdf" TargetMode="External"/><Relationship Id="rId44" Type="http://schemas.openxmlformats.org/officeDocument/2006/relationships/hyperlink" Target="https://www.cairn.info/revue-formation-emploi-2020-3-page-93.htm" TargetMode="External"/><Relationship Id="rId60" Type="http://schemas.openxmlformats.org/officeDocument/2006/relationships/hyperlink" Target="https://www.gstsvs.ch/fileadmin/user_upload/GST-SVS/Publikationen/Jahresbericht_GST/GST_Jahresbericht_2017_d.pdfhttps:/d.docs.live.net/5141a47629328be6/Gender%20in%20veterinary%20education%20leadership%20-%20a%20snapshot%20of%20global%20trends.pptx" TargetMode="External"/><Relationship Id="rId65" Type="http://schemas.openxmlformats.org/officeDocument/2006/relationships/hyperlink" Target="https://cdn.sida.se/publications/files/sida3349en-sidas-support-to-the-univerity-eduardo-mondlane-mozambique.pdf" TargetMode="External"/><Relationship Id="rId81" Type="http://schemas.openxmlformats.org/officeDocument/2006/relationships/hyperlink" Target="http://epsm.nescon.medicina.ufmg.br/epsm/Estudos_Pesquisa/Mercado%20%20de%20trabalho%20das%20profissoes%20de%20nivel%20superior%20no%20Brasil%20(Rel.Final).pdf" TargetMode="External"/><Relationship Id="rId86" Type="http://schemas.openxmlformats.org/officeDocument/2006/relationships/hyperlink" Target="https://www.crmv-pr.org.br/uploads/revista/arquivos/20160307140058.pdf" TargetMode="External"/><Relationship Id="rId130" Type="http://schemas.openxmlformats.org/officeDocument/2006/relationships/hyperlink" Target="https://stud.epsilon.slu.se/14453/11/Wlosinska_J_190407.pdf" TargetMode="External"/><Relationship Id="rId135" Type="http://schemas.openxmlformats.org/officeDocument/2006/relationships/hyperlink" Target="https://www.djoef-forlag.dk/openaccess/samf/samfdocs/2020/2020_1/Samf_7_1_2020.pdf" TargetMode="External"/><Relationship Id="rId151" Type="http://schemas.openxmlformats.org/officeDocument/2006/relationships/hyperlink" Target="https://www.nationen.no/article/ni-av-ti-studenter-er-kvinner/" TargetMode="External"/><Relationship Id="rId156" Type="http://schemas.openxmlformats.org/officeDocument/2006/relationships/hyperlink" Target="https://www.rts.rs/page/stories/ci/story/124/drustvo/1299554/ima-li-mesta-za-zene-rukovodioce.html" TargetMode="External"/><Relationship Id="rId177" Type="http://schemas.openxmlformats.org/officeDocument/2006/relationships/hyperlink" Target="https://www.agrarszektor.hu/karrier/mindjart-eldol-felvettek-e-az-allatorvosira.11190.html" TargetMode="External"/><Relationship Id="rId172" Type="http://schemas.openxmlformats.org/officeDocument/2006/relationships/hyperlink" Target="https://veterina.com.hr/?p=65885" TargetMode="External"/><Relationship Id="rId13" Type="http://schemas.openxmlformats.org/officeDocument/2006/relationships/hyperlink" Target="https://www.nichiju-shien.com/support-solution/teacher_r03.html" TargetMode="External"/><Relationship Id="rId18" Type="http://schemas.openxmlformats.org/officeDocument/2006/relationships/hyperlink" Target="https://www.maff.go.jp/j/tokei/kouhyou/zyui/" TargetMode="External"/><Relationship Id="rId39" Type="http://schemas.openxmlformats.org/officeDocument/2006/relationships/hyperlink" Target="https://www.lelezard.com/communique-722642.html" TargetMode="External"/><Relationship Id="rId109" Type="http://schemas.openxmlformats.org/officeDocument/2006/relationships/hyperlink" Target="http://estadisticas.mecd.gob.es/EducaJaxiPx/Tabla.htm?path=/Universitaria/Alumnado/EEU_2021/GradoCiclo/Matriculados//l0/&amp;file=Mat_GradCiclo_Sex_Edad(1)_Amb_Tot.px&amp;type=pcaxis&amp;L=0" TargetMode="External"/><Relationship Id="rId34" Type="http://schemas.openxmlformats.org/officeDocument/2006/relationships/hyperlink" Target="http://docplayer.org/13865971-Die-feminisierung-des-veterinaerwesens-in-der-schweiz.html" TargetMode="External"/><Relationship Id="rId50" Type="http://schemas.openxmlformats.org/officeDocument/2006/relationships/hyperlink" Target="https://sci-hubtw.hkvisa.net/10.1111/j.1751-0813.2002.tb10995.x" TargetMode="External"/><Relationship Id="rId55" Type="http://schemas.openxmlformats.org/officeDocument/2006/relationships/hyperlink" Target="https://www.sn.at/panorama/oesterreich/die-tiermedizin-wird-weiblich-die-einzelkaempfer-sterben-aus-110785729" TargetMode="External"/><Relationship Id="rId76" Type="http://schemas.openxmlformats.org/officeDocument/2006/relationships/hyperlink" Target="https://journals.openedition.org/formationemploi/8487?lang=fr" TargetMode="External"/><Relationship Id="rId97" Type="http://schemas.openxmlformats.org/officeDocument/2006/relationships/hyperlink" Target="https://www.cfmv.gov.br/mulheres-ocupam-espaco-crescente-na-medicina-veterinaria-e-na-zootecnia/comunicacao/noticias/2018/03/08/" TargetMode="External"/><Relationship Id="rId104" Type="http://schemas.openxmlformats.org/officeDocument/2006/relationships/hyperlink" Target="https://ceve.es/informe-2020-sobre-la-situacion-socioeconomica-y-laboral-del-sector-veterinario-en-espana/" TargetMode="External"/><Relationship Id="rId120" Type="http://schemas.openxmlformats.org/officeDocument/2006/relationships/hyperlink" Target="https://ceve.es/wp-content/uploads/2020/10/Informe-CEVE-2020-1.pdf" TargetMode="External"/><Relationship Id="rId125" Type="http://schemas.openxmlformats.org/officeDocument/2006/relationships/hyperlink" Target="https://www.raadgevers.nl/wp-content/uploads/2018/06/Artikel-feminisering-en-ondernemerschap-site-Raadgevers.pdf" TargetMode="External"/><Relationship Id="rId141" Type="http://schemas.openxmlformats.org/officeDocument/2006/relationships/hyperlink" Target="https://www.bet&#230;nkninger.dk/wp-content/uploads/2021/02/504.pdf" TargetMode="External"/><Relationship Id="rId146" Type="http://schemas.openxmlformats.org/officeDocument/2006/relationships/hyperlink" Target="https://www.nationen.no/article/ni-av-ti-studenter-er-kvinner/" TargetMode="External"/><Relationship Id="rId167" Type="http://schemas.openxmlformats.org/officeDocument/2006/relationships/hyperlink" Target="https://veterina.com.hr/?p=65885" TargetMode="External"/><Relationship Id="rId7" Type="http://schemas.openxmlformats.org/officeDocument/2006/relationships/hyperlink" Target="https://www.nichiju-shien.com/support-solution/teacher_r03.html" TargetMode="External"/><Relationship Id="rId71" Type="http://schemas.openxmlformats.org/officeDocument/2006/relationships/hyperlink" Target="https://www.lepointveterinaire.fr/publications/la-semaine-veterinaire/article/n-1252/l-avenir-de-la-profession-est-marque-par-sa-feminisation.html" TargetMode="External"/><Relationship Id="rId92" Type="http://schemas.openxmlformats.org/officeDocument/2006/relationships/hyperlink" Target="https://www.cfmv.gov.br/censo/transparencia/2017-2020/2020/12/11/" TargetMode="External"/><Relationship Id="rId162" Type="http://schemas.openxmlformats.org/officeDocument/2006/relationships/hyperlink" Target="https://veterina.com.hr/?p=65885" TargetMode="External"/><Relationship Id="rId2" Type="http://schemas.openxmlformats.org/officeDocument/2006/relationships/hyperlink" Target="https://stat.gg.go.kr/statHtml/statHtml.do?orgId=210&amp;tblId=DT_21002E025&amp;vw_cd=undefined&amp;list_id=&amp;scrId=&amp;seqNo=&amp;language=ko&amp;obj_var_id=undefined&amp;conn_path=I2&amp;path=" TargetMode="External"/><Relationship Id="rId29" Type="http://schemas.openxmlformats.org/officeDocument/2006/relationships/hyperlink" Target="http://www.dissertations.wsu.edu/Dissertations/Spring2004/A_Lincoln_050404.pdf" TargetMode="External"/><Relationship Id="rId24" Type="http://schemas.openxmlformats.org/officeDocument/2006/relationships/hyperlink" Target="https://www.jstor.org/stable/pdf/20676846.pdf?refreqid=excelsior%3A67279bcca727c64ef8ca5cd50e1f7ff5" TargetMode="External"/><Relationship Id="rId40" Type="http://schemas.openxmlformats.org/officeDocument/2006/relationships/hyperlink" Target="https://www.ucop.edu/uc-health/_files/vet-med-an-era-of-change.pdf" TargetMode="External"/><Relationship Id="rId45" Type="http://schemas.openxmlformats.org/officeDocument/2006/relationships/hyperlink" Target="https://www.lepointveterinaire.fr/publications/la-semaine-veterinaire/article/n-1252/l-avenir-de-la-profession-est-marque-par-sa-feminisation.html" TargetMode="External"/><Relationship Id="rId66" Type="http://schemas.openxmlformats.org/officeDocument/2006/relationships/hyperlink" Target="https://www.panafrican-med-journal.com/content/series/27/4/24/full/" TargetMode="External"/><Relationship Id="rId87" Type="http://schemas.openxmlformats.org/officeDocument/2006/relationships/hyperlink" Target="https://www.crmv-pr.org.br/uploads/revista/arquivos/20160307140058.pdf" TargetMode="External"/><Relationship Id="rId110" Type="http://schemas.openxmlformats.org/officeDocument/2006/relationships/hyperlink" Target="http://estadisticas.mecd.gob.es/EducaJaxiPx/Tabla.htm?path=/Universitaria/Alumnado/EEU_2021/GradoCiclo/Matriculados//l0/&amp;file=Mat_GradCiclo_Sex_Edad(1)_Amb_Tot.px&amp;type=pcaxis&amp;L=0" TargetMode="External"/><Relationship Id="rId115" Type="http://schemas.openxmlformats.org/officeDocument/2006/relationships/hyperlink" Target="http://estadisticas.mecd.gob.es/EducaJaxiPx/Tabla.htm?path=/Universitaria/Alumnado/EEU_2021/GradoCiclo/Matriculados//l0/&amp;file=Mat_GradCiclo_Sex_Edad(1)_Amb_Tot.px&amp;type=pcaxis&amp;L=0" TargetMode="External"/><Relationship Id="rId131" Type="http://schemas.openxmlformats.org/officeDocument/2006/relationships/hyperlink" Target="https://stud.epsilon.slu.se/14453/11/Wlosinska_J_190407.pdf" TargetMode="External"/><Relationship Id="rId136" Type="http://schemas.openxmlformats.org/officeDocument/2006/relationships/hyperlink" Target="https://jyllands-posten.dk/indland/article6901940.ece" TargetMode="External"/><Relationship Id="rId157" Type="http://schemas.openxmlformats.org/officeDocument/2006/relationships/hyperlink" Target="https://veterina.com.hr/?p=65885" TargetMode="External"/><Relationship Id="rId178" Type="http://schemas.openxmlformats.org/officeDocument/2006/relationships/hyperlink" Target="https://univet.hu/hu/2021/11/10/allatorvos-leszek-interju-dr-sotonyi-peterrel-a-petplace-magazinban/" TargetMode="External"/><Relationship Id="rId61" Type="http://schemas.openxmlformats.org/officeDocument/2006/relationships/hyperlink" Target="https://jvme.utpjournals.press/doi/10.3138/jvme.35.2.305?url_ver=Z39.88-2003&amp;rfr_id=ori%3Arid%3Acrossref.org&amp;rfr_dat=cr_pub++0pubmed" TargetMode="External"/><Relationship Id="rId82" Type="http://schemas.openxmlformats.org/officeDocument/2006/relationships/hyperlink" Target="http://epsm.nescon.medicina.ufmg.br/epsm/Estudos_Pesquisa/Mercado%20%20de%20trabalho%20das%20profissoes%20de%20nivel%20superior%20no%20Brasil%20(Rel.Final).pdf" TargetMode="External"/><Relationship Id="rId152" Type="http://schemas.openxmlformats.org/officeDocument/2006/relationships/hyperlink" Target="https://www.nrk.no/norge/studier-med-skjev-kjonnsbalanse-kan-igjen-gi-tilleggspoeng-1.13895281" TargetMode="External"/><Relationship Id="rId173" Type="http://schemas.openxmlformats.org/officeDocument/2006/relationships/hyperlink" Target="https://veterina.com.hr/?p=65885" TargetMode="External"/><Relationship Id="rId19" Type="http://schemas.openxmlformats.org/officeDocument/2006/relationships/hyperlink" Target="https://www.maff.go.jp/j/tokei/kouhyou/zyui/" TargetMode="External"/><Relationship Id="rId14" Type="http://schemas.openxmlformats.org/officeDocument/2006/relationships/hyperlink" Target="https://www.nichiju-shien.com/support-solution/teacher_r03.html" TargetMode="External"/><Relationship Id="rId30" Type="http://schemas.openxmlformats.org/officeDocument/2006/relationships/hyperlink" Target="http://www.dissertations.wsu.edu/Dissertations/Spring2004/A_Lincoln_050404.pdf" TargetMode="External"/><Relationship Id="rId35" Type="http://schemas.openxmlformats.org/officeDocument/2006/relationships/hyperlink" Target="https://www.cairn.info/revue-travail-genre-et-societes-2001-1-page-91.htm" TargetMode="External"/><Relationship Id="rId56" Type="http://schemas.openxmlformats.org/officeDocument/2006/relationships/hyperlink" Target="http://docplayer.org/13865971-Die-feminisierung-des-veterinaerwesens-in-der-schweiz.html" TargetMode="External"/><Relationship Id="rId77" Type="http://schemas.openxmlformats.org/officeDocument/2006/relationships/hyperlink" Target="https://op.europa.eu/en/publication-detail/-/publication/40271e21-ca1b-461e-ba23-88fe4d4b3fd4/language-fr/format-PDF" TargetMode="External"/><Relationship Id="rId100" Type="http://schemas.openxmlformats.org/officeDocument/2006/relationships/hyperlink" Target="https://certidao.cfmv.gov.br/revistas/edicao58.pdf" TargetMode="External"/><Relationship Id="rId105" Type="http://schemas.openxmlformats.org/officeDocument/2006/relationships/hyperlink" Target="https://ceve.es/wp-content/uploads/2020/10/Informe-CEVE-2020-1.pdf" TargetMode="External"/><Relationship Id="rId126" Type="http://schemas.openxmlformats.org/officeDocument/2006/relationships/hyperlink" Target="https://www.raadgevers.nl/wp-content/uploads/2018/06/Artikel-feminisering-en-ondernemerschap-site-Raadgevers.pdf" TargetMode="External"/><Relationship Id="rId147" Type="http://schemas.openxmlformats.org/officeDocument/2006/relationships/hyperlink" Target="https://www.nationen.no/article/ni-av-ti-studenter-er-kvinner/" TargetMode="External"/><Relationship Id="rId168" Type="http://schemas.openxmlformats.org/officeDocument/2006/relationships/hyperlink" Target="https://veterina.com.hr/?p=65885" TargetMode="External"/><Relationship Id="rId8" Type="http://schemas.openxmlformats.org/officeDocument/2006/relationships/hyperlink" Target="https://www.nichiju-shien.com/support-solution/teacher_r03.html" TargetMode="External"/><Relationship Id="rId51" Type="http://schemas.openxmlformats.org/officeDocument/2006/relationships/hyperlink" Target="https://www.rcvs.org.uk/news-and-views/publications/?filter-keyword=&amp;filter-type=5&amp;filter-month=&amp;filter-year=&amp;p=2" TargetMode="External"/><Relationship Id="rId72" Type="http://schemas.openxmlformats.org/officeDocument/2006/relationships/hyperlink" Target="F" TargetMode="External"/><Relationship Id="rId93" Type="http://schemas.openxmlformats.org/officeDocument/2006/relationships/hyperlink" Target="https://www.cfmv.gov.br/censo/transparencia/2017-2020/2020/12/11/" TargetMode="External"/><Relationship Id="rId98" Type="http://schemas.openxmlformats.org/officeDocument/2006/relationships/hyperlink" Target="https://certidao.cfmv.gov.br/revistas/edicao58.pdf" TargetMode="External"/><Relationship Id="rId121" Type="http://schemas.openxmlformats.org/officeDocument/2006/relationships/hyperlink" Target="../Zotero/storage/PIDNUE8P/Villamil%20Jim%25C3%25A9nez%20-%202018%20-%20La%20mujer%20en%20la%20medicina%20veterinaria%20colombiana.%20Ap.pdf" TargetMode="External"/><Relationship Id="rId142" Type="http://schemas.openxmlformats.org/officeDocument/2006/relationships/hyperlink" Target="https://www.nmbu.no/fakultet/vet/aktuelt/node/38092" TargetMode="External"/><Relationship Id="rId163" Type="http://schemas.openxmlformats.org/officeDocument/2006/relationships/hyperlink" Target="https://veterina.com.hr/?p=65885" TargetMode="External"/><Relationship Id="rId3" Type="http://schemas.openxmlformats.org/officeDocument/2006/relationships/hyperlink" Target="https://www.dailyvet.co.kr/news/association/144619" TargetMode="External"/><Relationship Id="rId25" Type="http://schemas.openxmlformats.org/officeDocument/2006/relationships/hyperlink" Target="https://www.jstor.org/stable/pdf/20676846.pdf?refreqid=excelsior%3A67279bcca727c64ef8ca5cd50e1f7ff5" TargetMode="External"/><Relationship Id="rId46" Type="http://schemas.openxmlformats.org/officeDocument/2006/relationships/hyperlink" Target="https://oatao.univ-toulouse.fr/5106/1/paulet_5106_1.pdf" TargetMode="External"/><Relationship Id="rId67" Type="http://schemas.openxmlformats.org/officeDocument/2006/relationships/hyperlink" Target="../Zotero/storage/7MCSIUWU/veterinaire-une-profession-qui-se-feminise.html" TargetMode="External"/><Relationship Id="rId116" Type="http://schemas.openxmlformats.org/officeDocument/2006/relationships/hyperlink" Target="http://estadisticas.mecd.gob.es/EducaJaxiPx/Tabla.htm?path=/Universitaria/Alumnado/EEU_2021/GradoCiclo/Matriculados//l0/&amp;file=Mat_GradCiclo_Sex_Edad(1)_Amb_Tot.px&amp;type=pcaxis&amp;L=0" TargetMode="External"/><Relationship Id="rId137" Type="http://schemas.openxmlformats.org/officeDocument/2006/relationships/hyperlink" Target="https://jyllands-posten.dk/indland/article6901940.ece" TargetMode="External"/><Relationship Id="rId158" Type="http://schemas.openxmlformats.org/officeDocument/2006/relationships/hyperlink" Target="https://veterina.com.hr/?p=65885" TargetMode="External"/><Relationship Id="rId20" Type="http://schemas.openxmlformats.org/officeDocument/2006/relationships/hyperlink" Target="https://www.maff.go.jp/j/tokei/kouhyou/zyui/" TargetMode="External"/><Relationship Id="rId41" Type="http://schemas.openxmlformats.org/officeDocument/2006/relationships/hyperlink" Target="https://www.cairn.info/revue-formation-emploi-2020-3-page-93.htm" TargetMode="External"/><Relationship Id="rId62" Type="http://schemas.openxmlformats.org/officeDocument/2006/relationships/hyperlink" Target="../OneDrive%20-%20Iowa%20State%20University/Vet%20School/Rotations/GVEL/Gender%20statistics%20about%20veterinary%20surgeons%20in%20the%20UK.pdf" TargetMode="External"/><Relationship Id="rId83" Type="http://schemas.openxmlformats.org/officeDocument/2006/relationships/hyperlink" Target="https://www.crmv-pr.org.br/uploads/revista/arquivos/20160307140058.pdf" TargetMode="External"/><Relationship Id="rId88" Type="http://schemas.openxmlformats.org/officeDocument/2006/relationships/hyperlink" Target="https://www.crmv-pr.org.br/uploads/revista/arquivos/20160307140058.pdf" TargetMode="External"/><Relationship Id="rId111" Type="http://schemas.openxmlformats.org/officeDocument/2006/relationships/hyperlink" Target="http://estadisticas.mecd.gob.es/EducaJaxiPx/Tabla.htm?path=/Universitaria/Alumnado/EEU_2021/GradoCiclo/Matriculados//l0/&amp;file=Mat_GradCiclo_Sex_Edad(1)_Amb_Tot.px&amp;type=pcaxis&amp;L=0" TargetMode="External"/><Relationship Id="rId132" Type="http://schemas.openxmlformats.org/officeDocument/2006/relationships/hyperlink" Target="https://stud.epsilon.slu.se/14453/11/Wlosinska_J_190407.pdf" TargetMode="External"/><Relationship Id="rId153" Type="http://schemas.openxmlformats.org/officeDocument/2006/relationships/hyperlink" Target="https://www.nmbu.no/fakultet/vet/aktuelt/node/34782" TargetMode="External"/><Relationship Id="rId174" Type="http://schemas.openxmlformats.org/officeDocument/2006/relationships/hyperlink" Target="https://veterina.com.hr/?p=65885" TargetMode="External"/><Relationship Id="rId179" Type="http://schemas.openxmlformats.org/officeDocument/2006/relationships/printerSettings" Target="../printerSettings/printerSettings9.bin"/><Relationship Id="rId15" Type="http://schemas.openxmlformats.org/officeDocument/2006/relationships/hyperlink" Target="https://www.nichiju-shien.com/support-solution/teacher_r03.html" TargetMode="External"/><Relationship Id="rId36" Type="http://schemas.openxmlformats.org/officeDocument/2006/relationships/hyperlink" Target="../Zotero/storage/QZ4XRU23/paulet_5106_1.pdf" TargetMode="External"/><Relationship Id="rId57" Type="http://schemas.openxmlformats.org/officeDocument/2006/relationships/hyperlink" Target="https://www.unibe.ch/unibe/portal/content/e796/e800/e10902/e277579/e542805/files542822/s_32_gespraech_ger.pdf" TargetMode="External"/><Relationship Id="rId106" Type="http://schemas.openxmlformats.org/officeDocument/2006/relationships/hyperlink" Target="https://ceve.es/wp-content/uploads/2020/10/Informe-CEVE-2020-1.pdf" TargetMode="External"/><Relationship Id="rId127" Type="http://schemas.openxmlformats.org/officeDocument/2006/relationships/hyperlink" Target="https://www.ugentmemorie.be/artikel/faculteit-diergeneeskunde-in-cijfers" TargetMode="External"/><Relationship Id="rId10" Type="http://schemas.openxmlformats.org/officeDocument/2006/relationships/hyperlink" Target="https://www.nichiju-shien.com/support-solution/teacher_r03.html" TargetMode="External"/><Relationship Id="rId31" Type="http://schemas.openxmlformats.org/officeDocument/2006/relationships/hyperlink" Target="http://www.dissertations.wsu.edu/Dissertations/Spring2004/A_Lincoln_050404.pdf" TargetMode="External"/><Relationship Id="rId52" Type="http://schemas.openxmlformats.org/officeDocument/2006/relationships/hyperlink" Target="https://www.ncbi.nlm.nih.gov/pmc/articles/PMC1539436/pdf/canvetj00155-0006.pdf" TargetMode="External"/><Relationship Id="rId73" Type="http://schemas.openxmlformats.org/officeDocument/2006/relationships/hyperlink" Target="https://www.veterinaire.fr/system/files/files/2021-11/ODV-ATLAS-NATIONAL-2021.pdf" TargetMode="External"/><Relationship Id="rId78" Type="http://schemas.openxmlformats.org/officeDocument/2006/relationships/hyperlink" Target="https://www.farmersweekly.co.za/bottomline/addressing-the-veterinary-shortage/" TargetMode="External"/><Relationship Id="rId94" Type="http://schemas.openxmlformats.org/officeDocument/2006/relationships/hyperlink" Target="https://www.cfmv.gov.br/censo/transparencia/2017-2020/2020/12/11/" TargetMode="External"/><Relationship Id="rId99" Type="http://schemas.openxmlformats.org/officeDocument/2006/relationships/hyperlink" Target="https://certidao.cfmv.gov.br/revistas/edicao58.pdf" TargetMode="External"/><Relationship Id="rId101" Type="http://schemas.openxmlformats.org/officeDocument/2006/relationships/hyperlink" Target="https://certidao.cfmv.gov.br/revistas/edicao58.pdf" TargetMode="External"/><Relationship Id="rId122" Type="http://schemas.openxmlformats.org/officeDocument/2006/relationships/hyperlink" Target="../Zotero/storage/L72DEDH7/articulo.html" TargetMode="External"/><Relationship Id="rId143" Type="http://schemas.openxmlformats.org/officeDocument/2006/relationships/hyperlink" Target="https://www.nmbu.no/fakultet/vet/aktuelt/node/38092" TargetMode="External"/><Relationship Id="rId148" Type="http://schemas.openxmlformats.org/officeDocument/2006/relationships/hyperlink" Target="https://universitas.no/sak/50498/vellykket-mannskvotering/" TargetMode="External"/><Relationship Id="rId164" Type="http://schemas.openxmlformats.org/officeDocument/2006/relationships/hyperlink" Target="https://veterina.com.hr/?p=65885" TargetMode="External"/><Relationship Id="rId169" Type="http://schemas.openxmlformats.org/officeDocument/2006/relationships/hyperlink" Target="https://veterina.com.hr/?p=65885" TargetMode="External"/><Relationship Id="rId4" Type="http://schemas.openxmlformats.org/officeDocument/2006/relationships/hyperlink" Target="https://www.ava.com.au/policy-advocacy/advocacy/workforce/workforce-data/" TargetMode="External"/><Relationship Id="rId9" Type="http://schemas.openxmlformats.org/officeDocument/2006/relationships/hyperlink" Target="https://www.nichiju-shien.com/support-solution/teacher_r03.html" TargetMode="External"/><Relationship Id="rId180" Type="http://schemas.openxmlformats.org/officeDocument/2006/relationships/drawing" Target="../drawings/drawing9.xml"/><Relationship Id="rId26" Type="http://schemas.openxmlformats.org/officeDocument/2006/relationships/hyperlink" Target="http://www.dissertations.wsu.edu/Dissertations/Spring2004/A_Lincoln_050404.pdf" TargetMode="External"/><Relationship Id="rId47" Type="http://schemas.openxmlformats.org/officeDocument/2006/relationships/hyperlink" Target="https://www.bundestieraerztekammer.de/btk/statistik/" TargetMode="External"/><Relationship Id="rId68" Type="http://schemas.openxmlformats.org/officeDocument/2006/relationships/hyperlink" Target="../Zotero/storage/7MCSIUWU/veterinaire-une-profession-qui-se-feminise.html" TargetMode="External"/><Relationship Id="rId89" Type="http://schemas.openxmlformats.org/officeDocument/2006/relationships/hyperlink" Target="https://www.cfmv.gov.br/mulheres-ocupam-espaco-crescente-na-medicina-veterinaria-e-na-zootecnia/comunicacao/noticias/2018/03/08/" TargetMode="External"/><Relationship Id="rId112" Type="http://schemas.openxmlformats.org/officeDocument/2006/relationships/hyperlink" Target="http://estadisticas.mecd.gob.es/EducaJaxiPx/Tabla.htm?path=/Universitaria/Alumnado/EEU_2021/GradoCiclo/Matriculados//l0/&amp;file=Mat_GradCiclo_Sex_Edad(1)_Amb_Tot.px&amp;type=pcaxis&amp;L=0" TargetMode="External"/><Relationship Id="rId133" Type="http://schemas.openxmlformats.org/officeDocument/2006/relationships/hyperlink" Target="https://stud.epsilon.slu.se/14453/11/Wlosinska_J_190407.pdf" TargetMode="External"/><Relationship Id="rId154" Type="http://schemas.openxmlformats.org/officeDocument/2006/relationships/hyperlink" Target="https://www.nmbu.no/download/file/fid/32021../Downloads/veterinaerstudiets_omslag_fra_mannsstudium_til_kvinnestudium_-_ide_til_forskningsprosjekt_-_revidert_2017.pdf" TargetMode="External"/><Relationship Id="rId175" Type="http://schemas.openxmlformats.org/officeDocument/2006/relationships/hyperlink" Target="https://veterina.com.hr/?p=65885" TargetMode="External"/><Relationship Id="rId16" Type="http://schemas.openxmlformats.org/officeDocument/2006/relationships/hyperlink" Target="https://www.nichiju-shien.com/support-solution/teacher_r03.html" TargetMode="External"/><Relationship Id="rId37" Type="http://schemas.openxmlformats.org/officeDocument/2006/relationships/hyperlink" Target="../Zotero/storage/QZ4XRU23/paulet_5106_1.pdf" TargetMode="External"/><Relationship Id="rId58" Type="http://schemas.openxmlformats.org/officeDocument/2006/relationships/hyperlink" Target="https://sat.gstsvs.ch/de/sat/sat-artikel/archiv/2018/032018/nachfrage-nach-veterinaerstudium-so-hoch-wie-nie.html" TargetMode="External"/><Relationship Id="rId79" Type="http://schemas.openxmlformats.org/officeDocument/2006/relationships/hyperlink" Target="http://epsm.nescon.medicina.ufmg.br/epsm/Estudos_Pesquisa/Mercado%20%20de%20trabalho%20das%20profissoes%20de%20nivel%20superior%20no%20Brasil%20(Rel.Final).pdf" TargetMode="External"/><Relationship Id="rId102" Type="http://schemas.openxmlformats.org/officeDocument/2006/relationships/hyperlink" Target="https://certidao.cfmv.gov.br/revistas/edicao58.pdf" TargetMode="External"/><Relationship Id="rId123" Type="http://schemas.openxmlformats.org/officeDocument/2006/relationships/hyperlink" Target="https://www.ncbi.nlm.nih.gov/pmc/articles/PMC340187/" TargetMode="External"/><Relationship Id="rId144" Type="http://schemas.openxmlformats.org/officeDocument/2006/relationships/hyperlink" Target="https://www.nationen.no/article/ni-av-ti-studenter-er-kvinner/" TargetMode="External"/><Relationship Id="rId90" Type="http://schemas.openxmlformats.org/officeDocument/2006/relationships/hyperlink" Target="https://www.cfmv.gov.br/mulheres-ocupam-espaco-crescente-na-medicina-veterinaria-e-na-zootecnia/comunicacao/noticias/2018/03/08/" TargetMode="External"/><Relationship Id="rId165" Type="http://schemas.openxmlformats.org/officeDocument/2006/relationships/hyperlink" Target="https://veterina.com.hr/?p=65885" TargetMode="External"/><Relationship Id="rId27" Type="http://schemas.openxmlformats.org/officeDocument/2006/relationships/hyperlink" Target="http://www.dissertations.wsu.edu/Dissertations/Spring2004/A_Lincoln_050404.pdf" TargetMode="External"/><Relationship Id="rId48" Type="http://schemas.openxmlformats.org/officeDocument/2006/relationships/hyperlink" Target="https://edoc.ub.uni-muenchen.de/17044/1/Schaller_Christine_Birgit_Silvia_Verena.pdf" TargetMode="External"/><Relationship Id="rId69" Type="http://schemas.openxmlformats.org/officeDocument/2006/relationships/hyperlink" Target="../Zotero/storage/7MCSIUWU/veterinaire-une-profession-qui-se-feminise.html" TargetMode="External"/><Relationship Id="rId113" Type="http://schemas.openxmlformats.org/officeDocument/2006/relationships/hyperlink" Target="http://estadisticas.mecd.gob.es/EducaJaxiPx/Tabla.htm?path=/Universitaria/Alumnado/EEU_2021/GradoCiclo/Matriculados//l0/&amp;file=Mat_GradCiclo_Sex_Edad(1)_Amb_Tot.px&amp;type=pcaxis&amp;L=0" TargetMode="External"/><Relationship Id="rId134" Type="http://schemas.openxmlformats.org/officeDocument/2006/relationships/hyperlink" Target="https://stud.epsilon.slu.se/14453/11/Wlosinska_J_190407.pdf" TargetMode="External"/><Relationship Id="rId80" Type="http://schemas.openxmlformats.org/officeDocument/2006/relationships/hyperlink" Target="http://epsm.nescon.medicina.ufmg.br/epsm/Estudos_Pesquisa/Mercado%20%20de%20trabalho%20das%20profissoes%20de%20nivel%20superior%20no%20Brasil%20(Rel.Final).pdf" TargetMode="External"/><Relationship Id="rId155" Type="http://schemas.openxmlformats.org/officeDocument/2006/relationships/hyperlink" Target="https://www.nmbu.no/download/file/fid/32021../Downloads/veterinaerstudiets_omslag_fra_mannsstudium_til_kvinnestudium_-_ide_til_forskningsprosjekt_-_revidert_2017.pdf" TargetMode="External"/><Relationship Id="rId176" Type="http://schemas.openxmlformats.org/officeDocument/2006/relationships/hyperlink" Target="https://veterina.com.hr/?p=65885" TargetMode="External"/><Relationship Id="rId17" Type="http://schemas.openxmlformats.org/officeDocument/2006/relationships/hyperlink" Target="https://www.nichiju-shien.com/support-solution/teacher_r03.html" TargetMode="External"/><Relationship Id="rId38" Type="http://schemas.openxmlformats.org/officeDocument/2006/relationships/hyperlink" Target="https://www.lelezard.com/communique-722642.html" TargetMode="External"/><Relationship Id="rId59" Type="http://schemas.openxmlformats.org/officeDocument/2006/relationships/hyperlink" Target="https://www.gstsvs.ch/fileadmin/user_upload/GST-SVS/Publikationen/Jahresbericht_GST/GST_Jahresbericht_2018_d.pdf" TargetMode="External"/><Relationship Id="rId103" Type="http://schemas.openxmlformats.org/officeDocument/2006/relationships/hyperlink" Target="https://ceve.es/wp-content/uploads/2020/10/Informe-CEVE-2020-1.pdf" TargetMode="External"/><Relationship Id="rId124" Type="http://schemas.openxmlformats.org/officeDocument/2006/relationships/hyperlink" Target="https://www.ncbi.nlm.nih.gov/pmc/articles/PMC340187/" TargetMode="External"/><Relationship Id="rId70" Type="http://schemas.openxmlformats.org/officeDocument/2006/relationships/hyperlink" Target="../Zotero/storage/7MCSIUWU/veterinaire-une-profession-qui-se-feminise.html" TargetMode="External"/><Relationship Id="rId91" Type="http://schemas.openxmlformats.org/officeDocument/2006/relationships/hyperlink" Target="https://www.cfmv.gov.br/censo/transparencia/2017-2020/2020/12/11/" TargetMode="External"/><Relationship Id="rId145" Type="http://schemas.openxmlformats.org/officeDocument/2006/relationships/hyperlink" Target="https://www.nationen.no/article/ni-av-ti-studenter-er-kvinner/" TargetMode="External"/><Relationship Id="rId166" Type="http://schemas.openxmlformats.org/officeDocument/2006/relationships/hyperlink" Target="https://veterina.com.hr/?p=65885" TargetMode="External"/><Relationship Id="rId1" Type="http://schemas.openxmlformats.org/officeDocument/2006/relationships/hyperlink" Target="https://web.archive.org/web/20200307040933/https:/www.canadianveterinarians.net/about/statistics" TargetMode="External"/><Relationship Id="rId28" Type="http://schemas.openxmlformats.org/officeDocument/2006/relationships/hyperlink" Target="http://www.dissertations.wsu.edu/Dissertations/Spring2004/A_Lincoln_050404.pdf" TargetMode="External"/><Relationship Id="rId49" Type="http://schemas.openxmlformats.org/officeDocument/2006/relationships/hyperlink" Target="https://sci-hubtw.hkvisa.net/10.1111/j.1751-0813.2002.tb10995.x" TargetMode="External"/><Relationship Id="rId114" Type="http://schemas.openxmlformats.org/officeDocument/2006/relationships/hyperlink" Target="http://estadisticas.mecd.gob.es/EducaJaxiPx/Tabla.htm?path=/Universitaria/Alumnado/EEU_2021/GradoCiclo/Matriculados//l0/&amp;file=Mat_GradCiclo_Sex_Edad(1)_Amb_Tot.px&amp;type=pcaxis&amp;L=0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lvet.es/files/portalcontenidos/documentos/document-2022-02-09t112347.069.pdf" TargetMode="External"/><Relationship Id="rId7" Type="http://schemas.openxmlformats.org/officeDocument/2006/relationships/comments" Target="../comments5.xml"/><Relationship Id="rId2" Type="http://schemas.openxmlformats.org/officeDocument/2006/relationships/hyperlink" Target="https://www.sn.at/panorama/oesterreich/die-tiermedizin-wird-weiblich-die-einzelkaempfer-sterben-aus-110785729" TargetMode="External"/><Relationship Id="rId1" Type="http://schemas.openxmlformats.org/officeDocument/2006/relationships/hyperlink" Target="https://www.vetmeduni.ac.at/fileadmin/v/z/news/2019/Veterinaermedizinische-Versorgung-IHS.pdf" TargetMode="External"/><Relationship Id="rId6" Type="http://schemas.openxmlformats.org/officeDocument/2006/relationships/vmlDrawing" Target="../drawings/vmlDrawing5.vml"/><Relationship Id="rId5" Type="http://schemas.openxmlformats.org/officeDocument/2006/relationships/hyperlink" Target="https://fve.org/cms/wp-content/uploads/FVE-Survey-2023_updated-v3.pdf" TargetMode="External"/><Relationship Id="rId4" Type="http://schemas.openxmlformats.org/officeDocument/2006/relationships/hyperlink" Target="https://www.fve.org/cms/wp-content/uploads/FVE_Survey_2018_WEB.pdf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hyperlink" Target="https://www.uliege.be/cms/c_17265003/fr/les-femmes-et-les-hommes-a-l-uliege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ww.ugentmemorie.be/artikel/faculteit-diergeneeskunde-in-cijfers" TargetMode="External"/><Relationship Id="rId1" Type="http://schemas.openxmlformats.org/officeDocument/2006/relationships/hyperlink" Target="https://edoc.ub.uni-muenchen.de/17044/1/Schaller_Christine_Birgit_Silvia_Verena.pdf" TargetMode="External"/><Relationship Id="rId6" Type="http://schemas.openxmlformats.org/officeDocument/2006/relationships/hyperlink" Target="https://fve.org/cms/wp-content/uploads/FVE-Survey-2023_updated-v3.pdf" TargetMode="External"/><Relationship Id="rId5" Type="http://schemas.openxmlformats.org/officeDocument/2006/relationships/hyperlink" Target="https://www.fve.org/cms/wp-content/uploads/FVE_Survey_2018_WEB.pdf" TargetMode="External"/><Relationship Id="rId10" Type="http://schemas.openxmlformats.org/officeDocument/2006/relationships/comments" Target="../comments6.xml"/><Relationship Id="rId4" Type="http://schemas.openxmlformats.org/officeDocument/2006/relationships/hyperlink" Target="https://www.colvet.es/files/portalcontenidos/documentos/document-2022-02-09t112347.069.pdf" TargetMode="External"/><Relationship Id="rId9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fmv.gov.br/mulheres-ocupam-espaco-crescente-na-medicina-veterinaria-e-na-zootecnia/comunicacao/noticias/2018/03/08/" TargetMode="External"/><Relationship Id="rId13" Type="http://schemas.openxmlformats.org/officeDocument/2006/relationships/hyperlink" Target="../Downloads/33549-Texto%20do%20artigo-170600-1-10-20170721.pdf" TargetMode="External"/><Relationship Id="rId18" Type="http://schemas.openxmlformats.org/officeDocument/2006/relationships/hyperlink" Target="https://certidao.cfmv.gov.br/revistas/edicao58.pdf" TargetMode="External"/><Relationship Id="rId3" Type="http://schemas.openxmlformats.org/officeDocument/2006/relationships/hyperlink" Target="http://epsm.nescon.medicina.ufmg.br/epsm/Estudos_Pesquisa/Mercado%20%20de%20trabalho%20das%20profissoes%20de%20nivel%20superior%20no%20Brasil%20(Rel.Final).pdf" TargetMode="External"/><Relationship Id="rId21" Type="http://schemas.openxmlformats.org/officeDocument/2006/relationships/drawing" Target="../drawings/drawing4.xml"/><Relationship Id="rId7" Type="http://schemas.openxmlformats.org/officeDocument/2006/relationships/hyperlink" Target="https://www.cfmv.gov.br/mulheres-ocupam-espaco-crescente-na-medicina-veterinaria-e-na-zootecnia/comunicacao/noticias/2018/03/08/" TargetMode="External"/><Relationship Id="rId12" Type="http://schemas.openxmlformats.org/officeDocument/2006/relationships/hyperlink" Target="https://www.cfmv.gov.br/censo/transparencia/2017-2020/2020/12/11/" TargetMode="External"/><Relationship Id="rId17" Type="http://schemas.openxmlformats.org/officeDocument/2006/relationships/hyperlink" Target="https://certidao.cfmv.gov.br/revistas/edicao58.pdf" TargetMode="External"/><Relationship Id="rId2" Type="http://schemas.openxmlformats.org/officeDocument/2006/relationships/hyperlink" Target="http://epsm.nescon.medicina.ufmg.br/epsm/Estudos_Pesquisa/Mercado%20%20de%20trabalho%20das%20profissoes%20de%20nivel%20superior%20no%20Brasil%20(Rel.Final).pdf" TargetMode="External"/><Relationship Id="rId16" Type="http://schemas.openxmlformats.org/officeDocument/2006/relationships/hyperlink" Target="https://certidao.cfmv.gov.br/revistas/edicao58.pdf" TargetMode="External"/><Relationship Id="rId20" Type="http://schemas.openxmlformats.org/officeDocument/2006/relationships/hyperlink" Target="https://certidao.cfmv.gov.br/revistas/edicao58.pdf" TargetMode="External"/><Relationship Id="rId1" Type="http://schemas.openxmlformats.org/officeDocument/2006/relationships/hyperlink" Target="http://epsm.nescon.medicina.ufmg.br/epsm/Estudos_Pesquisa/Mercado%20%20de%20trabalho%20das%20profissoes%20de%20nivel%20superior%20no%20Brasil%20(Rel.Final).pdf" TargetMode="External"/><Relationship Id="rId6" Type="http://schemas.openxmlformats.org/officeDocument/2006/relationships/hyperlink" Target="https://www.crmv-pr.org.br/uploads/revista/arquivos/20160307140058.pdf" TargetMode="External"/><Relationship Id="rId11" Type="http://schemas.openxmlformats.org/officeDocument/2006/relationships/hyperlink" Target="https://www.cfmv.gov.br/censo/transparencia/2017-2020/2020/12/11/" TargetMode="External"/><Relationship Id="rId5" Type="http://schemas.openxmlformats.org/officeDocument/2006/relationships/hyperlink" Target="https://www.crmv-pr.org.br/uploads/revista/arquivos/20160307140058.pdf" TargetMode="External"/><Relationship Id="rId15" Type="http://schemas.openxmlformats.org/officeDocument/2006/relationships/hyperlink" Target="https://www.cfmv.gov.br/mulheres-ocupam-espaco-crescente-na-medicina-veterinaria-e-na-zootecnia/comunicacao/noticias/2018/03/08/" TargetMode="External"/><Relationship Id="rId23" Type="http://schemas.openxmlformats.org/officeDocument/2006/relationships/comments" Target="../comments7.xml"/><Relationship Id="rId10" Type="http://schemas.openxmlformats.org/officeDocument/2006/relationships/hyperlink" Target="https://www.cfmv.gov.br/censo/transparencia/2017-2020/2020/12/11/" TargetMode="External"/><Relationship Id="rId19" Type="http://schemas.openxmlformats.org/officeDocument/2006/relationships/hyperlink" Target="https://certidao.cfmv.gov.br/revistas/edicao58.pdf" TargetMode="External"/><Relationship Id="rId4" Type="http://schemas.openxmlformats.org/officeDocument/2006/relationships/hyperlink" Target="http://epsm.nescon.medicina.ufmg.br/epsm/Estudos_Pesquisa/Mercado%20%20de%20trabalho%20das%20profissoes%20de%20nivel%20superior%20no%20Brasil%20(Rel.Final).pdf" TargetMode="External"/><Relationship Id="rId9" Type="http://schemas.openxmlformats.org/officeDocument/2006/relationships/hyperlink" Target="https://www.cfmv.gov.br/censo/transparencia/2017-2020/2020/12/11/" TargetMode="External"/><Relationship Id="rId14" Type="http://schemas.openxmlformats.org/officeDocument/2006/relationships/hyperlink" Target="https://www.cfmv.gov.br/mulheres-ocupam-espaco-crescente-na-medicina-veterinaria-e-na-zootecnia/comunicacao/noticias/2018/03/08/" TargetMode="External"/><Relationship Id="rId22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pmc.ncbi.nlm.nih.gov/articles/PMC340187/" TargetMode="External"/><Relationship Id="rId3" Type="http://schemas.openxmlformats.org/officeDocument/2006/relationships/hyperlink" Target="https://www.lelezard.com/communique-722642.html" TargetMode="External"/><Relationship Id="rId7" Type="http://schemas.openxmlformats.org/officeDocument/2006/relationships/hyperlink" Target="https://veterina.com.hr/?p=65885" TargetMode="External"/><Relationship Id="rId12" Type="http://schemas.microsoft.com/office/2017/10/relationships/threadedComment" Target="../threadedComments/threadedComment1.xml"/><Relationship Id="rId2" Type="http://schemas.openxmlformats.org/officeDocument/2006/relationships/hyperlink" Target="https://www.lelezard.com/communique-722642.html" TargetMode="External"/><Relationship Id="rId1" Type="http://schemas.openxmlformats.org/officeDocument/2006/relationships/hyperlink" Target="https://web.archive.org/web/20200307040933/https:/www.canadianveterinarians.net/about/statistics" TargetMode="External"/><Relationship Id="rId6" Type="http://schemas.openxmlformats.org/officeDocument/2006/relationships/hyperlink" Target="https://www.ncbi.nlm.nih.gov/pmc/articles/PMC340187/" TargetMode="External"/><Relationship Id="rId11" Type="http://schemas.openxmlformats.org/officeDocument/2006/relationships/comments" Target="../comments8.xml"/><Relationship Id="rId5" Type="http://schemas.openxmlformats.org/officeDocument/2006/relationships/hyperlink" Target="https://www.ncbi.nlm.nih.gov/pmc/articles/PMC340187/" TargetMode="External"/><Relationship Id="rId10" Type="http://schemas.openxmlformats.org/officeDocument/2006/relationships/vmlDrawing" Target="../drawings/vmlDrawing8.vml"/><Relationship Id="rId4" Type="http://schemas.openxmlformats.org/officeDocument/2006/relationships/hyperlink" Target="https://www.ncbi.nlm.nih.gov/pmc/articles/PMC1539436/pdf/canvetj00155-0006.pdf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9DA6A-6F80-44BF-B8B8-F623EFBFC0F0}">
  <dimension ref="A1:AZ130"/>
  <sheetViews>
    <sheetView tabSelected="1" workbookViewId="0">
      <pane xSplit="1" ySplit="2" topLeftCell="X62" activePane="bottomRight" state="frozen"/>
      <selection pane="topRight" activeCell="B1" sqref="B1"/>
      <selection pane="bottomLeft" activeCell="A2" sqref="A2"/>
      <selection pane="bottomRight" activeCell="AK51" sqref="AK51"/>
    </sheetView>
  </sheetViews>
  <sheetFormatPr defaultRowHeight="14.4"/>
  <sheetData>
    <row r="1" spans="1:52">
      <c r="C1" s="52" t="s">
        <v>195</v>
      </c>
      <c r="D1" s="52"/>
      <c r="E1" s="52" t="s">
        <v>196</v>
      </c>
      <c r="F1" s="52"/>
      <c r="G1" s="52"/>
      <c r="H1" s="52"/>
      <c r="I1" s="52" t="s">
        <v>198</v>
      </c>
      <c r="J1" s="52"/>
      <c r="K1" s="52"/>
      <c r="L1" s="52"/>
      <c r="M1" s="52"/>
      <c r="N1" s="35"/>
      <c r="O1" s="52" t="s">
        <v>199</v>
      </c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 t="s">
        <v>210</v>
      </c>
      <c r="AT1" s="52"/>
      <c r="AU1" s="52"/>
    </row>
    <row r="2" spans="1:52">
      <c r="B2" t="s">
        <v>221</v>
      </c>
      <c r="C2" t="s">
        <v>123</v>
      </c>
      <c r="D2" t="s">
        <v>211</v>
      </c>
      <c r="E2" t="s">
        <v>39</v>
      </c>
      <c r="F2" t="s">
        <v>45</v>
      </c>
      <c r="G2" t="s">
        <v>154</v>
      </c>
      <c r="H2" t="s">
        <v>211</v>
      </c>
      <c r="I2" t="s">
        <v>22</v>
      </c>
      <c r="J2" t="s">
        <v>80</v>
      </c>
      <c r="K2" t="s">
        <v>204</v>
      </c>
      <c r="L2" t="s">
        <v>109</v>
      </c>
      <c r="M2" t="s">
        <v>124</v>
      </c>
      <c r="N2" t="s">
        <v>211</v>
      </c>
      <c r="O2" t="s">
        <v>30</v>
      </c>
      <c r="P2" t="s">
        <v>36</v>
      </c>
      <c r="Q2" t="s">
        <v>55</v>
      </c>
      <c r="R2" t="s">
        <v>57</v>
      </c>
      <c r="S2" t="s">
        <v>216</v>
      </c>
      <c r="T2" t="s">
        <v>59</v>
      </c>
      <c r="U2" t="s">
        <v>60</v>
      </c>
      <c r="V2" t="s">
        <v>66</v>
      </c>
      <c r="W2" t="s">
        <v>75</v>
      </c>
      <c r="X2" t="s">
        <v>201</v>
      </c>
      <c r="Y2" t="s">
        <v>217</v>
      </c>
      <c r="Z2" t="s">
        <v>78</v>
      </c>
      <c r="AA2" t="s">
        <v>203</v>
      </c>
      <c r="AB2" t="s">
        <v>104</v>
      </c>
      <c r="AC2" t="s">
        <v>218</v>
      </c>
      <c r="AD2" t="s">
        <v>107</v>
      </c>
      <c r="AE2" t="s">
        <v>219</v>
      </c>
      <c r="AF2" t="s">
        <v>114</v>
      </c>
      <c r="AG2" t="s">
        <v>117</v>
      </c>
      <c r="AH2" t="s">
        <v>206</v>
      </c>
      <c r="AI2" t="s">
        <v>205</v>
      </c>
      <c r="AJ2" t="s">
        <v>220</v>
      </c>
      <c r="AK2" t="s">
        <v>121</v>
      </c>
      <c r="AL2" t="s">
        <v>122</v>
      </c>
      <c r="AM2" t="s">
        <v>208</v>
      </c>
      <c r="AN2" t="s">
        <v>126</v>
      </c>
      <c r="AO2" t="s">
        <v>127</v>
      </c>
      <c r="AP2" t="s">
        <v>129</v>
      </c>
      <c r="AQ2" t="s">
        <v>140</v>
      </c>
      <c r="AR2" t="s">
        <v>211</v>
      </c>
      <c r="AS2" t="s">
        <v>202</v>
      </c>
      <c r="AT2" t="s">
        <v>137</v>
      </c>
      <c r="AU2" t="s">
        <v>211</v>
      </c>
      <c r="AV2" t="s">
        <v>213</v>
      </c>
      <c r="AW2" t="s">
        <v>215</v>
      </c>
      <c r="AX2" t="s">
        <v>198</v>
      </c>
      <c r="AY2" t="s">
        <v>199</v>
      </c>
      <c r="AZ2" t="s">
        <v>214</v>
      </c>
    </row>
    <row r="3" spans="1:52">
      <c r="A3">
        <v>1944</v>
      </c>
      <c r="C3" s="33"/>
      <c r="D3" s="33"/>
      <c r="E3" s="33"/>
      <c r="F3" s="33"/>
      <c r="G3" s="33">
        <v>0.02</v>
      </c>
      <c r="H3" s="33">
        <f>AVERAGE(E3:G3)</f>
        <v>0.02</v>
      </c>
      <c r="I3" s="33"/>
      <c r="J3" s="33"/>
      <c r="K3" s="33"/>
      <c r="L3" s="33"/>
      <c r="M3" s="33"/>
      <c r="N3" s="33" t="e">
        <f>AVERAGE(I3:M3)</f>
        <v>#DIV/0!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 t="e">
        <f>AVERAGE(O3:AQ3)</f>
        <v>#DIV/0!</v>
      </c>
      <c r="AS3" s="33"/>
      <c r="AT3" s="33"/>
      <c r="AU3" s="33"/>
      <c r="AV3" s="37"/>
      <c r="AW3" s="37">
        <v>0.02</v>
      </c>
      <c r="AX3" s="37"/>
      <c r="AY3" s="37"/>
      <c r="AZ3" s="37"/>
    </row>
    <row r="4" spans="1:52">
      <c r="A4">
        <v>1945</v>
      </c>
      <c r="C4" s="33"/>
      <c r="D4" s="33"/>
      <c r="E4" s="33"/>
      <c r="F4" s="33"/>
      <c r="G4" s="33"/>
      <c r="H4" s="33" t="e">
        <f t="shared" ref="H4:H67" si="0">AVERAGE(E4:G4)</f>
        <v>#DIV/0!</v>
      </c>
      <c r="I4" s="33"/>
      <c r="J4" s="33"/>
      <c r="K4" s="33"/>
      <c r="L4" s="33"/>
      <c r="M4" s="33"/>
      <c r="N4" s="33" t="e">
        <f>AVERAGE(I4:M4)</f>
        <v>#DIV/0!</v>
      </c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29">
        <v>0.01</v>
      </c>
      <c r="AP4" s="33"/>
      <c r="AQ4" s="33"/>
      <c r="AR4" s="33">
        <f>AVERAGE(O4:AQ4)</f>
        <v>0.01</v>
      </c>
      <c r="AS4" s="33"/>
      <c r="AT4" s="33"/>
      <c r="AU4" s="33"/>
      <c r="AV4" s="37"/>
      <c r="AW4" s="37"/>
      <c r="AX4" s="37"/>
      <c r="AY4" s="37">
        <v>0.01</v>
      </c>
      <c r="AZ4" s="37"/>
    </row>
    <row r="5" spans="1:52">
      <c r="A5">
        <v>1946</v>
      </c>
      <c r="C5" s="33"/>
      <c r="D5" s="33"/>
      <c r="E5" s="33"/>
      <c r="F5" s="33"/>
      <c r="G5" s="33"/>
      <c r="H5" s="33" t="e">
        <f t="shared" si="0"/>
        <v>#DIV/0!</v>
      </c>
      <c r="I5" s="33"/>
      <c r="J5" s="33"/>
      <c r="K5" s="33"/>
      <c r="L5" s="33"/>
      <c r="M5" s="33"/>
      <c r="N5" s="33" t="e">
        <f>AVERAGE(I5:M5)</f>
        <v>#DIV/0!</v>
      </c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29"/>
      <c r="AP5" s="33"/>
      <c r="AQ5" s="33"/>
      <c r="AR5" s="33" t="e">
        <f>AVERAGE(O5:AQ5)</f>
        <v>#DIV/0!</v>
      </c>
      <c r="AS5" s="33"/>
      <c r="AT5" s="33"/>
      <c r="AU5" s="33"/>
      <c r="AV5" s="37"/>
      <c r="AW5" s="37"/>
      <c r="AX5" s="37"/>
      <c r="AY5" s="37"/>
      <c r="AZ5" s="37"/>
    </row>
    <row r="6" spans="1:52">
      <c r="A6">
        <v>1947</v>
      </c>
      <c r="C6" s="33"/>
      <c r="D6" s="33"/>
      <c r="E6" s="33"/>
      <c r="F6" s="33"/>
      <c r="G6" s="33"/>
      <c r="H6" s="33" t="e">
        <f t="shared" si="0"/>
        <v>#DIV/0!</v>
      </c>
      <c r="I6" s="33"/>
      <c r="J6" s="33"/>
      <c r="K6" s="33"/>
      <c r="L6" s="33"/>
      <c r="M6" s="33"/>
      <c r="N6" s="33" t="e">
        <f>AVERAGE(I6:M6)</f>
        <v>#DIV/0!</v>
      </c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29"/>
      <c r="AP6" s="33"/>
      <c r="AQ6" s="33"/>
      <c r="AR6" s="33" t="e">
        <f>AVERAGE(O6:AQ6)</f>
        <v>#DIV/0!</v>
      </c>
      <c r="AS6" s="33"/>
      <c r="AT6" s="33"/>
      <c r="AU6" s="33"/>
      <c r="AV6" s="37"/>
      <c r="AW6" s="37"/>
      <c r="AX6" s="37"/>
      <c r="AY6" s="37"/>
      <c r="AZ6" s="37"/>
    </row>
    <row r="7" spans="1:52">
      <c r="A7">
        <v>1948</v>
      </c>
      <c r="C7" s="33"/>
      <c r="D7" s="33"/>
      <c r="E7" s="33"/>
      <c r="F7" s="33"/>
      <c r="G7" s="33"/>
      <c r="H7" s="33" t="e">
        <f t="shared" si="0"/>
        <v>#DIV/0!</v>
      </c>
      <c r="I7" s="33"/>
      <c r="J7" s="33"/>
      <c r="K7" s="33"/>
      <c r="L7" s="33"/>
      <c r="M7" s="33"/>
      <c r="N7" s="33" t="e">
        <f>AVERAGE(I7:M7)</f>
        <v>#DIV/0!</v>
      </c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29"/>
      <c r="AP7" s="33"/>
      <c r="AQ7" s="33"/>
      <c r="AR7" s="33" t="e">
        <f>AVERAGE(O7:AQ7)</f>
        <v>#DIV/0!</v>
      </c>
      <c r="AS7" s="33"/>
      <c r="AT7" s="33"/>
      <c r="AU7" s="33"/>
      <c r="AV7" s="37"/>
      <c r="AW7" s="37"/>
      <c r="AX7" s="37"/>
      <c r="AY7" s="37"/>
      <c r="AZ7" s="37"/>
    </row>
    <row r="8" spans="1:52">
      <c r="A8">
        <v>1949</v>
      </c>
      <c r="C8" s="33"/>
      <c r="D8" s="33"/>
      <c r="E8" s="33"/>
      <c r="F8" s="33"/>
      <c r="G8" s="33"/>
      <c r="H8" s="33" t="e">
        <f t="shared" si="0"/>
        <v>#DIV/0!</v>
      </c>
      <c r="I8" s="33"/>
      <c r="J8" s="33"/>
      <c r="K8" s="33"/>
      <c r="L8" s="33"/>
      <c r="M8" s="33"/>
      <c r="N8" s="33" t="e">
        <f>AVERAGE(I8:M8)</f>
        <v>#DIV/0!</v>
      </c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29"/>
      <c r="AP8" s="33"/>
      <c r="AQ8" s="33"/>
      <c r="AR8" s="33" t="e">
        <f>AVERAGE(O8:AQ8)</f>
        <v>#DIV/0!</v>
      </c>
      <c r="AS8" s="33"/>
      <c r="AT8" s="33"/>
      <c r="AU8" s="33"/>
      <c r="AV8" s="37"/>
      <c r="AW8" s="37"/>
      <c r="AX8" s="37"/>
      <c r="AY8" s="37"/>
      <c r="AZ8" s="37"/>
    </row>
    <row r="9" spans="1:52">
      <c r="A9">
        <v>1950</v>
      </c>
      <c r="C9" s="33"/>
      <c r="D9" s="33"/>
      <c r="E9" s="33"/>
      <c r="F9" s="33"/>
      <c r="G9" s="33"/>
      <c r="H9" s="33" t="e">
        <f t="shared" si="0"/>
        <v>#DIV/0!</v>
      </c>
      <c r="I9" s="33"/>
      <c r="J9" s="33"/>
      <c r="K9" s="33"/>
      <c r="L9" s="33"/>
      <c r="M9" s="33"/>
      <c r="N9" s="33" t="e">
        <f>AVERAGE(I9:M9)</f>
        <v>#DIV/0!</v>
      </c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29"/>
      <c r="AP9" s="33"/>
      <c r="AQ9" s="33"/>
      <c r="AR9" s="33" t="e">
        <f>AVERAGE(O9:AQ9)</f>
        <v>#DIV/0!</v>
      </c>
      <c r="AS9" s="33"/>
      <c r="AT9" s="33"/>
      <c r="AU9" s="33"/>
      <c r="AV9" s="37"/>
      <c r="AW9" s="37"/>
      <c r="AX9" s="37"/>
      <c r="AY9" s="37"/>
      <c r="AZ9" s="37"/>
    </row>
    <row r="10" spans="1:52">
      <c r="A10">
        <v>1951</v>
      </c>
      <c r="C10" s="33"/>
      <c r="D10" s="33"/>
      <c r="E10" s="33"/>
      <c r="F10" s="33"/>
      <c r="G10" s="33"/>
      <c r="H10" s="33" t="e">
        <f t="shared" si="0"/>
        <v>#DIV/0!</v>
      </c>
      <c r="I10" s="33"/>
      <c r="J10" s="33"/>
      <c r="K10" s="33"/>
      <c r="L10" s="33"/>
      <c r="M10" s="33"/>
      <c r="N10" s="33" t="e">
        <f>AVERAGE(I10:M10)</f>
        <v>#DIV/0!</v>
      </c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29"/>
      <c r="AP10" s="33"/>
      <c r="AQ10" s="33"/>
      <c r="AR10" s="33" t="e">
        <f>AVERAGE(O10:AQ10)</f>
        <v>#DIV/0!</v>
      </c>
      <c r="AS10" s="33"/>
      <c r="AT10" s="33"/>
      <c r="AU10" s="33"/>
      <c r="AV10" s="37"/>
      <c r="AW10" s="37"/>
      <c r="AX10" s="37"/>
      <c r="AY10" s="37"/>
      <c r="AZ10" s="37"/>
    </row>
    <row r="11" spans="1:52">
      <c r="A11">
        <v>1952</v>
      </c>
      <c r="C11" s="33"/>
      <c r="D11" s="33"/>
      <c r="E11" s="33"/>
      <c r="F11" s="33"/>
      <c r="G11" s="33"/>
      <c r="H11" s="33" t="e">
        <f t="shared" si="0"/>
        <v>#DIV/0!</v>
      </c>
      <c r="I11" s="33"/>
      <c r="J11" s="33"/>
      <c r="K11" s="33"/>
      <c r="L11" s="33"/>
      <c r="M11" s="33"/>
      <c r="N11" s="33" t="e">
        <f>AVERAGE(I11:M11)</f>
        <v>#DIV/0!</v>
      </c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29"/>
      <c r="AP11" s="33"/>
      <c r="AQ11" s="33"/>
      <c r="AR11" s="33" t="e">
        <f>AVERAGE(O11:AQ11)</f>
        <v>#DIV/0!</v>
      </c>
      <c r="AS11" s="33"/>
      <c r="AT11" s="33"/>
      <c r="AU11" s="33"/>
      <c r="AV11" s="37"/>
      <c r="AW11" s="37"/>
      <c r="AX11" s="37"/>
      <c r="AY11" s="37"/>
      <c r="AZ11" s="37"/>
    </row>
    <row r="12" spans="1:52">
      <c r="A12">
        <v>1953</v>
      </c>
      <c r="C12" s="33"/>
      <c r="D12" s="33"/>
      <c r="E12" s="33"/>
      <c r="F12" s="33"/>
      <c r="G12" s="33"/>
      <c r="H12" s="33" t="e">
        <f t="shared" si="0"/>
        <v>#DIV/0!</v>
      </c>
      <c r="I12" s="33"/>
      <c r="J12" s="33"/>
      <c r="K12" s="33"/>
      <c r="L12" s="33"/>
      <c r="M12" s="33"/>
      <c r="N12" s="33" t="e">
        <f>AVERAGE(I12:M12)</f>
        <v>#DIV/0!</v>
      </c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21">
        <v>1.1999999999999999E-3</v>
      </c>
      <c r="AO12" s="29"/>
      <c r="AP12" s="33"/>
      <c r="AQ12" s="33"/>
      <c r="AR12" s="33">
        <f>AVERAGE(O12:AQ12)</f>
        <v>1.1999999999999999E-3</v>
      </c>
      <c r="AS12" s="33"/>
      <c r="AT12" s="33"/>
      <c r="AU12" s="33"/>
      <c r="AV12" s="37"/>
      <c r="AW12" s="37"/>
      <c r="AX12" s="37"/>
      <c r="AY12" s="37">
        <v>1.1999999999999999E-3</v>
      </c>
      <c r="AZ12" s="37"/>
    </row>
    <row r="13" spans="1:52">
      <c r="A13">
        <v>1954</v>
      </c>
      <c r="C13" s="33"/>
      <c r="D13" s="33"/>
      <c r="E13" s="33"/>
      <c r="F13" s="33"/>
      <c r="G13" s="33"/>
      <c r="H13" s="33" t="e">
        <f t="shared" si="0"/>
        <v>#DIV/0!</v>
      </c>
      <c r="I13" s="33"/>
      <c r="J13" s="33"/>
      <c r="K13" s="33"/>
      <c r="L13" s="33"/>
      <c r="M13" s="33"/>
      <c r="N13" s="33" t="e">
        <f>AVERAGE(I13:M13)</f>
        <v>#DIV/0!</v>
      </c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15"/>
      <c r="AO13" s="29"/>
      <c r="AP13" s="33"/>
      <c r="AQ13" s="33"/>
      <c r="AR13" s="33" t="e">
        <f>AVERAGE(O13:AQ13)</f>
        <v>#DIV/0!</v>
      </c>
      <c r="AS13" s="33"/>
      <c r="AT13" s="33"/>
      <c r="AU13" s="33"/>
      <c r="AV13" s="37"/>
      <c r="AW13" s="37"/>
      <c r="AX13" s="37"/>
      <c r="AY13" s="37"/>
      <c r="AZ13" s="37"/>
    </row>
    <row r="14" spans="1:52">
      <c r="A14">
        <v>1955</v>
      </c>
      <c r="C14" s="33"/>
      <c r="D14" s="33"/>
      <c r="E14" s="33"/>
      <c r="F14" s="33"/>
      <c r="G14" s="33"/>
      <c r="H14" s="33" t="e">
        <f t="shared" si="0"/>
        <v>#DIV/0!</v>
      </c>
      <c r="I14" s="33"/>
      <c r="J14" s="33"/>
      <c r="K14" s="33"/>
      <c r="L14" s="33"/>
      <c r="M14" s="33"/>
      <c r="N14" s="33" t="e">
        <f>AVERAGE(I14:M14)</f>
        <v>#DIV/0!</v>
      </c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15"/>
      <c r="AO14" s="29"/>
      <c r="AP14" s="33"/>
      <c r="AQ14" s="33"/>
      <c r="AR14" s="33" t="e">
        <f>AVERAGE(O14:AQ14)</f>
        <v>#DIV/0!</v>
      </c>
      <c r="AS14" s="33"/>
      <c r="AT14" s="33"/>
      <c r="AU14" s="33"/>
      <c r="AV14" s="37"/>
      <c r="AW14" s="37"/>
      <c r="AX14" s="37"/>
      <c r="AY14" s="37"/>
      <c r="AZ14" s="37"/>
    </row>
    <row r="15" spans="1:52">
      <c r="A15">
        <v>1956</v>
      </c>
      <c r="C15" s="33"/>
      <c r="D15" s="33"/>
      <c r="E15" s="33"/>
      <c r="F15" s="33"/>
      <c r="G15" s="33"/>
      <c r="H15" s="33" t="e">
        <f t="shared" si="0"/>
        <v>#DIV/0!</v>
      </c>
      <c r="I15" s="33"/>
      <c r="J15" s="33"/>
      <c r="K15" s="33"/>
      <c r="L15" s="33"/>
      <c r="M15" s="33"/>
      <c r="N15" s="33" t="e">
        <f>AVERAGE(I15:M15)</f>
        <v>#DIV/0!</v>
      </c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15"/>
      <c r="AO15" s="29"/>
      <c r="AP15" s="33"/>
      <c r="AQ15" s="33"/>
      <c r="AR15" s="33" t="e">
        <f>AVERAGE(O15:AQ15)</f>
        <v>#DIV/0!</v>
      </c>
      <c r="AS15" s="33"/>
      <c r="AT15" s="33"/>
      <c r="AU15" s="33"/>
      <c r="AV15" s="37"/>
      <c r="AW15" s="37"/>
      <c r="AX15" s="37"/>
      <c r="AY15" s="37"/>
      <c r="AZ15" s="37"/>
    </row>
    <row r="16" spans="1:52">
      <c r="A16">
        <v>1957</v>
      </c>
      <c r="C16" s="33"/>
      <c r="D16" s="33"/>
      <c r="E16" s="33"/>
      <c r="F16" s="33"/>
      <c r="G16" s="33"/>
      <c r="H16" s="33" t="e">
        <f t="shared" si="0"/>
        <v>#DIV/0!</v>
      </c>
      <c r="I16" s="33"/>
      <c r="J16" s="33"/>
      <c r="K16" s="33"/>
      <c r="L16" s="33"/>
      <c r="M16" s="33"/>
      <c r="N16" s="33" t="e">
        <f>AVERAGE(I16:M16)</f>
        <v>#DIV/0!</v>
      </c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15"/>
      <c r="AO16" s="29"/>
      <c r="AP16" s="33"/>
      <c r="AQ16" s="33"/>
      <c r="AR16" s="33" t="e">
        <f>AVERAGE(O16:AQ16)</f>
        <v>#DIV/0!</v>
      </c>
      <c r="AS16" s="33"/>
      <c r="AT16" s="33"/>
      <c r="AU16" s="33"/>
      <c r="AV16" s="37"/>
      <c r="AW16" s="37"/>
      <c r="AX16" s="37"/>
      <c r="AY16" s="37"/>
      <c r="AZ16" s="37"/>
    </row>
    <row r="17" spans="1:52">
      <c r="A17">
        <v>1958</v>
      </c>
      <c r="C17" s="33"/>
      <c r="D17" s="33"/>
      <c r="E17" s="33"/>
      <c r="F17" s="33"/>
      <c r="G17" s="33"/>
      <c r="H17" s="33" t="e">
        <f t="shared" si="0"/>
        <v>#DIV/0!</v>
      </c>
      <c r="I17" s="33"/>
      <c r="J17" s="33"/>
      <c r="K17" s="33"/>
      <c r="L17" s="33"/>
      <c r="M17" s="33"/>
      <c r="N17" s="33" t="e">
        <f>AVERAGE(I17:M17)</f>
        <v>#DIV/0!</v>
      </c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15"/>
      <c r="AO17" s="29"/>
      <c r="AP17" s="33"/>
      <c r="AQ17" s="33"/>
      <c r="AR17" s="33" t="e">
        <f>AVERAGE(O17:AQ17)</f>
        <v>#DIV/0!</v>
      </c>
      <c r="AS17" s="33"/>
      <c r="AT17" s="33"/>
      <c r="AU17" s="33"/>
      <c r="AV17" s="37"/>
      <c r="AW17" s="37"/>
      <c r="AX17" s="37"/>
      <c r="AY17" s="37"/>
      <c r="AZ17" s="37"/>
    </row>
    <row r="18" spans="1:52">
      <c r="A18">
        <v>1959</v>
      </c>
      <c r="C18" s="33"/>
      <c r="D18" s="33"/>
      <c r="E18" s="33"/>
      <c r="F18" s="33"/>
      <c r="G18" s="33"/>
      <c r="H18" s="33" t="e">
        <f t="shared" si="0"/>
        <v>#DIV/0!</v>
      </c>
      <c r="I18" s="33"/>
      <c r="J18" s="33"/>
      <c r="K18" s="33"/>
      <c r="L18" s="33"/>
      <c r="M18" s="33"/>
      <c r="N18" s="33" t="e">
        <f>AVERAGE(I18:M18)</f>
        <v>#DIV/0!</v>
      </c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15"/>
      <c r="AO18" s="29"/>
      <c r="AP18" s="33"/>
      <c r="AQ18" s="33"/>
      <c r="AR18" s="33" t="e">
        <f>AVERAGE(O18:AQ18)</f>
        <v>#DIV/0!</v>
      </c>
      <c r="AS18" s="33"/>
      <c r="AT18" s="33"/>
      <c r="AU18" s="33"/>
      <c r="AV18" s="37"/>
      <c r="AW18" s="37"/>
      <c r="AX18" s="37"/>
      <c r="AY18" s="37"/>
      <c r="AZ18" s="37"/>
    </row>
    <row r="19" spans="1:52">
      <c r="A19">
        <v>1960</v>
      </c>
      <c r="C19" s="33"/>
      <c r="D19" s="33"/>
      <c r="E19" s="33"/>
      <c r="F19" s="33"/>
      <c r="G19" s="33"/>
      <c r="H19" s="33" t="e">
        <f t="shared" si="0"/>
        <v>#DIV/0!</v>
      </c>
      <c r="I19" s="33"/>
      <c r="J19" s="33"/>
      <c r="K19" s="33"/>
      <c r="L19" s="33"/>
      <c r="M19" s="33"/>
      <c r="N19" s="33" t="e">
        <f>AVERAGE(I19:M19)</f>
        <v>#DIV/0!</v>
      </c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21">
        <v>1.5E-3</v>
      </c>
      <c r="AO19" s="29"/>
      <c r="AP19" s="33"/>
      <c r="AQ19" s="33"/>
      <c r="AR19" s="33">
        <f>AVERAGE(O19:AQ19)</f>
        <v>1.5E-3</v>
      </c>
      <c r="AS19" s="33"/>
      <c r="AT19" s="33"/>
      <c r="AU19" s="33"/>
      <c r="AV19" s="37"/>
      <c r="AW19" s="37"/>
      <c r="AX19" s="37"/>
      <c r="AY19" s="37">
        <v>1.5E-3</v>
      </c>
      <c r="AZ19" s="37"/>
    </row>
    <row r="20" spans="1:52">
      <c r="A20">
        <v>1961</v>
      </c>
      <c r="C20" s="33"/>
      <c r="D20" s="33"/>
      <c r="E20" s="33"/>
      <c r="F20" s="33"/>
      <c r="G20" s="33"/>
      <c r="H20" s="33" t="e">
        <f t="shared" si="0"/>
        <v>#DIV/0!</v>
      </c>
      <c r="I20" s="33"/>
      <c r="J20" s="33"/>
      <c r="K20" s="33"/>
      <c r="L20" s="33"/>
      <c r="M20" s="33"/>
      <c r="N20" s="33" t="e">
        <f>AVERAGE(I20:M20)</f>
        <v>#DIV/0!</v>
      </c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15"/>
      <c r="AO20" s="29"/>
      <c r="AP20" s="33"/>
      <c r="AQ20" s="33"/>
      <c r="AR20" s="33" t="e">
        <f>AVERAGE(O20:AQ20)</f>
        <v>#DIV/0!</v>
      </c>
      <c r="AS20" s="33"/>
      <c r="AT20" s="33"/>
      <c r="AU20" s="33"/>
      <c r="AV20" s="37"/>
      <c r="AW20" s="37"/>
      <c r="AX20" s="37"/>
      <c r="AY20" s="37"/>
      <c r="AZ20" s="37"/>
    </row>
    <row r="21" spans="1:52">
      <c r="A21">
        <v>1962</v>
      </c>
      <c r="C21" s="33"/>
      <c r="D21" s="33"/>
      <c r="E21" s="33"/>
      <c r="F21" s="33"/>
      <c r="G21" s="33"/>
      <c r="H21" s="33" t="e">
        <f t="shared" si="0"/>
        <v>#DIV/0!</v>
      </c>
      <c r="I21" s="33"/>
      <c r="J21" s="33"/>
      <c r="K21" s="33"/>
      <c r="L21" s="33"/>
      <c r="M21" s="33"/>
      <c r="N21" s="33" t="e">
        <f>AVERAGE(I21:M21)</f>
        <v>#DIV/0!</v>
      </c>
      <c r="O21" s="33"/>
      <c r="P21" s="33"/>
      <c r="Q21" s="33"/>
      <c r="R21" s="33"/>
      <c r="S21" s="33"/>
      <c r="T21" s="33"/>
      <c r="U21" s="33">
        <v>4.3999999999999997E-2</v>
      </c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15"/>
      <c r="AO21" s="29"/>
      <c r="AP21" s="33"/>
      <c r="AQ21" s="33"/>
      <c r="AR21" s="33">
        <f>AVERAGE(O21:AQ21)</f>
        <v>4.3999999999999997E-2</v>
      </c>
      <c r="AS21" s="33"/>
      <c r="AT21" s="33"/>
      <c r="AU21" s="33"/>
      <c r="AV21" s="37"/>
      <c r="AW21" s="37"/>
      <c r="AX21" s="37"/>
      <c r="AY21" s="37">
        <v>4.3999999999999997E-2</v>
      </c>
      <c r="AZ21" s="37"/>
    </row>
    <row r="22" spans="1:52">
      <c r="A22">
        <v>1963</v>
      </c>
      <c r="C22" s="33"/>
      <c r="D22" s="33"/>
      <c r="E22" s="33"/>
      <c r="F22" s="33"/>
      <c r="G22" s="33"/>
      <c r="H22" s="33" t="e">
        <f t="shared" si="0"/>
        <v>#DIV/0!</v>
      </c>
      <c r="I22" s="33"/>
      <c r="J22" s="33"/>
      <c r="K22" s="33"/>
      <c r="L22" s="33"/>
      <c r="M22" s="33"/>
      <c r="N22" s="33" t="e">
        <f>AVERAGE(I22:M22)</f>
        <v>#DIV/0!</v>
      </c>
      <c r="O22" s="33"/>
      <c r="P22" s="33"/>
      <c r="Q22" s="33"/>
      <c r="R22" s="33"/>
      <c r="S22" s="33"/>
      <c r="T22" s="33"/>
      <c r="U22" s="33">
        <v>4.3999999999999997E-2</v>
      </c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15"/>
      <c r="AO22" s="29"/>
      <c r="AP22" s="33"/>
      <c r="AQ22" s="33"/>
      <c r="AR22" s="33">
        <f>AVERAGE(O22:AQ22)</f>
        <v>4.3999999999999997E-2</v>
      </c>
      <c r="AS22" s="33"/>
      <c r="AT22" s="33"/>
      <c r="AU22" s="33"/>
      <c r="AV22" s="37"/>
      <c r="AW22" s="37"/>
      <c r="AX22" s="37"/>
      <c r="AY22" s="37">
        <v>4.3999999999999997E-2</v>
      </c>
      <c r="AZ22" s="37"/>
    </row>
    <row r="23" spans="1:52">
      <c r="A23">
        <v>1964</v>
      </c>
      <c r="C23" s="33"/>
      <c r="D23" s="33"/>
      <c r="E23" s="33"/>
      <c r="F23" s="33"/>
      <c r="G23" s="33"/>
      <c r="H23" s="33" t="e">
        <f t="shared" si="0"/>
        <v>#DIV/0!</v>
      </c>
      <c r="I23" s="33"/>
      <c r="J23" s="33"/>
      <c r="K23" s="33"/>
      <c r="L23" s="33"/>
      <c r="M23" s="33"/>
      <c r="N23" s="33" t="e">
        <f>AVERAGE(I23:M23)</f>
        <v>#DIV/0!</v>
      </c>
      <c r="O23" s="33"/>
      <c r="P23" s="33"/>
      <c r="Q23" s="33"/>
      <c r="R23" s="33"/>
      <c r="S23" s="33"/>
      <c r="T23" s="33"/>
      <c r="U23" s="33"/>
      <c r="V23" s="33">
        <v>3.2945955094211894E-2</v>
      </c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15"/>
      <c r="AO23" s="29"/>
      <c r="AP23" s="33"/>
      <c r="AQ23" s="33"/>
      <c r="AR23" s="33">
        <f>AVERAGE(O23:AQ23)</f>
        <v>3.2945955094211894E-2</v>
      </c>
      <c r="AS23" s="33"/>
      <c r="AT23" s="33"/>
      <c r="AU23" s="33"/>
      <c r="AV23" s="37"/>
      <c r="AW23" s="37"/>
      <c r="AX23" s="37"/>
      <c r="AY23" s="37">
        <v>3.2945955094211894E-2</v>
      </c>
      <c r="AZ23" s="37"/>
    </row>
    <row r="24" spans="1:52">
      <c r="A24">
        <v>1965</v>
      </c>
      <c r="C24" s="33"/>
      <c r="D24" s="33"/>
      <c r="E24" s="33"/>
      <c r="F24" s="33"/>
      <c r="G24" s="33"/>
      <c r="H24" s="33" t="e">
        <f t="shared" si="0"/>
        <v>#DIV/0!</v>
      </c>
      <c r="I24" s="33"/>
      <c r="J24" s="33"/>
      <c r="K24" s="33"/>
      <c r="L24" s="33"/>
      <c r="M24" s="33"/>
      <c r="N24" s="33" t="e">
        <f>AVERAGE(I24:M24)</f>
        <v>#DIV/0!</v>
      </c>
      <c r="O24" s="33"/>
      <c r="P24" s="33"/>
      <c r="Q24" s="33"/>
      <c r="R24" s="33"/>
      <c r="S24" s="33"/>
      <c r="T24" s="33"/>
      <c r="U24" s="33">
        <v>8.4000000000000005E-2</v>
      </c>
      <c r="V24" s="33">
        <v>3.9430086149768055E-2</v>
      </c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15"/>
      <c r="AO24" s="29"/>
      <c r="AP24" s="33"/>
      <c r="AQ24" s="33"/>
      <c r="AR24" s="33">
        <f>AVERAGE(O24:AQ24)</f>
        <v>6.1715043074884027E-2</v>
      </c>
      <c r="AS24" s="33"/>
      <c r="AT24" s="33"/>
      <c r="AU24" s="33"/>
      <c r="AV24" s="37"/>
      <c r="AW24" s="37"/>
      <c r="AX24" s="37"/>
      <c r="AY24" s="37">
        <v>6.1715043074884027E-2</v>
      </c>
      <c r="AZ24" s="37"/>
    </row>
    <row r="25" spans="1:52">
      <c r="A25">
        <v>1966</v>
      </c>
      <c r="C25" s="33"/>
      <c r="D25" s="33"/>
      <c r="E25" s="33"/>
      <c r="F25" s="33"/>
      <c r="G25" s="33"/>
      <c r="H25" s="33" t="e">
        <f t="shared" si="0"/>
        <v>#DIV/0!</v>
      </c>
      <c r="I25" s="33"/>
      <c r="J25" s="33"/>
      <c r="K25" s="33"/>
      <c r="L25" s="33"/>
      <c r="M25" s="33"/>
      <c r="N25" s="33" t="e">
        <f>AVERAGE(I25:M25)</f>
        <v>#DIV/0!</v>
      </c>
      <c r="O25" s="33"/>
      <c r="P25" s="33"/>
      <c r="Q25" s="33"/>
      <c r="R25" s="33"/>
      <c r="S25" s="33"/>
      <c r="T25" s="33"/>
      <c r="U25" s="33"/>
      <c r="V25" s="33">
        <v>3.958673191952148E-2</v>
      </c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15"/>
      <c r="AO25" s="29"/>
      <c r="AP25" s="33"/>
      <c r="AQ25" s="33"/>
      <c r="AR25" s="33">
        <f>AVERAGE(O25:AQ25)</f>
        <v>3.958673191952148E-2</v>
      </c>
      <c r="AS25" s="33"/>
      <c r="AT25" s="33"/>
      <c r="AU25" s="33"/>
      <c r="AV25" s="37"/>
      <c r="AW25" s="37"/>
      <c r="AX25" s="37"/>
      <c r="AY25" s="37">
        <v>3.958673191952148E-2</v>
      </c>
      <c r="AZ25" s="37"/>
    </row>
    <row r="26" spans="1:52">
      <c r="A26">
        <v>1967</v>
      </c>
      <c r="C26" s="33"/>
      <c r="D26" s="33"/>
      <c r="E26" s="33"/>
      <c r="F26" s="33"/>
      <c r="G26" s="33"/>
      <c r="H26" s="33" t="e">
        <f t="shared" si="0"/>
        <v>#DIV/0!</v>
      </c>
      <c r="I26" s="33"/>
      <c r="J26" s="33"/>
      <c r="K26" s="33"/>
      <c r="L26" s="33"/>
      <c r="M26" s="33"/>
      <c r="N26" s="33" t="e">
        <f>AVERAGE(I26:M26)</f>
        <v>#DIV/0!</v>
      </c>
      <c r="O26" s="33"/>
      <c r="P26" s="33"/>
      <c r="Q26" s="33"/>
      <c r="R26" s="33"/>
      <c r="S26" s="33"/>
      <c r="T26" s="33"/>
      <c r="U26" s="33"/>
      <c r="V26" s="33">
        <v>4.3543223052294557E-2</v>
      </c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15"/>
      <c r="AO26" s="29"/>
      <c r="AP26" s="33"/>
      <c r="AQ26" s="33"/>
      <c r="AR26" s="33">
        <f>AVERAGE(O26:AQ26)</f>
        <v>4.3543223052294557E-2</v>
      </c>
      <c r="AS26" s="33"/>
      <c r="AT26" s="33"/>
      <c r="AU26" s="33"/>
      <c r="AV26" s="37"/>
      <c r="AW26" s="37"/>
      <c r="AX26" s="37"/>
      <c r="AY26" s="37">
        <v>4.3543223052294557E-2</v>
      </c>
      <c r="AZ26" s="37"/>
    </row>
    <row r="27" spans="1:52">
      <c r="A27">
        <v>1968</v>
      </c>
      <c r="C27" s="33"/>
      <c r="D27" s="33"/>
      <c r="E27" s="33"/>
      <c r="F27" s="33"/>
      <c r="G27" s="33"/>
      <c r="H27" s="33" t="e">
        <f t="shared" si="0"/>
        <v>#DIV/0!</v>
      </c>
      <c r="I27" s="33"/>
      <c r="J27" s="33"/>
      <c r="K27" s="33"/>
      <c r="L27" s="33"/>
      <c r="M27" s="33"/>
      <c r="N27" s="33" t="e">
        <f>AVERAGE(I27:M27)</f>
        <v>#DIV/0!</v>
      </c>
      <c r="O27" s="33"/>
      <c r="P27" s="33"/>
      <c r="Q27" s="33"/>
      <c r="R27" s="33"/>
      <c r="S27" s="33"/>
      <c r="T27" s="33"/>
      <c r="U27" s="33"/>
      <c r="V27" s="33">
        <v>4.6811184417216462E-2</v>
      </c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15"/>
      <c r="AO27" s="29"/>
      <c r="AP27" s="33"/>
      <c r="AQ27" s="33"/>
      <c r="AR27" s="33">
        <f>AVERAGE(O27:AQ27)</f>
        <v>4.6811184417216462E-2</v>
      </c>
      <c r="AS27" s="33"/>
      <c r="AT27" s="33"/>
      <c r="AU27" s="33"/>
      <c r="AV27" s="37"/>
      <c r="AW27" s="37"/>
      <c r="AX27" s="37"/>
      <c r="AY27" s="37">
        <v>4.6811184417216462E-2</v>
      </c>
      <c r="AZ27" s="37"/>
    </row>
    <row r="28" spans="1:52">
      <c r="A28">
        <v>1969</v>
      </c>
      <c r="C28" s="33"/>
      <c r="D28" s="33"/>
      <c r="E28" s="33"/>
      <c r="F28" s="33"/>
      <c r="G28" s="33"/>
      <c r="H28" s="33" t="e">
        <f t="shared" si="0"/>
        <v>#DIV/0!</v>
      </c>
      <c r="I28" s="33"/>
      <c r="J28" s="33"/>
      <c r="K28" s="33"/>
      <c r="L28" s="33"/>
      <c r="M28" s="33"/>
      <c r="N28" s="33" t="e">
        <f>AVERAGE(I28:M28)</f>
        <v>#DIV/0!</v>
      </c>
      <c r="O28" s="33"/>
      <c r="P28" s="33"/>
      <c r="Q28" s="33"/>
      <c r="R28" s="33"/>
      <c r="S28" s="33"/>
      <c r="T28" s="33"/>
      <c r="U28" s="33"/>
      <c r="V28" s="33">
        <v>5.8625761714645931E-2</v>
      </c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15"/>
      <c r="AO28" s="29"/>
      <c r="AP28" s="33"/>
      <c r="AQ28" s="33"/>
      <c r="AR28" s="33">
        <f>AVERAGE(O28:AQ28)</f>
        <v>5.8625761714645931E-2</v>
      </c>
      <c r="AS28" s="33"/>
      <c r="AT28" s="33"/>
      <c r="AU28" s="33"/>
      <c r="AV28" s="37"/>
      <c r="AW28" s="37"/>
      <c r="AX28" s="37"/>
      <c r="AY28" s="37">
        <v>5.8625761714645931E-2</v>
      </c>
      <c r="AZ28" s="37"/>
    </row>
    <row r="29" spans="1:52">
      <c r="A29">
        <v>1970</v>
      </c>
      <c r="C29" s="33"/>
      <c r="D29" s="33"/>
      <c r="E29" s="33"/>
      <c r="F29" s="33"/>
      <c r="G29" s="33">
        <v>5.0999999999999997E-2</v>
      </c>
      <c r="H29" s="33">
        <f t="shared" si="0"/>
        <v>5.0999999999999997E-2</v>
      </c>
      <c r="I29" s="33"/>
      <c r="J29" s="33"/>
      <c r="K29" s="33"/>
      <c r="L29" s="33"/>
      <c r="M29" s="33"/>
      <c r="N29" s="33" t="e">
        <f>AVERAGE(I29:M29)</f>
        <v>#DIV/0!</v>
      </c>
      <c r="O29" s="33"/>
      <c r="P29" s="33"/>
      <c r="Q29" s="33"/>
      <c r="R29" s="33"/>
      <c r="S29" s="33"/>
      <c r="T29" s="33"/>
      <c r="U29" s="33"/>
      <c r="V29" s="33">
        <v>6.106176826806621E-2</v>
      </c>
      <c r="W29" s="33"/>
      <c r="X29" s="33"/>
      <c r="Y29" s="33"/>
      <c r="Z29" s="33"/>
      <c r="AA29" s="33"/>
      <c r="AB29" s="33"/>
      <c r="AC29" s="33"/>
      <c r="AD29" s="30">
        <v>0.05</v>
      </c>
      <c r="AE29" s="30"/>
      <c r="AF29" s="33"/>
      <c r="AG29" s="33"/>
      <c r="AH29" s="33"/>
      <c r="AI29" s="33"/>
      <c r="AJ29" s="33"/>
      <c r="AK29" s="33"/>
      <c r="AL29" s="33"/>
      <c r="AM29" s="33"/>
      <c r="AN29" s="21">
        <v>2E-3</v>
      </c>
      <c r="AO29" s="29"/>
      <c r="AP29" s="33"/>
      <c r="AQ29" s="33"/>
      <c r="AR29" s="33">
        <f>AVERAGE(O29:AQ29)</f>
        <v>3.7687256089355407E-2</v>
      </c>
      <c r="AS29" s="33"/>
      <c r="AT29" s="33"/>
      <c r="AU29" s="33"/>
      <c r="AV29" s="37"/>
      <c r="AW29" s="37">
        <v>5.0999999999999997E-2</v>
      </c>
      <c r="AX29" s="37"/>
      <c r="AY29" s="37">
        <v>3.7687256089355407E-2</v>
      </c>
      <c r="AZ29" s="37"/>
    </row>
    <row r="30" spans="1:52">
      <c r="A30">
        <v>1971</v>
      </c>
      <c r="C30" s="33"/>
      <c r="D30" s="33"/>
      <c r="E30" s="33"/>
      <c r="F30" s="33"/>
      <c r="G30" s="33"/>
      <c r="H30" s="33" t="e">
        <f t="shared" si="0"/>
        <v>#DIV/0!</v>
      </c>
      <c r="I30" s="33"/>
      <c r="J30" s="33"/>
      <c r="K30" s="33"/>
      <c r="L30" s="33"/>
      <c r="M30" s="33"/>
      <c r="N30" s="33" t="e">
        <f>AVERAGE(I30:M30)</f>
        <v>#DIV/0!</v>
      </c>
      <c r="O30" s="33"/>
      <c r="P30" s="33"/>
      <c r="Q30" s="33"/>
      <c r="R30" s="33"/>
      <c r="S30" s="33"/>
      <c r="T30" s="33"/>
      <c r="U30" s="33"/>
      <c r="V30" s="33">
        <v>6.0240963855421686E-2</v>
      </c>
      <c r="W30" s="33"/>
      <c r="X30" s="33"/>
      <c r="Y30" s="33"/>
      <c r="Z30" s="33"/>
      <c r="AA30" s="33"/>
      <c r="AB30" s="33"/>
      <c r="AC30" s="33"/>
      <c r="AD30" s="29"/>
      <c r="AE30" s="29"/>
      <c r="AF30" s="33"/>
      <c r="AG30" s="33"/>
      <c r="AH30" s="33"/>
      <c r="AI30" s="33"/>
      <c r="AJ30" s="33"/>
      <c r="AK30" s="33"/>
      <c r="AL30" s="33"/>
      <c r="AM30" s="33"/>
      <c r="AN30" s="15"/>
      <c r="AO30" s="29"/>
      <c r="AP30" s="33"/>
      <c r="AQ30" s="33"/>
      <c r="AR30" s="33">
        <f>AVERAGE(O30:AQ30)</f>
        <v>6.0240963855421686E-2</v>
      </c>
      <c r="AS30" s="33"/>
      <c r="AT30" s="33"/>
      <c r="AU30" s="33"/>
      <c r="AV30" s="37"/>
      <c r="AW30" s="37"/>
      <c r="AX30" s="37"/>
      <c r="AY30" s="37">
        <v>6.0240963855421686E-2</v>
      </c>
      <c r="AZ30" s="37"/>
    </row>
    <row r="31" spans="1:52">
      <c r="A31">
        <v>1972</v>
      </c>
      <c r="C31" s="33"/>
      <c r="D31" s="33"/>
      <c r="E31" s="33"/>
      <c r="F31" s="33"/>
      <c r="G31" s="33"/>
      <c r="H31" s="33" t="e">
        <f t="shared" si="0"/>
        <v>#DIV/0!</v>
      </c>
      <c r="I31" s="33"/>
      <c r="J31" s="33"/>
      <c r="K31" s="33"/>
      <c r="L31" s="33"/>
      <c r="M31" s="33"/>
      <c r="N31" s="33" t="e">
        <f>AVERAGE(I31:M31)</f>
        <v>#DIV/0!</v>
      </c>
      <c r="O31" s="33"/>
      <c r="P31" s="33"/>
      <c r="Q31" s="33"/>
      <c r="R31" s="33"/>
      <c r="S31" s="33"/>
      <c r="T31" s="33"/>
      <c r="U31" s="33"/>
      <c r="V31" s="33">
        <v>6.7008237894313843E-2</v>
      </c>
      <c r="W31" s="33"/>
      <c r="X31" s="33"/>
      <c r="Y31" s="33"/>
      <c r="Z31" s="33"/>
      <c r="AA31" s="33"/>
      <c r="AB31" s="33"/>
      <c r="AC31" s="33"/>
      <c r="AD31" s="29"/>
      <c r="AE31" s="29"/>
      <c r="AF31" s="33"/>
      <c r="AG31" s="33"/>
      <c r="AH31" s="33"/>
      <c r="AI31" s="33"/>
      <c r="AJ31" s="33"/>
      <c r="AK31" s="33"/>
      <c r="AL31" s="33"/>
      <c r="AM31" s="33"/>
      <c r="AN31" s="15"/>
      <c r="AO31" s="29"/>
      <c r="AP31" s="33"/>
      <c r="AQ31" s="33"/>
      <c r="AR31" s="33">
        <f>AVERAGE(O31:AQ31)</f>
        <v>6.7008237894313843E-2</v>
      </c>
      <c r="AS31" s="33"/>
      <c r="AT31" s="33"/>
      <c r="AU31" s="33"/>
      <c r="AV31" s="37"/>
      <c r="AW31" s="37"/>
      <c r="AX31" s="37"/>
      <c r="AY31" s="37">
        <v>6.7008237894313843E-2</v>
      </c>
      <c r="AZ31" s="37"/>
    </row>
    <row r="32" spans="1:52">
      <c r="A32">
        <v>1973</v>
      </c>
      <c r="C32" s="33"/>
      <c r="D32" s="33"/>
      <c r="E32" s="33"/>
      <c r="F32" s="33"/>
      <c r="G32" s="33"/>
      <c r="H32" s="33" t="e">
        <f t="shared" si="0"/>
        <v>#DIV/0!</v>
      </c>
      <c r="I32" s="33"/>
      <c r="J32" s="33"/>
      <c r="K32" s="33"/>
      <c r="L32" s="33"/>
      <c r="M32" s="33"/>
      <c r="N32" s="33" t="e">
        <f>AVERAGE(I32:M32)</f>
        <v>#DIV/0!</v>
      </c>
      <c r="O32" s="33"/>
      <c r="P32" s="33"/>
      <c r="Q32" s="33"/>
      <c r="R32" s="33"/>
      <c r="S32" s="33"/>
      <c r="T32" s="33"/>
      <c r="U32" s="33"/>
      <c r="V32" s="33">
        <v>8.2716289945440377E-2</v>
      </c>
      <c r="W32" s="33"/>
      <c r="X32" s="33"/>
      <c r="Y32" s="33"/>
      <c r="Z32" s="33"/>
      <c r="AA32" s="33"/>
      <c r="AB32" s="33"/>
      <c r="AC32" s="33"/>
      <c r="AD32" s="29"/>
      <c r="AE32" s="29"/>
      <c r="AF32" s="33"/>
      <c r="AG32" s="33"/>
      <c r="AH32" s="33"/>
      <c r="AI32" s="33"/>
      <c r="AJ32" s="33"/>
      <c r="AK32" s="33"/>
      <c r="AL32" s="33"/>
      <c r="AM32" s="33"/>
      <c r="AN32" s="15"/>
      <c r="AO32" s="29"/>
      <c r="AP32" s="33"/>
      <c r="AQ32" s="33"/>
      <c r="AR32" s="33">
        <f>AVERAGE(O32:AQ32)</f>
        <v>8.2716289945440377E-2</v>
      </c>
      <c r="AS32" s="33"/>
      <c r="AT32" s="33"/>
      <c r="AU32" s="33"/>
      <c r="AV32" s="37"/>
      <c r="AW32" s="37"/>
      <c r="AX32" s="37"/>
      <c r="AY32" s="37">
        <v>8.2716289945440377E-2</v>
      </c>
      <c r="AZ32" s="37"/>
    </row>
    <row r="33" spans="1:52">
      <c r="A33">
        <v>1974</v>
      </c>
      <c r="C33" s="33"/>
      <c r="D33" s="33"/>
      <c r="E33" s="33"/>
      <c r="F33" s="33"/>
      <c r="G33" s="33"/>
      <c r="H33" s="33" t="e">
        <f t="shared" si="0"/>
        <v>#DIV/0!</v>
      </c>
      <c r="I33" s="33"/>
      <c r="J33" s="33"/>
      <c r="K33" s="33"/>
      <c r="L33" s="33"/>
      <c r="M33" s="33"/>
      <c r="N33" s="33" t="e">
        <f>AVERAGE(I33:M33)</f>
        <v>#DIV/0!</v>
      </c>
      <c r="O33" s="33"/>
      <c r="P33" s="33"/>
      <c r="Q33" s="33"/>
      <c r="R33" s="33"/>
      <c r="S33" s="33"/>
      <c r="T33" s="33"/>
      <c r="U33" s="33"/>
      <c r="V33" s="33">
        <v>8.9050131926121379E-2</v>
      </c>
      <c r="W33" s="33"/>
      <c r="X33" s="33"/>
      <c r="Y33" s="33"/>
      <c r="Z33" s="33"/>
      <c r="AA33" s="33"/>
      <c r="AB33" s="33"/>
      <c r="AC33" s="33"/>
      <c r="AD33" s="29"/>
      <c r="AE33" s="29"/>
      <c r="AF33" s="33"/>
      <c r="AG33" s="33"/>
      <c r="AH33" s="33"/>
      <c r="AI33" s="33"/>
      <c r="AJ33" s="33"/>
      <c r="AK33" s="33"/>
      <c r="AL33" s="33"/>
      <c r="AM33" s="33"/>
      <c r="AN33" s="15"/>
      <c r="AO33" s="29"/>
      <c r="AP33" s="33"/>
      <c r="AQ33" s="33"/>
      <c r="AR33" s="33">
        <f>AVERAGE(O33:AQ33)</f>
        <v>8.9050131926121379E-2</v>
      </c>
      <c r="AS33" s="33"/>
      <c r="AT33" s="33"/>
      <c r="AU33" s="33"/>
      <c r="AV33" s="37"/>
      <c r="AW33" s="37"/>
      <c r="AX33" s="37"/>
      <c r="AY33" s="37">
        <v>8.9050131926121379E-2</v>
      </c>
      <c r="AZ33" s="37"/>
    </row>
    <row r="34" spans="1:52">
      <c r="A34">
        <v>1975</v>
      </c>
      <c r="C34" s="33"/>
      <c r="D34" s="33"/>
      <c r="E34" s="33"/>
      <c r="F34" s="33"/>
      <c r="G34" s="33"/>
      <c r="H34" s="33" t="e">
        <f t="shared" si="0"/>
        <v>#DIV/0!</v>
      </c>
      <c r="I34" s="33"/>
      <c r="J34" s="33"/>
      <c r="K34" s="33"/>
      <c r="L34" s="33"/>
      <c r="M34" s="33"/>
      <c r="N34" s="33" t="e">
        <f>AVERAGE(I34:M34)</f>
        <v>#DIV/0!</v>
      </c>
      <c r="O34" s="33"/>
      <c r="P34" s="33"/>
      <c r="Q34" s="33"/>
      <c r="R34" s="33"/>
      <c r="S34" s="33"/>
      <c r="T34" s="33"/>
      <c r="U34" s="33">
        <v>5.6000000000000001E-2</v>
      </c>
      <c r="V34" s="33">
        <v>9.4524602293747692E-2</v>
      </c>
      <c r="W34" s="33"/>
      <c r="X34" s="33"/>
      <c r="Y34" s="33"/>
      <c r="Z34" s="33"/>
      <c r="AA34" s="33"/>
      <c r="AB34" s="33"/>
      <c r="AC34" s="33"/>
      <c r="AD34" s="29"/>
      <c r="AE34" s="29"/>
      <c r="AF34" s="33"/>
      <c r="AG34" s="33"/>
      <c r="AH34" s="33"/>
      <c r="AI34" s="33"/>
      <c r="AJ34" s="33"/>
      <c r="AK34" s="33"/>
      <c r="AL34" s="33"/>
      <c r="AM34" s="33"/>
      <c r="AN34" s="15"/>
      <c r="AO34" s="29"/>
      <c r="AP34" s="33"/>
      <c r="AQ34" s="33"/>
      <c r="AR34" s="33">
        <f>AVERAGE(O34:AQ34)</f>
        <v>7.526230114687385E-2</v>
      </c>
      <c r="AS34" s="33"/>
      <c r="AT34" s="33"/>
      <c r="AU34" s="33"/>
      <c r="AV34" s="37"/>
      <c r="AW34" s="37"/>
      <c r="AX34" s="37"/>
      <c r="AY34" s="37">
        <v>7.526230114687385E-2</v>
      </c>
      <c r="AZ34" s="37"/>
    </row>
    <row r="35" spans="1:52">
      <c r="A35">
        <v>1976</v>
      </c>
      <c r="C35" s="33"/>
      <c r="D35" s="33"/>
      <c r="E35" s="33"/>
      <c r="F35" s="33"/>
      <c r="G35" s="33"/>
      <c r="H35" s="33" t="e">
        <f t="shared" si="0"/>
        <v>#DIV/0!</v>
      </c>
      <c r="I35" s="33"/>
      <c r="J35" s="33"/>
      <c r="K35" s="33"/>
      <c r="L35" s="33"/>
      <c r="M35" s="33"/>
      <c r="N35" s="33" t="e">
        <f>AVERAGE(I35:M35)</f>
        <v>#DIV/0!</v>
      </c>
      <c r="O35" s="33"/>
      <c r="P35" s="33"/>
      <c r="Q35" s="33"/>
      <c r="R35" s="33"/>
      <c r="S35" s="33"/>
      <c r="T35" s="33"/>
      <c r="U35" s="33"/>
      <c r="V35" s="33">
        <v>0.10147567862998724</v>
      </c>
      <c r="W35" s="33"/>
      <c r="X35" s="33"/>
      <c r="Y35" s="33"/>
      <c r="Z35" s="33"/>
      <c r="AA35" s="33"/>
      <c r="AB35" s="33"/>
      <c r="AC35" s="33"/>
      <c r="AD35" s="29"/>
      <c r="AE35" s="29"/>
      <c r="AF35" s="33"/>
      <c r="AG35" s="33"/>
      <c r="AH35" s="33"/>
      <c r="AI35" s="33"/>
      <c r="AJ35" s="33"/>
      <c r="AK35" s="33"/>
      <c r="AL35" s="33"/>
      <c r="AM35" s="33"/>
      <c r="AN35" s="15"/>
      <c r="AO35" s="29"/>
      <c r="AP35" s="33"/>
      <c r="AQ35" s="33"/>
      <c r="AR35" s="33">
        <f>AVERAGE(O35:AQ35)</f>
        <v>0.10147567862998724</v>
      </c>
      <c r="AS35" s="33"/>
      <c r="AT35" s="33"/>
      <c r="AU35" s="33"/>
      <c r="AV35" s="37"/>
      <c r="AW35" s="37"/>
      <c r="AX35" s="37"/>
      <c r="AY35" s="37">
        <v>0.10147567862998724</v>
      </c>
      <c r="AZ35" s="37"/>
    </row>
    <row r="36" spans="1:52">
      <c r="A36">
        <v>1977</v>
      </c>
      <c r="C36" s="33"/>
      <c r="D36" s="33"/>
      <c r="E36" s="33"/>
      <c r="F36" s="33"/>
      <c r="G36" s="33"/>
      <c r="H36" s="33" t="e">
        <f t="shared" si="0"/>
        <v>#DIV/0!</v>
      </c>
      <c r="I36" s="33"/>
      <c r="J36" s="33"/>
      <c r="K36" s="33"/>
      <c r="L36" s="33"/>
      <c r="M36" s="33"/>
      <c r="N36" s="33" t="e">
        <f>AVERAGE(I36:M36)</f>
        <v>#DIV/0!</v>
      </c>
      <c r="O36" s="33"/>
      <c r="P36" s="33"/>
      <c r="Q36" s="33"/>
      <c r="R36" s="33"/>
      <c r="S36" s="33"/>
      <c r="T36" s="33"/>
      <c r="U36" s="33"/>
      <c r="V36" s="33">
        <v>0.11110109929717066</v>
      </c>
      <c r="W36" s="33"/>
      <c r="X36" s="33"/>
      <c r="Y36" s="33"/>
      <c r="Z36" s="33"/>
      <c r="AA36" s="33"/>
      <c r="AB36" s="33"/>
      <c r="AC36" s="33"/>
      <c r="AD36" s="29"/>
      <c r="AE36" s="29"/>
      <c r="AF36" s="33"/>
      <c r="AG36" s="33"/>
      <c r="AH36" s="33"/>
      <c r="AI36" s="33"/>
      <c r="AJ36" s="33"/>
      <c r="AK36" s="33"/>
      <c r="AL36" s="33"/>
      <c r="AM36" s="33"/>
      <c r="AN36" s="15"/>
      <c r="AO36" s="29"/>
      <c r="AP36" s="33"/>
      <c r="AQ36" s="33"/>
      <c r="AR36" s="33">
        <f>AVERAGE(O36:AQ36)</f>
        <v>0.11110109929717066</v>
      </c>
      <c r="AS36" s="33"/>
      <c r="AT36" s="33"/>
      <c r="AU36" s="33"/>
      <c r="AV36" s="37"/>
      <c r="AW36" s="37"/>
      <c r="AX36" s="37"/>
      <c r="AY36" s="37">
        <v>0.11110109929717066</v>
      </c>
      <c r="AZ36" s="37"/>
    </row>
    <row r="37" spans="1:52">
      <c r="A37">
        <v>1978</v>
      </c>
      <c r="C37" s="33"/>
      <c r="D37" s="33"/>
      <c r="E37" s="33"/>
      <c r="F37" s="33"/>
      <c r="G37" s="33"/>
      <c r="H37" s="33" t="e">
        <f t="shared" si="0"/>
        <v>#DIV/0!</v>
      </c>
      <c r="I37" s="33"/>
      <c r="J37" s="33"/>
      <c r="K37" s="33"/>
      <c r="L37" s="33"/>
      <c r="M37" s="33"/>
      <c r="N37" s="33" t="e">
        <f>AVERAGE(I37:M37)</f>
        <v>#DIV/0!</v>
      </c>
      <c r="O37" s="33"/>
      <c r="P37" s="33"/>
      <c r="Q37" s="33"/>
      <c r="R37" s="33"/>
      <c r="S37" s="33"/>
      <c r="T37" s="33"/>
      <c r="U37" s="33"/>
      <c r="V37" s="33">
        <v>0.12126507076708021</v>
      </c>
      <c r="W37" s="33"/>
      <c r="X37" s="33"/>
      <c r="Y37" s="33"/>
      <c r="Z37" s="33"/>
      <c r="AA37" s="33"/>
      <c r="AB37" s="33"/>
      <c r="AC37" s="33"/>
      <c r="AD37" s="29"/>
      <c r="AE37" s="29"/>
      <c r="AF37" s="33"/>
      <c r="AG37" s="33"/>
      <c r="AH37" s="33"/>
      <c r="AI37" s="33"/>
      <c r="AJ37" s="33"/>
      <c r="AK37" s="33"/>
      <c r="AL37" s="33"/>
      <c r="AM37" s="33"/>
      <c r="AN37" s="15"/>
      <c r="AO37" s="29"/>
      <c r="AP37" s="33"/>
      <c r="AQ37" s="33"/>
      <c r="AR37" s="33">
        <f>AVERAGE(O37:AQ37)</f>
        <v>0.12126507076708021</v>
      </c>
      <c r="AS37" s="33"/>
      <c r="AT37" s="33"/>
      <c r="AU37" s="33"/>
      <c r="AV37" s="37"/>
      <c r="AW37" s="37"/>
      <c r="AX37" s="37"/>
      <c r="AY37" s="37">
        <v>0.12126507076708021</v>
      </c>
      <c r="AZ37" s="37"/>
    </row>
    <row r="38" spans="1:52">
      <c r="A38">
        <v>1979</v>
      </c>
      <c r="C38" s="33"/>
      <c r="D38" s="33"/>
      <c r="E38" s="33"/>
      <c r="F38" s="33"/>
      <c r="G38" s="33"/>
      <c r="H38" s="33" t="e">
        <f t="shared" si="0"/>
        <v>#DIV/0!</v>
      </c>
      <c r="I38" s="33"/>
      <c r="J38" s="33"/>
      <c r="K38" s="33"/>
      <c r="L38" s="33"/>
      <c r="M38" s="33"/>
      <c r="N38" s="33" t="e">
        <f>AVERAGE(I38:M38)</f>
        <v>#DIV/0!</v>
      </c>
      <c r="O38" s="33"/>
      <c r="P38" s="33"/>
      <c r="Q38" s="33"/>
      <c r="R38" s="33"/>
      <c r="S38" s="33"/>
      <c r="T38" s="33"/>
      <c r="U38" s="33"/>
      <c r="V38" s="33">
        <v>0.1327659574468085</v>
      </c>
      <c r="W38" s="33"/>
      <c r="X38" s="33"/>
      <c r="Y38" s="33"/>
      <c r="Z38" s="33"/>
      <c r="AA38" s="33"/>
      <c r="AB38" s="33"/>
      <c r="AC38" s="33"/>
      <c r="AD38" s="29"/>
      <c r="AE38" s="29"/>
      <c r="AF38" s="33"/>
      <c r="AG38" s="33"/>
      <c r="AH38" s="33"/>
      <c r="AI38" s="33"/>
      <c r="AJ38" s="33"/>
      <c r="AK38" s="33"/>
      <c r="AL38" s="33"/>
      <c r="AM38" s="33"/>
      <c r="AN38" s="15"/>
      <c r="AO38" s="29"/>
      <c r="AP38" s="33"/>
      <c r="AQ38" s="33"/>
      <c r="AR38" s="33">
        <f>AVERAGE(O38:AQ38)</f>
        <v>0.1327659574468085</v>
      </c>
      <c r="AS38" s="33"/>
      <c r="AT38" s="33"/>
      <c r="AU38" s="33"/>
      <c r="AV38" s="37"/>
      <c r="AW38" s="37"/>
      <c r="AX38" s="37"/>
      <c r="AY38" s="37">
        <v>0.1327659574468085</v>
      </c>
      <c r="AZ38" s="37"/>
    </row>
    <row r="39" spans="1:52">
      <c r="A39">
        <v>1980</v>
      </c>
      <c r="C39" s="33"/>
      <c r="D39" s="33"/>
      <c r="E39" s="33"/>
      <c r="F39" s="33"/>
      <c r="G39" s="33">
        <v>9.9000000000000005E-2</v>
      </c>
      <c r="H39" s="33">
        <f t="shared" si="0"/>
        <v>9.9000000000000005E-2</v>
      </c>
      <c r="I39" s="33"/>
      <c r="J39" s="33"/>
      <c r="K39" s="33"/>
      <c r="L39" s="33"/>
      <c r="M39" s="33"/>
      <c r="N39" s="33" t="e">
        <f>AVERAGE(I39:M39)</f>
        <v>#DIV/0!</v>
      </c>
      <c r="O39" s="33"/>
      <c r="P39" s="33"/>
      <c r="Q39" s="33"/>
      <c r="R39" s="33"/>
      <c r="S39" s="33"/>
      <c r="T39" s="33"/>
      <c r="U39" s="33"/>
      <c r="V39" s="33">
        <v>0.14183345688164073</v>
      </c>
      <c r="W39" s="33"/>
      <c r="X39" s="33"/>
      <c r="Y39" s="33"/>
      <c r="Z39" s="33"/>
      <c r="AA39" s="33"/>
      <c r="AB39" s="33"/>
      <c r="AC39" s="33"/>
      <c r="AD39" s="29"/>
      <c r="AE39" s="29"/>
      <c r="AF39" s="33"/>
      <c r="AG39" s="33"/>
      <c r="AH39" s="33"/>
      <c r="AI39" s="33"/>
      <c r="AJ39" s="33"/>
      <c r="AK39" s="33"/>
      <c r="AL39" s="33"/>
      <c r="AM39" s="33"/>
      <c r="AN39" s="21">
        <v>2.0500000000000001E-2</v>
      </c>
      <c r="AO39" s="29"/>
      <c r="AP39" s="33"/>
      <c r="AQ39" s="33"/>
      <c r="AR39" s="33">
        <f>AVERAGE(O39:AQ39)</f>
        <v>8.116672844082036E-2</v>
      </c>
      <c r="AS39" s="33"/>
      <c r="AT39" s="33"/>
      <c r="AU39" s="33"/>
      <c r="AV39" s="37"/>
      <c r="AW39" s="37">
        <v>9.9000000000000005E-2</v>
      </c>
      <c r="AX39" s="37"/>
      <c r="AY39" s="37">
        <v>8.116672844082036E-2</v>
      </c>
      <c r="AZ39" s="37"/>
    </row>
    <row r="40" spans="1:52">
      <c r="A40">
        <v>1981</v>
      </c>
      <c r="C40" s="33"/>
      <c r="D40" s="33"/>
      <c r="E40" s="33"/>
      <c r="F40" s="33"/>
      <c r="G40" s="33"/>
      <c r="H40" s="33" t="e">
        <f t="shared" si="0"/>
        <v>#DIV/0!</v>
      </c>
      <c r="I40" s="33">
        <v>0.14699401951526597</v>
      </c>
      <c r="J40" s="33"/>
      <c r="K40" s="33"/>
      <c r="L40" s="33"/>
      <c r="M40" s="33"/>
      <c r="N40" s="33">
        <f>AVERAGE(I40:M40)</f>
        <v>0.14699401951526597</v>
      </c>
      <c r="O40" s="33"/>
      <c r="P40" s="33"/>
      <c r="Q40" s="33"/>
      <c r="R40" s="33"/>
      <c r="S40" s="33"/>
      <c r="T40" s="33"/>
      <c r="U40" s="33"/>
      <c r="V40" s="33">
        <v>0.15290912005129026</v>
      </c>
      <c r="W40" s="33"/>
      <c r="X40" s="33"/>
      <c r="Y40" s="33"/>
      <c r="Z40" s="33"/>
      <c r="AA40" s="33"/>
      <c r="AB40" s="33"/>
      <c r="AC40" s="33"/>
      <c r="AD40" s="29"/>
      <c r="AE40" s="29"/>
      <c r="AF40" s="33"/>
      <c r="AG40" s="33"/>
      <c r="AH40" s="33"/>
      <c r="AI40" s="33"/>
      <c r="AJ40" s="33"/>
      <c r="AK40" s="33"/>
      <c r="AL40" s="33"/>
      <c r="AM40" s="33"/>
      <c r="AN40" s="15"/>
      <c r="AO40" s="29"/>
      <c r="AP40" s="33"/>
      <c r="AQ40" s="33"/>
      <c r="AR40" s="33">
        <f>AVERAGE(O40:AQ40)</f>
        <v>0.15290912005129026</v>
      </c>
      <c r="AS40" s="33"/>
      <c r="AT40" s="33"/>
      <c r="AU40" s="33"/>
      <c r="AV40" s="37"/>
      <c r="AW40" s="37"/>
      <c r="AX40" s="37">
        <v>0.14699401951526597</v>
      </c>
      <c r="AY40" s="37">
        <v>0.15290912005129026</v>
      </c>
      <c r="AZ40" s="37"/>
    </row>
    <row r="41" spans="1:52">
      <c r="A41">
        <v>1982</v>
      </c>
      <c r="C41" s="33"/>
      <c r="D41" s="33"/>
      <c r="E41" s="33"/>
      <c r="F41" s="33"/>
      <c r="G41" s="33"/>
      <c r="H41" s="33" t="e">
        <f t="shared" si="0"/>
        <v>#DIV/0!</v>
      </c>
      <c r="I41" s="33"/>
      <c r="J41" s="33"/>
      <c r="K41" s="33"/>
      <c r="L41" s="33"/>
      <c r="M41" s="33"/>
      <c r="N41" s="33" t="e">
        <f>AVERAGE(I41:M41)</f>
        <v>#DIV/0!</v>
      </c>
      <c r="O41" s="33"/>
      <c r="P41" s="33"/>
      <c r="Q41" s="33"/>
      <c r="R41" s="33"/>
      <c r="S41" s="33"/>
      <c r="T41" s="33"/>
      <c r="U41" s="33"/>
      <c r="V41" s="33">
        <v>0.16315830056288072</v>
      </c>
      <c r="W41" s="33"/>
      <c r="X41" s="33"/>
      <c r="Y41" s="33"/>
      <c r="Z41" s="33"/>
      <c r="AA41" s="33"/>
      <c r="AB41" s="33"/>
      <c r="AC41" s="33"/>
      <c r="AD41" s="29"/>
      <c r="AE41" s="29"/>
      <c r="AF41" s="33"/>
      <c r="AG41" s="33"/>
      <c r="AH41" s="33"/>
      <c r="AI41" s="33"/>
      <c r="AJ41" s="33"/>
      <c r="AK41" s="33"/>
      <c r="AL41" s="33"/>
      <c r="AM41" s="33"/>
      <c r="AN41" s="15"/>
      <c r="AO41" s="29"/>
      <c r="AP41" s="33"/>
      <c r="AQ41" s="33"/>
      <c r="AR41" s="33">
        <f>AVERAGE(O41:AQ41)</f>
        <v>0.16315830056288072</v>
      </c>
      <c r="AS41" s="33"/>
      <c r="AT41" s="33"/>
      <c r="AU41" s="33"/>
      <c r="AV41" s="37"/>
      <c r="AW41" s="37"/>
      <c r="AX41" s="37"/>
      <c r="AY41" s="37">
        <v>0.16315830056288072</v>
      </c>
      <c r="AZ41" s="37"/>
    </row>
    <row r="42" spans="1:52">
      <c r="A42">
        <v>1983</v>
      </c>
      <c r="C42" s="33"/>
      <c r="D42" s="33"/>
      <c r="E42" s="33"/>
      <c r="F42" s="33"/>
      <c r="G42" s="33"/>
      <c r="H42" s="33" t="e">
        <f t="shared" si="0"/>
        <v>#DIV/0!</v>
      </c>
      <c r="I42" s="33"/>
      <c r="J42" s="33"/>
      <c r="K42" s="33"/>
      <c r="L42" s="33"/>
      <c r="M42" s="33"/>
      <c r="N42" s="33" t="e">
        <f>AVERAGE(I42:M42)</f>
        <v>#DIV/0!</v>
      </c>
      <c r="O42" s="33"/>
      <c r="P42" s="33"/>
      <c r="Q42" s="33"/>
      <c r="R42" s="33"/>
      <c r="S42" s="33"/>
      <c r="T42" s="33"/>
      <c r="U42" s="33"/>
      <c r="V42" s="33">
        <v>0.17440214557103478</v>
      </c>
      <c r="W42" s="33"/>
      <c r="X42" s="33"/>
      <c r="Y42" s="33"/>
      <c r="Z42" s="33"/>
      <c r="AA42" s="33"/>
      <c r="AB42" s="33"/>
      <c r="AC42" s="33"/>
      <c r="AD42" s="29"/>
      <c r="AE42" s="29"/>
      <c r="AF42" s="33"/>
      <c r="AG42" s="33"/>
      <c r="AH42" s="33"/>
      <c r="AI42" s="33"/>
      <c r="AJ42" s="33"/>
      <c r="AK42" s="33"/>
      <c r="AL42" s="33"/>
      <c r="AM42" s="33"/>
      <c r="AN42" s="15"/>
      <c r="AO42" s="29"/>
      <c r="AP42" s="33"/>
      <c r="AQ42" s="33"/>
      <c r="AR42" s="33">
        <f>AVERAGE(O42:AQ42)</f>
        <v>0.17440214557103478</v>
      </c>
      <c r="AS42" s="33"/>
      <c r="AT42" s="33"/>
      <c r="AU42" s="33"/>
      <c r="AV42" s="37"/>
      <c r="AW42" s="37"/>
      <c r="AX42" s="37"/>
      <c r="AY42" s="37">
        <v>0.17440214557103478</v>
      </c>
      <c r="AZ42" s="37"/>
    </row>
    <row r="43" spans="1:52">
      <c r="A43">
        <v>1984</v>
      </c>
      <c r="C43" s="33"/>
      <c r="D43" s="33"/>
      <c r="E43" s="33"/>
      <c r="F43" s="33"/>
      <c r="G43" s="33"/>
      <c r="H43" s="33" t="e">
        <f t="shared" si="0"/>
        <v>#DIV/0!</v>
      </c>
      <c r="I43" s="33"/>
      <c r="J43" s="33"/>
      <c r="K43" s="33"/>
      <c r="L43" s="33"/>
      <c r="M43" s="33"/>
      <c r="N43" s="33" t="e">
        <f>AVERAGE(I43:M43)</f>
        <v>#DIV/0!</v>
      </c>
      <c r="O43" s="33"/>
      <c r="P43" s="33"/>
      <c r="Q43" s="33"/>
      <c r="R43" s="33"/>
      <c r="S43" s="33"/>
      <c r="T43" s="33"/>
      <c r="U43" s="33"/>
      <c r="V43" s="33">
        <v>0.19137389317337902</v>
      </c>
      <c r="W43" s="33"/>
      <c r="X43" s="33"/>
      <c r="Y43" s="33"/>
      <c r="Z43" s="33"/>
      <c r="AA43" s="33"/>
      <c r="AB43" s="33"/>
      <c r="AC43" s="33"/>
      <c r="AD43" s="29"/>
      <c r="AE43" s="29"/>
      <c r="AF43" s="33"/>
      <c r="AG43" s="33"/>
      <c r="AH43" s="33"/>
      <c r="AI43" s="33"/>
      <c r="AJ43" s="33"/>
      <c r="AK43" s="33"/>
      <c r="AL43" s="33"/>
      <c r="AM43" s="33"/>
      <c r="AN43" s="15"/>
      <c r="AO43" s="29"/>
      <c r="AP43" s="33"/>
      <c r="AQ43" s="33"/>
      <c r="AR43" s="33">
        <f>AVERAGE(O43:AQ43)</f>
        <v>0.19137389317337902</v>
      </c>
      <c r="AS43" s="33"/>
      <c r="AT43" s="33"/>
      <c r="AU43" s="33"/>
      <c r="AV43" s="37"/>
      <c r="AW43" s="37"/>
      <c r="AX43" s="37"/>
      <c r="AY43" s="37">
        <v>0.19137389317337902</v>
      </c>
      <c r="AZ43" s="37"/>
    </row>
    <row r="44" spans="1:52">
      <c r="A44">
        <v>1985</v>
      </c>
      <c r="C44" s="33"/>
      <c r="D44" s="33"/>
      <c r="E44" s="33"/>
      <c r="F44" s="33"/>
      <c r="G44" s="33"/>
      <c r="H44" s="33" t="e">
        <f t="shared" si="0"/>
        <v>#DIV/0!</v>
      </c>
      <c r="I44" s="33"/>
      <c r="J44" s="33"/>
      <c r="K44" s="33"/>
      <c r="L44" s="33"/>
      <c r="M44" s="33"/>
      <c r="N44" s="33" t="e">
        <f>AVERAGE(I44:M44)</f>
        <v>#DIV/0!</v>
      </c>
      <c r="O44" s="33"/>
      <c r="P44" s="33"/>
      <c r="Q44" s="33"/>
      <c r="R44" s="33"/>
      <c r="S44" s="33"/>
      <c r="T44" s="33"/>
      <c r="U44" s="33"/>
      <c r="V44" s="33">
        <v>0.20894603652280966</v>
      </c>
      <c r="W44" s="33"/>
      <c r="X44" s="33"/>
      <c r="Y44" s="33"/>
      <c r="Z44" s="33"/>
      <c r="AA44" s="33"/>
      <c r="AB44" s="33"/>
      <c r="AC44" s="33"/>
      <c r="AD44" s="29"/>
      <c r="AE44" s="29"/>
      <c r="AF44" s="33"/>
      <c r="AG44" s="33"/>
      <c r="AH44" s="33"/>
      <c r="AI44" s="33"/>
      <c r="AJ44" s="33"/>
      <c r="AK44" s="33"/>
      <c r="AL44" s="33"/>
      <c r="AM44" s="33"/>
      <c r="AN44" s="15"/>
      <c r="AO44" s="29"/>
      <c r="AP44" s="33"/>
      <c r="AQ44" s="33"/>
      <c r="AR44" s="33">
        <f>AVERAGE(O44:AQ44)</f>
        <v>0.20894603652280966</v>
      </c>
      <c r="AS44" s="33"/>
      <c r="AT44" s="33"/>
      <c r="AU44" s="33"/>
      <c r="AV44" s="37"/>
      <c r="AW44" s="37"/>
      <c r="AX44" s="37"/>
      <c r="AY44" s="37">
        <v>0.20894603652280966</v>
      </c>
      <c r="AZ44" s="37"/>
    </row>
    <row r="45" spans="1:52">
      <c r="A45">
        <v>1986</v>
      </c>
      <c r="C45" s="33"/>
      <c r="D45" s="33"/>
      <c r="E45" s="33"/>
      <c r="F45" s="33"/>
      <c r="G45" s="33">
        <v>0.16</v>
      </c>
      <c r="H45" s="33">
        <f t="shared" si="0"/>
        <v>0.16</v>
      </c>
      <c r="I45" s="33"/>
      <c r="J45" s="33"/>
      <c r="K45" s="33"/>
      <c r="L45" s="33"/>
      <c r="M45" s="33"/>
      <c r="N45" s="33" t="e">
        <f>AVERAGE(I45:M45)</f>
        <v>#DIV/0!</v>
      </c>
      <c r="O45" s="33"/>
      <c r="P45" s="33"/>
      <c r="Q45" s="33"/>
      <c r="R45" s="33"/>
      <c r="S45" s="33"/>
      <c r="T45" s="33"/>
      <c r="U45" s="33"/>
      <c r="V45" s="33">
        <v>0.2245232321908382</v>
      </c>
      <c r="W45" s="33"/>
      <c r="X45" s="33"/>
      <c r="Y45" s="33"/>
      <c r="Z45" s="33"/>
      <c r="AA45" s="33"/>
      <c r="AB45" s="33"/>
      <c r="AC45" s="33"/>
      <c r="AD45" s="29"/>
      <c r="AE45" s="29"/>
      <c r="AF45" s="33"/>
      <c r="AG45" s="33"/>
      <c r="AH45" s="33"/>
      <c r="AI45" s="33"/>
      <c r="AJ45" s="33"/>
      <c r="AK45" s="33"/>
      <c r="AL45" s="33"/>
      <c r="AM45" s="33"/>
      <c r="AN45" s="15"/>
      <c r="AO45" s="29"/>
      <c r="AP45" s="33"/>
      <c r="AQ45" s="33"/>
      <c r="AR45" s="33">
        <f>AVERAGE(O45:AQ45)</f>
        <v>0.2245232321908382</v>
      </c>
      <c r="AS45" s="33"/>
      <c r="AT45" s="33"/>
      <c r="AU45" s="33"/>
      <c r="AV45" s="37"/>
      <c r="AW45" s="37">
        <v>0.16</v>
      </c>
      <c r="AX45" s="37"/>
      <c r="AY45" s="37">
        <v>0.2245232321908382</v>
      </c>
      <c r="AZ45" s="37"/>
    </row>
    <row r="46" spans="1:52">
      <c r="A46">
        <v>1987</v>
      </c>
      <c r="C46" s="33"/>
      <c r="D46" s="33"/>
      <c r="E46" s="33"/>
      <c r="F46" s="33"/>
      <c r="G46" s="33">
        <v>0.17</v>
      </c>
      <c r="H46" s="33">
        <f t="shared" si="0"/>
        <v>0.17</v>
      </c>
      <c r="I46" s="33"/>
      <c r="J46" s="33"/>
      <c r="K46" s="33"/>
      <c r="L46" s="33"/>
      <c r="M46" s="33"/>
      <c r="N46" s="33" t="e">
        <f>AVERAGE(I46:M46)</f>
        <v>#DIV/0!</v>
      </c>
      <c r="O46" s="33"/>
      <c r="P46" s="33"/>
      <c r="Q46" s="33">
        <v>0.14278481012658228</v>
      </c>
      <c r="R46" s="33"/>
      <c r="S46" s="33"/>
      <c r="T46" s="33"/>
      <c r="U46" s="33"/>
      <c r="V46" s="33">
        <v>0.2418202331703648</v>
      </c>
      <c r="W46" s="33"/>
      <c r="X46" s="33"/>
      <c r="Y46" s="33"/>
      <c r="Z46" s="33"/>
      <c r="AA46" s="33"/>
      <c r="AB46" s="33"/>
      <c r="AC46" s="33"/>
      <c r="AD46" s="29"/>
      <c r="AE46" s="29"/>
      <c r="AF46" s="33"/>
      <c r="AG46" s="33"/>
      <c r="AH46" s="33"/>
      <c r="AI46" s="33"/>
      <c r="AJ46" s="33"/>
      <c r="AK46" s="33"/>
      <c r="AL46" s="33"/>
      <c r="AM46" s="33"/>
      <c r="AN46" s="15"/>
      <c r="AO46" s="29"/>
      <c r="AP46" s="33"/>
      <c r="AQ46" s="33"/>
      <c r="AR46" s="33">
        <f>AVERAGE(O46:AQ46)</f>
        <v>0.19230252164847356</v>
      </c>
      <c r="AS46" s="33"/>
      <c r="AT46" s="33"/>
      <c r="AU46" s="33"/>
      <c r="AV46" s="37"/>
      <c r="AW46" s="37">
        <v>0.17</v>
      </c>
      <c r="AX46" s="37"/>
      <c r="AY46" s="37">
        <v>0.19230252164847356</v>
      </c>
      <c r="AZ46" s="37"/>
    </row>
    <row r="47" spans="1:52">
      <c r="A47">
        <v>1988</v>
      </c>
      <c r="C47" s="33"/>
      <c r="D47" s="33"/>
      <c r="E47" s="33"/>
      <c r="F47" s="33"/>
      <c r="G47" s="33"/>
      <c r="H47" s="33" t="e">
        <f t="shared" si="0"/>
        <v>#DIV/0!</v>
      </c>
      <c r="I47" s="33"/>
      <c r="J47" s="33"/>
      <c r="K47" s="33"/>
      <c r="L47" s="33"/>
      <c r="M47" s="33"/>
      <c r="N47" s="33" t="e">
        <f>AVERAGE(I47:M47)</f>
        <v>#DIV/0!</v>
      </c>
      <c r="O47" s="33"/>
      <c r="P47" s="33"/>
      <c r="Q47" s="33"/>
      <c r="R47" s="33"/>
      <c r="S47" s="33"/>
      <c r="T47" s="33"/>
      <c r="U47" s="33"/>
      <c r="V47" s="33">
        <v>0.25865506615914446</v>
      </c>
      <c r="W47" s="33"/>
      <c r="X47" s="33"/>
      <c r="Y47" s="33"/>
      <c r="Z47" s="33"/>
      <c r="AA47" s="33"/>
      <c r="AB47" s="33"/>
      <c r="AC47" s="33"/>
      <c r="AD47" s="29"/>
      <c r="AE47" s="29"/>
      <c r="AF47" s="33"/>
      <c r="AG47" s="33"/>
      <c r="AH47" s="33"/>
      <c r="AI47" s="33"/>
      <c r="AJ47" s="33"/>
      <c r="AK47" s="33"/>
      <c r="AL47" s="33"/>
      <c r="AM47" s="33"/>
      <c r="AN47" s="15"/>
      <c r="AO47" s="29"/>
      <c r="AP47" s="33"/>
      <c r="AQ47" s="33"/>
      <c r="AR47" s="33">
        <f>AVERAGE(O47:AQ47)</f>
        <v>0.25865506615914446</v>
      </c>
      <c r="AS47" s="33"/>
      <c r="AT47" s="33"/>
      <c r="AU47" s="33"/>
      <c r="AV47" s="37"/>
      <c r="AW47" s="37"/>
      <c r="AX47" s="37"/>
      <c r="AY47" s="37">
        <v>0.25865506615914446</v>
      </c>
      <c r="AZ47" s="37"/>
    </row>
    <row r="48" spans="1:52">
      <c r="A48">
        <v>1989</v>
      </c>
      <c r="C48" s="33"/>
      <c r="D48" s="33"/>
      <c r="E48" s="33"/>
      <c r="F48" s="33"/>
      <c r="G48" s="33"/>
      <c r="H48" s="33" t="e">
        <f t="shared" si="0"/>
        <v>#DIV/0!</v>
      </c>
      <c r="I48" s="33"/>
      <c r="J48" s="33"/>
      <c r="K48" s="33"/>
      <c r="L48" s="33"/>
      <c r="M48" s="33"/>
      <c r="N48" s="33" t="e">
        <f>AVERAGE(I48:M48)</f>
        <v>#DIV/0!</v>
      </c>
      <c r="O48" s="33"/>
      <c r="P48" s="33"/>
      <c r="Q48" s="33"/>
      <c r="R48" s="33"/>
      <c r="S48" s="33"/>
      <c r="T48" s="33"/>
      <c r="U48" s="33"/>
      <c r="V48" s="33">
        <v>0.27281699953553179</v>
      </c>
      <c r="W48" s="33"/>
      <c r="X48" s="33"/>
      <c r="Y48" s="33"/>
      <c r="Z48" s="33"/>
      <c r="AA48" s="33"/>
      <c r="AB48" s="33"/>
      <c r="AC48" s="33"/>
      <c r="AD48" s="29"/>
      <c r="AE48" s="29"/>
      <c r="AF48" s="33"/>
      <c r="AG48" s="33"/>
      <c r="AH48" s="33"/>
      <c r="AI48" s="33"/>
      <c r="AJ48" s="33"/>
      <c r="AK48" s="33"/>
      <c r="AL48" s="33"/>
      <c r="AM48" s="33"/>
      <c r="AN48" s="15"/>
      <c r="AO48" s="29"/>
      <c r="AP48" s="33"/>
      <c r="AQ48" s="33"/>
      <c r="AR48" s="33">
        <f>AVERAGE(O48:AQ48)</f>
        <v>0.27281699953553179</v>
      </c>
      <c r="AS48" s="33"/>
      <c r="AT48" s="33"/>
      <c r="AU48" s="33"/>
      <c r="AV48" s="37"/>
      <c r="AW48" s="37"/>
      <c r="AX48" s="37"/>
      <c r="AY48" s="37">
        <v>0.27281699953553179</v>
      </c>
      <c r="AZ48" s="37"/>
    </row>
    <row r="49" spans="1:52">
      <c r="A49">
        <v>1990</v>
      </c>
      <c r="C49" s="33"/>
      <c r="D49" s="33"/>
      <c r="E49" s="33"/>
      <c r="F49" s="33"/>
      <c r="G49" s="33">
        <v>0.25600000000000001</v>
      </c>
      <c r="H49" s="33">
        <f t="shared" si="0"/>
        <v>0.25600000000000001</v>
      </c>
      <c r="I49" s="33"/>
      <c r="J49" s="33"/>
      <c r="K49" s="33"/>
      <c r="L49" s="33"/>
      <c r="M49" s="33"/>
      <c r="N49" s="33" t="e">
        <f>AVERAGE(I49:M49)</f>
        <v>#DIV/0!</v>
      </c>
      <c r="O49" s="33"/>
      <c r="P49" s="33"/>
      <c r="Q49" s="33"/>
      <c r="R49" s="33"/>
      <c r="S49" s="33"/>
      <c r="T49" s="33"/>
      <c r="U49" s="33"/>
      <c r="V49" s="33">
        <v>0.28954467874249851</v>
      </c>
      <c r="W49" s="33"/>
      <c r="X49" s="33"/>
      <c r="Y49" s="33"/>
      <c r="Z49" s="33"/>
      <c r="AA49" s="33"/>
      <c r="AB49" s="33"/>
      <c r="AC49" s="33"/>
      <c r="AD49" s="29"/>
      <c r="AE49" s="29"/>
      <c r="AF49" s="33"/>
      <c r="AG49" s="33"/>
      <c r="AH49" s="33"/>
      <c r="AI49" s="33"/>
      <c r="AJ49" s="33"/>
      <c r="AK49" s="33"/>
      <c r="AL49" s="33"/>
      <c r="AM49" s="33"/>
      <c r="AN49" s="21">
        <v>0.22170000000000001</v>
      </c>
      <c r="AO49" s="29"/>
      <c r="AP49" s="33"/>
      <c r="AQ49" s="33"/>
      <c r="AR49" s="33">
        <f>AVERAGE(O49:AQ49)</f>
        <v>0.25562233937124923</v>
      </c>
      <c r="AS49" s="33"/>
      <c r="AT49" s="33"/>
      <c r="AU49" s="33"/>
      <c r="AV49" s="37"/>
      <c r="AW49" s="37">
        <v>0.25600000000000001</v>
      </c>
      <c r="AX49" s="37"/>
      <c r="AY49" s="37">
        <v>0.25562233937124923</v>
      </c>
      <c r="AZ49" s="37"/>
    </row>
    <row r="50" spans="1:52">
      <c r="A50">
        <v>1991</v>
      </c>
      <c r="C50" s="33"/>
      <c r="D50" s="33"/>
      <c r="E50" s="33"/>
      <c r="F50" s="33"/>
      <c r="G50" s="33"/>
      <c r="H50" s="33" t="e">
        <f t="shared" si="0"/>
        <v>#DIV/0!</v>
      </c>
      <c r="I50" s="33">
        <v>0.29955854530166071</v>
      </c>
      <c r="J50" s="33"/>
      <c r="K50" s="33"/>
      <c r="L50" s="33"/>
      <c r="M50" s="33"/>
      <c r="N50" s="33">
        <f>AVERAGE(I50:M50)</f>
        <v>0.29955854530166071</v>
      </c>
      <c r="O50" s="33"/>
      <c r="P50" s="33"/>
      <c r="Q50" s="33"/>
      <c r="R50" s="33"/>
      <c r="S50" s="33"/>
      <c r="T50" s="33"/>
      <c r="U50" s="33"/>
      <c r="V50" s="33">
        <v>0.29101660795168593</v>
      </c>
      <c r="W50" s="33"/>
      <c r="X50" s="33"/>
      <c r="Y50" s="33"/>
      <c r="Z50" s="33"/>
      <c r="AA50" s="33"/>
      <c r="AB50" s="33"/>
      <c r="AC50" s="33"/>
      <c r="AD50" s="29"/>
      <c r="AE50" s="29"/>
      <c r="AF50" s="33"/>
      <c r="AG50" s="33"/>
      <c r="AH50" s="33"/>
      <c r="AI50" s="33"/>
      <c r="AJ50" s="33"/>
      <c r="AK50" s="33"/>
      <c r="AL50" s="33"/>
      <c r="AM50" s="33"/>
      <c r="AN50" s="15"/>
      <c r="AO50" s="29"/>
      <c r="AP50" s="33"/>
      <c r="AQ50" s="33"/>
      <c r="AR50" s="33">
        <f>AVERAGE(O50:AQ50)</f>
        <v>0.29101660795168593</v>
      </c>
      <c r="AS50" s="33"/>
      <c r="AT50" s="33"/>
      <c r="AU50" s="33"/>
      <c r="AV50" s="37"/>
      <c r="AW50" s="37"/>
      <c r="AX50" s="37">
        <v>0.29955854530166071</v>
      </c>
      <c r="AY50" s="37">
        <v>0.29101660795168593</v>
      </c>
      <c r="AZ50" s="37"/>
    </row>
    <row r="51" spans="1:52">
      <c r="A51">
        <v>1992</v>
      </c>
      <c r="C51" s="33"/>
      <c r="D51" s="33"/>
      <c r="E51" s="33"/>
      <c r="F51" s="33"/>
      <c r="G51" s="33"/>
      <c r="H51" s="33" t="e">
        <f t="shared" si="0"/>
        <v>#DIV/0!</v>
      </c>
      <c r="I51" s="33"/>
      <c r="J51" s="33"/>
      <c r="K51" s="33"/>
      <c r="L51" s="33"/>
      <c r="M51" s="33"/>
      <c r="N51" s="33" t="e">
        <f>AVERAGE(I51:M51)</f>
        <v>#DIV/0!</v>
      </c>
      <c r="O51" s="33"/>
      <c r="P51" s="33"/>
      <c r="Q51" s="33"/>
      <c r="R51" s="33"/>
      <c r="S51" s="33"/>
      <c r="T51" s="33"/>
      <c r="U51" s="33"/>
      <c r="V51" s="33">
        <v>0.3028748269403046</v>
      </c>
      <c r="W51" s="33"/>
      <c r="X51" s="33"/>
      <c r="Y51" s="33"/>
      <c r="Z51" s="33"/>
      <c r="AA51" s="33"/>
      <c r="AB51" s="33"/>
      <c r="AC51" s="33"/>
      <c r="AD51" s="29"/>
      <c r="AE51" s="29"/>
      <c r="AF51" s="33"/>
      <c r="AG51" s="33"/>
      <c r="AH51" s="33"/>
      <c r="AI51" s="33"/>
      <c r="AJ51" s="33"/>
      <c r="AK51" s="33"/>
      <c r="AL51" s="33"/>
      <c r="AM51" s="33"/>
      <c r="AN51" s="15"/>
      <c r="AO51" s="29"/>
      <c r="AP51" s="33"/>
      <c r="AQ51" s="33"/>
      <c r="AR51" s="33">
        <f>AVERAGE(O51:AQ51)</f>
        <v>0.3028748269403046</v>
      </c>
      <c r="AS51" s="33"/>
      <c r="AT51" s="33"/>
      <c r="AU51" s="33"/>
      <c r="AV51" s="37"/>
      <c r="AW51" s="37"/>
      <c r="AX51" s="37"/>
      <c r="AY51" s="37">
        <v>0.3028748269403046</v>
      </c>
      <c r="AZ51" s="37"/>
    </row>
    <row r="52" spans="1:52">
      <c r="A52">
        <v>1993</v>
      </c>
      <c r="C52" s="33"/>
      <c r="D52" s="33"/>
      <c r="E52" s="33"/>
      <c r="F52" s="33"/>
      <c r="G52" s="33"/>
      <c r="H52" s="33" t="e">
        <f t="shared" si="0"/>
        <v>#DIV/0!</v>
      </c>
      <c r="I52" s="33"/>
      <c r="J52" s="33"/>
      <c r="K52" s="33"/>
      <c r="L52" s="33"/>
      <c r="M52" s="33"/>
      <c r="N52" s="33" t="e">
        <f>AVERAGE(I52:M52)</f>
        <v>#DIV/0!</v>
      </c>
      <c r="O52" s="33"/>
      <c r="P52" s="33"/>
      <c r="Q52" s="33"/>
      <c r="R52" s="33"/>
      <c r="S52" s="33"/>
      <c r="T52" s="33"/>
      <c r="U52" s="33"/>
      <c r="V52" s="33">
        <v>0.31753909173264011</v>
      </c>
      <c r="W52" s="33"/>
      <c r="X52" s="33"/>
      <c r="Y52" s="33"/>
      <c r="Z52" s="33"/>
      <c r="AA52" s="33"/>
      <c r="AB52" s="33"/>
      <c r="AC52" s="33"/>
      <c r="AD52" s="29"/>
      <c r="AE52" s="29"/>
      <c r="AF52" s="33"/>
      <c r="AG52" s="33"/>
      <c r="AH52" s="33"/>
      <c r="AI52" s="33"/>
      <c r="AJ52" s="33"/>
      <c r="AK52" s="33"/>
      <c r="AL52" s="33"/>
      <c r="AM52" s="33"/>
      <c r="AN52" s="15"/>
      <c r="AO52" s="29"/>
      <c r="AP52" s="33"/>
      <c r="AQ52" s="33"/>
      <c r="AR52" s="33">
        <f>AVERAGE(O52:AQ52)</f>
        <v>0.31753909173264011</v>
      </c>
      <c r="AS52" s="33"/>
      <c r="AT52" s="33"/>
      <c r="AU52" s="33"/>
      <c r="AV52" s="37"/>
      <c r="AW52" s="37"/>
      <c r="AX52" s="37"/>
      <c r="AY52" s="37">
        <v>0.31753909173264011</v>
      </c>
      <c r="AZ52" s="37"/>
    </row>
    <row r="53" spans="1:52">
      <c r="A53">
        <v>1994</v>
      </c>
      <c r="C53" s="33"/>
      <c r="D53" s="33"/>
      <c r="E53" s="33"/>
      <c r="F53" s="33"/>
      <c r="G53" s="33"/>
      <c r="H53" s="33" t="e">
        <f t="shared" si="0"/>
        <v>#DIV/0!</v>
      </c>
      <c r="I53" s="33"/>
      <c r="J53" s="33"/>
      <c r="K53" s="33"/>
      <c r="L53" s="33"/>
      <c r="M53" s="33"/>
      <c r="N53" s="33" t="e">
        <f>AVERAGE(I53:M53)</f>
        <v>#DIV/0!</v>
      </c>
      <c r="O53" s="33"/>
      <c r="P53" s="33"/>
      <c r="Q53" s="33"/>
      <c r="R53" s="33"/>
      <c r="S53" s="33"/>
      <c r="T53" s="33"/>
      <c r="U53" s="33"/>
      <c r="V53" s="33">
        <v>0.33011716057891111</v>
      </c>
      <c r="W53" s="33"/>
      <c r="X53" s="33"/>
      <c r="Y53" s="33"/>
      <c r="Z53" s="33"/>
      <c r="AA53" s="33"/>
      <c r="AB53" s="33"/>
      <c r="AC53" s="33"/>
      <c r="AD53" s="29"/>
      <c r="AE53" s="29"/>
      <c r="AF53" s="33"/>
      <c r="AG53" s="33"/>
      <c r="AH53" s="33"/>
      <c r="AI53" s="33"/>
      <c r="AJ53" s="33"/>
      <c r="AK53" s="33"/>
      <c r="AL53" s="33"/>
      <c r="AM53" s="33"/>
      <c r="AN53" s="15"/>
      <c r="AO53" s="29"/>
      <c r="AP53" s="33"/>
      <c r="AQ53" s="33"/>
      <c r="AR53" s="33">
        <f>AVERAGE(O53:AQ53)</f>
        <v>0.33011716057891111</v>
      </c>
      <c r="AS53" s="33"/>
      <c r="AT53" s="33"/>
      <c r="AU53" s="33"/>
      <c r="AV53" s="37"/>
      <c r="AW53" s="37"/>
      <c r="AX53" s="37"/>
      <c r="AY53" s="37">
        <v>0.33011716057891111</v>
      </c>
      <c r="AZ53" s="37"/>
    </row>
    <row r="54" spans="1:52">
      <c r="A54">
        <v>1995</v>
      </c>
      <c r="C54" s="33"/>
      <c r="D54" s="33"/>
      <c r="E54" s="33"/>
      <c r="F54" s="33"/>
      <c r="G54" s="33">
        <v>0.32700000000000001</v>
      </c>
      <c r="H54" s="33">
        <f t="shared" si="0"/>
        <v>0.32700000000000001</v>
      </c>
      <c r="I54" s="33"/>
      <c r="J54" s="33"/>
      <c r="K54" s="33"/>
      <c r="L54" s="33"/>
      <c r="M54" s="33"/>
      <c r="N54" s="33" t="e">
        <f>AVERAGE(I54:M54)</f>
        <v>#DIV/0!</v>
      </c>
      <c r="O54" s="33"/>
      <c r="P54" s="33"/>
      <c r="Q54" s="33"/>
      <c r="R54" s="33"/>
      <c r="S54" s="33"/>
      <c r="T54" s="33"/>
      <c r="U54" s="33">
        <v>0.12</v>
      </c>
      <c r="V54" s="33">
        <v>0.34219515817614732</v>
      </c>
      <c r="W54" s="33"/>
      <c r="X54" s="33"/>
      <c r="Y54" s="33"/>
      <c r="Z54" s="33"/>
      <c r="AA54" s="33"/>
      <c r="AB54" s="33"/>
      <c r="AC54" s="33"/>
      <c r="AD54" s="29"/>
      <c r="AE54" s="29"/>
      <c r="AF54" s="33"/>
      <c r="AG54" s="33"/>
      <c r="AH54" s="33"/>
      <c r="AI54" s="33"/>
      <c r="AJ54" s="33"/>
      <c r="AK54" s="33"/>
      <c r="AL54" s="33"/>
      <c r="AM54" s="33"/>
      <c r="AN54" s="15"/>
      <c r="AO54" s="29"/>
      <c r="AP54" s="33"/>
      <c r="AQ54" s="33"/>
      <c r="AR54" s="33">
        <f>AVERAGE(O54:AQ54)</f>
        <v>0.23109757908807366</v>
      </c>
      <c r="AS54" s="33"/>
      <c r="AT54" s="33"/>
      <c r="AU54" s="33"/>
      <c r="AV54" s="37"/>
      <c r="AW54" s="37">
        <v>0.32700000000000001</v>
      </c>
      <c r="AX54" s="37"/>
      <c r="AY54" s="37">
        <v>0.23109757908807366</v>
      </c>
      <c r="AZ54" s="37"/>
    </row>
    <row r="55" spans="1:52">
      <c r="A55">
        <v>1996</v>
      </c>
      <c r="C55" s="33"/>
      <c r="D55" s="33"/>
      <c r="E55" s="33"/>
      <c r="F55" s="33"/>
      <c r="G55" s="33"/>
      <c r="H55" s="33" t="e">
        <f t="shared" si="0"/>
        <v>#DIV/0!</v>
      </c>
      <c r="I55" s="33"/>
      <c r="J55" s="33"/>
      <c r="K55" s="33"/>
      <c r="L55" s="33"/>
      <c r="M55" s="33"/>
      <c r="N55" s="33" t="e">
        <f>AVERAGE(I55:M55)</f>
        <v>#DIV/0!</v>
      </c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29"/>
      <c r="AE55" s="29"/>
      <c r="AF55" s="33"/>
      <c r="AG55" s="33"/>
      <c r="AH55" s="33"/>
      <c r="AI55" s="33"/>
      <c r="AJ55" s="33"/>
      <c r="AK55" s="33"/>
      <c r="AL55" s="33"/>
      <c r="AM55" s="33"/>
      <c r="AN55" s="15"/>
      <c r="AO55" s="29"/>
      <c r="AP55" s="33"/>
      <c r="AQ55" s="33"/>
      <c r="AR55" s="33" t="e">
        <f>AVERAGE(O55:AQ55)</f>
        <v>#DIV/0!</v>
      </c>
      <c r="AS55" s="33"/>
      <c r="AT55" s="33"/>
      <c r="AU55" s="33"/>
      <c r="AV55" s="37"/>
      <c r="AW55" s="37"/>
      <c r="AX55" s="37"/>
      <c r="AY55" s="37"/>
      <c r="AZ55" s="37"/>
    </row>
    <row r="56" spans="1:52">
      <c r="A56">
        <v>1997</v>
      </c>
      <c r="C56" s="33"/>
      <c r="D56" s="33"/>
      <c r="E56" s="33"/>
      <c r="F56" s="33"/>
      <c r="G56" s="33"/>
      <c r="H56" s="33" t="e">
        <f t="shared" si="0"/>
        <v>#DIV/0!</v>
      </c>
      <c r="I56" s="33"/>
      <c r="J56" s="33"/>
      <c r="K56" s="33"/>
      <c r="L56" s="33"/>
      <c r="M56" s="33"/>
      <c r="N56" s="33" t="e">
        <f>AVERAGE(I56:M56)</f>
        <v>#DIV/0!</v>
      </c>
      <c r="O56" s="33"/>
      <c r="P56" s="33"/>
      <c r="Q56" s="33"/>
      <c r="R56" s="33"/>
      <c r="S56" s="33"/>
      <c r="T56" s="33"/>
      <c r="U56" s="33">
        <v>0.214</v>
      </c>
      <c r="V56" s="33"/>
      <c r="W56" s="33"/>
      <c r="X56" s="33"/>
      <c r="Y56" s="33"/>
      <c r="Z56" s="33"/>
      <c r="AA56" s="33"/>
      <c r="AB56" s="33"/>
      <c r="AC56" s="33"/>
      <c r="AD56" s="29"/>
      <c r="AE56" s="29"/>
      <c r="AF56" s="33"/>
      <c r="AG56" s="33"/>
      <c r="AH56" s="33"/>
      <c r="AI56" s="33"/>
      <c r="AJ56" s="33"/>
      <c r="AK56" s="33"/>
      <c r="AL56" s="33"/>
      <c r="AM56" s="33"/>
      <c r="AN56" s="15"/>
      <c r="AO56" s="29"/>
      <c r="AP56" s="33"/>
      <c r="AQ56" s="33"/>
      <c r="AR56" s="33">
        <f>AVERAGE(O56:AQ56)</f>
        <v>0.214</v>
      </c>
      <c r="AS56" s="33"/>
      <c r="AT56" s="33"/>
      <c r="AU56" s="33"/>
      <c r="AV56" s="37"/>
      <c r="AW56" s="37"/>
      <c r="AX56" s="37"/>
      <c r="AY56" s="37">
        <v>0.214</v>
      </c>
      <c r="AZ56" s="37"/>
    </row>
    <row r="57" spans="1:52">
      <c r="A57">
        <v>1998</v>
      </c>
      <c r="C57" s="33"/>
      <c r="D57" s="33"/>
      <c r="E57" s="33"/>
      <c r="F57" s="33"/>
      <c r="G57" s="33"/>
      <c r="H57" s="33" t="e">
        <f t="shared" si="0"/>
        <v>#DIV/0!</v>
      </c>
      <c r="I57" s="33"/>
      <c r="J57" s="33"/>
      <c r="K57" s="33"/>
      <c r="L57" s="33"/>
      <c r="M57" s="33"/>
      <c r="N57" s="33" t="e">
        <f>AVERAGE(I57:M57)</f>
        <v>#DIV/0!</v>
      </c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29"/>
      <c r="AE57" s="29"/>
      <c r="AF57" s="33"/>
      <c r="AG57" s="33"/>
      <c r="AH57" s="33"/>
      <c r="AI57" s="33"/>
      <c r="AJ57" s="33"/>
      <c r="AK57" s="33"/>
      <c r="AL57" s="33"/>
      <c r="AM57" s="33"/>
      <c r="AN57" s="15"/>
      <c r="AO57" s="29"/>
      <c r="AP57" s="33"/>
      <c r="AQ57" s="33"/>
      <c r="AR57" s="33" t="e">
        <f>AVERAGE(O57:AQ57)</f>
        <v>#DIV/0!</v>
      </c>
      <c r="AS57" s="33"/>
      <c r="AT57" s="33"/>
      <c r="AU57" s="33"/>
      <c r="AV57" s="37"/>
      <c r="AW57" s="37"/>
      <c r="AX57" s="37"/>
      <c r="AY57" s="37"/>
      <c r="AZ57" s="37"/>
    </row>
    <row r="58" spans="1:52">
      <c r="A58">
        <v>1999</v>
      </c>
      <c r="C58" s="33"/>
      <c r="D58" s="33"/>
      <c r="E58" s="33"/>
      <c r="F58" s="33"/>
      <c r="G58" s="33">
        <v>0.435</v>
      </c>
      <c r="H58" s="33">
        <f t="shared" si="0"/>
        <v>0.435</v>
      </c>
      <c r="I58" s="33"/>
      <c r="J58" s="33"/>
      <c r="K58" s="33"/>
      <c r="L58" s="33"/>
      <c r="M58" s="33"/>
      <c r="N58" s="33" t="e">
        <f>AVERAGE(I58:M58)</f>
        <v>#DIV/0!</v>
      </c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29"/>
      <c r="AE58" s="29"/>
      <c r="AF58" s="33">
        <v>0.34</v>
      </c>
      <c r="AG58" s="33"/>
      <c r="AH58" s="33"/>
      <c r="AI58" s="33"/>
      <c r="AJ58" s="33"/>
      <c r="AK58" s="33"/>
      <c r="AL58" s="33"/>
      <c r="AM58" s="33"/>
      <c r="AN58" s="15"/>
      <c r="AO58" s="29"/>
      <c r="AP58" s="33"/>
      <c r="AQ58" s="33"/>
      <c r="AR58" s="33">
        <f>AVERAGE(O58:AQ58)</f>
        <v>0.34</v>
      </c>
      <c r="AS58" s="33"/>
      <c r="AT58" s="33"/>
      <c r="AU58" s="33"/>
      <c r="AV58" s="37"/>
      <c r="AW58" s="37">
        <v>0.435</v>
      </c>
      <c r="AX58" s="37"/>
      <c r="AY58" s="37">
        <v>0.34</v>
      </c>
      <c r="AZ58" s="37"/>
    </row>
    <row r="59" spans="1:52">
      <c r="A59">
        <v>2000</v>
      </c>
      <c r="C59" s="33"/>
      <c r="D59" s="33"/>
      <c r="E59" s="33">
        <v>0.316</v>
      </c>
      <c r="F59" s="33"/>
      <c r="G59" s="33"/>
      <c r="H59" s="33">
        <f t="shared" si="0"/>
        <v>0.316</v>
      </c>
      <c r="I59" s="33"/>
      <c r="J59" s="33"/>
      <c r="K59" s="33"/>
      <c r="L59" s="33"/>
      <c r="M59" s="33"/>
      <c r="N59" s="33" t="e">
        <f>AVERAGE(I59:M59)</f>
        <v>#DIV/0!</v>
      </c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0">
        <v>0.25</v>
      </c>
      <c r="AE59" s="30"/>
      <c r="AF59" s="33"/>
      <c r="AG59" s="33"/>
      <c r="AH59" s="33"/>
      <c r="AI59" s="33"/>
      <c r="AJ59" s="33"/>
      <c r="AK59" s="33"/>
      <c r="AL59" s="33"/>
      <c r="AM59" s="33"/>
      <c r="AN59" s="21">
        <v>0.29070000000000001</v>
      </c>
      <c r="AO59" s="29"/>
      <c r="AP59" s="29">
        <v>0.31338178708849934</v>
      </c>
      <c r="AQ59" s="33"/>
      <c r="AR59" s="33">
        <f>AVERAGE(O59:AQ59)</f>
        <v>0.2846939290294998</v>
      </c>
      <c r="AS59" s="33"/>
      <c r="AT59" s="33"/>
      <c r="AU59" s="33"/>
      <c r="AV59" s="37"/>
      <c r="AW59" s="37">
        <v>0.316</v>
      </c>
      <c r="AX59" s="37"/>
      <c r="AY59" s="37">
        <v>0.2846939290294998</v>
      </c>
      <c r="AZ59" s="37"/>
    </row>
    <row r="60" spans="1:52">
      <c r="A60">
        <v>2001</v>
      </c>
      <c r="C60" s="33"/>
      <c r="D60" s="33"/>
      <c r="E60" s="33"/>
      <c r="F60" s="33"/>
      <c r="G60" s="33"/>
      <c r="H60" s="33" t="e">
        <f t="shared" si="0"/>
        <v>#DIV/0!</v>
      </c>
      <c r="I60" s="33">
        <v>0.38817238125196601</v>
      </c>
      <c r="J60" s="33"/>
      <c r="K60" s="33"/>
      <c r="L60" s="33"/>
      <c r="M60" s="33"/>
      <c r="N60" s="33">
        <f>AVERAGE(I60:M60)</f>
        <v>0.38817238125196601</v>
      </c>
      <c r="O60" s="33"/>
      <c r="P60" s="33"/>
      <c r="Q60" s="33"/>
      <c r="R60" s="33"/>
      <c r="S60" s="33"/>
      <c r="T60" s="33"/>
      <c r="U60" s="33"/>
      <c r="V60" s="33">
        <v>0.42301841602744605</v>
      </c>
      <c r="W60" s="33"/>
      <c r="X60" s="33"/>
      <c r="Y60" s="33"/>
      <c r="Z60" s="33"/>
      <c r="AA60" s="33"/>
      <c r="AB60" s="33"/>
      <c r="AC60" s="33"/>
      <c r="AD60" s="29"/>
      <c r="AE60" s="29"/>
      <c r="AF60" s="33"/>
      <c r="AG60" s="33"/>
      <c r="AH60" s="33"/>
      <c r="AI60" s="33"/>
      <c r="AJ60" s="33"/>
      <c r="AK60" s="33"/>
      <c r="AL60" s="33"/>
      <c r="AM60" s="33"/>
      <c r="AN60" s="15"/>
      <c r="AO60" s="29"/>
      <c r="AP60" s="29"/>
      <c r="AQ60" s="33"/>
      <c r="AR60" s="33">
        <f>AVERAGE(O60:AQ60)</f>
        <v>0.42301841602744605</v>
      </c>
      <c r="AS60" s="33"/>
      <c r="AT60" s="33"/>
      <c r="AU60" s="33"/>
      <c r="AV60" s="37"/>
      <c r="AW60" s="37"/>
      <c r="AX60" s="37">
        <v>0.38817238125196601</v>
      </c>
      <c r="AY60" s="37">
        <v>0.42301841602744605</v>
      </c>
      <c r="AZ60" s="37"/>
    </row>
    <row r="61" spans="1:52">
      <c r="A61">
        <v>2002</v>
      </c>
      <c r="C61" s="33"/>
      <c r="D61" s="33"/>
      <c r="E61" s="33"/>
      <c r="F61" s="33"/>
      <c r="G61" s="33"/>
      <c r="H61" s="33" t="e">
        <f t="shared" si="0"/>
        <v>#DIV/0!</v>
      </c>
      <c r="I61" s="33"/>
      <c r="J61" s="33">
        <v>0.17799999999999999</v>
      </c>
      <c r="K61" s="33"/>
      <c r="L61" s="33"/>
      <c r="M61" s="33"/>
      <c r="N61" s="33">
        <f>AVERAGE(I61:M61)</f>
        <v>0.17799999999999999</v>
      </c>
      <c r="O61" s="33"/>
      <c r="P61" s="33"/>
      <c r="Q61" s="33"/>
      <c r="R61" s="33"/>
      <c r="S61" s="33"/>
      <c r="T61" s="33"/>
      <c r="U61" s="33"/>
      <c r="V61" s="33">
        <v>0.43600012714154029</v>
      </c>
      <c r="W61" s="33"/>
      <c r="X61" s="33"/>
      <c r="Y61" s="33"/>
      <c r="Z61" s="33"/>
      <c r="AA61" s="33"/>
      <c r="AB61" s="33"/>
      <c r="AC61" s="33"/>
      <c r="AD61" s="29"/>
      <c r="AE61" s="29"/>
      <c r="AF61" s="33"/>
      <c r="AG61" s="33"/>
      <c r="AH61" s="33"/>
      <c r="AI61" s="33"/>
      <c r="AJ61" s="33"/>
      <c r="AK61" s="33"/>
      <c r="AL61" s="33"/>
      <c r="AM61" s="33"/>
      <c r="AN61" s="15"/>
      <c r="AO61" s="29"/>
      <c r="AP61" s="29"/>
      <c r="AQ61" s="33">
        <v>0.36</v>
      </c>
      <c r="AR61" s="33">
        <f>AVERAGE(O61:AQ61)</f>
        <v>0.39800006357077011</v>
      </c>
      <c r="AS61" s="33"/>
      <c r="AT61" s="33"/>
      <c r="AU61" s="33"/>
      <c r="AV61" s="37"/>
      <c r="AW61" s="37"/>
      <c r="AX61" s="37">
        <v>0.17799999999999999</v>
      </c>
      <c r="AY61" s="37">
        <v>0.39800006357077011</v>
      </c>
      <c r="AZ61" s="37"/>
    </row>
    <row r="62" spans="1:52">
      <c r="A62">
        <v>2003</v>
      </c>
      <c r="C62" s="33"/>
      <c r="D62" s="33"/>
      <c r="E62" s="33"/>
      <c r="F62" s="33">
        <v>0.43</v>
      </c>
      <c r="G62" s="33"/>
      <c r="H62" s="33">
        <f t="shared" si="0"/>
        <v>0.43</v>
      </c>
      <c r="I62" s="33"/>
      <c r="J62" s="33"/>
      <c r="K62" s="33"/>
      <c r="L62" s="33"/>
      <c r="M62" s="33"/>
      <c r="N62" s="33" t="e">
        <f>AVERAGE(I62:M62)</f>
        <v>#DIV/0!</v>
      </c>
      <c r="O62" s="33"/>
      <c r="P62" s="33"/>
      <c r="Q62" s="33"/>
      <c r="R62" s="33"/>
      <c r="S62" s="33"/>
      <c r="T62" s="33"/>
      <c r="U62" s="33"/>
      <c r="V62" s="33">
        <v>0.44915307012081207</v>
      </c>
      <c r="W62" s="33"/>
      <c r="X62" s="33"/>
      <c r="Y62" s="33"/>
      <c r="Z62" s="33"/>
      <c r="AA62" s="33"/>
      <c r="AB62" s="33"/>
      <c r="AC62" s="33"/>
      <c r="AD62" s="29"/>
      <c r="AE62" s="29"/>
      <c r="AF62" s="33"/>
      <c r="AG62" s="33"/>
      <c r="AH62" s="33"/>
      <c r="AI62" s="33"/>
      <c r="AJ62" s="33"/>
      <c r="AK62" s="33"/>
      <c r="AL62" s="33"/>
      <c r="AM62" s="33"/>
      <c r="AN62" s="15"/>
      <c r="AO62" s="29"/>
      <c r="AP62" s="29"/>
      <c r="AQ62" s="33"/>
      <c r="AR62" s="33">
        <f>AVERAGE(O62:AQ62)</f>
        <v>0.44915307012081207</v>
      </c>
      <c r="AS62" s="33"/>
      <c r="AT62" s="33"/>
      <c r="AU62" s="33"/>
      <c r="AV62" s="37"/>
      <c r="AW62" s="37">
        <v>0.43</v>
      </c>
      <c r="AX62" s="37"/>
      <c r="AY62" s="37">
        <v>0.44915307012081207</v>
      </c>
      <c r="AZ62" s="37"/>
    </row>
    <row r="63" spans="1:52">
      <c r="A63">
        <v>2004</v>
      </c>
      <c r="C63" s="33"/>
      <c r="D63" s="33"/>
      <c r="E63" s="33"/>
      <c r="F63" s="33"/>
      <c r="G63" s="33"/>
      <c r="H63" s="33" t="e">
        <f t="shared" si="0"/>
        <v>#DIV/0!</v>
      </c>
      <c r="I63" s="33"/>
      <c r="J63" s="33"/>
      <c r="K63" s="33"/>
      <c r="L63" s="33"/>
      <c r="M63" s="33"/>
      <c r="N63" s="33" t="e">
        <f>AVERAGE(I63:M63)</f>
        <v>#DIV/0!</v>
      </c>
      <c r="O63" s="33"/>
      <c r="P63" s="33"/>
      <c r="Q63" s="33"/>
      <c r="R63" s="33"/>
      <c r="S63" s="33"/>
      <c r="T63" s="33"/>
      <c r="U63" s="33"/>
      <c r="V63" s="33">
        <v>0.46046511627906977</v>
      </c>
      <c r="W63" s="33"/>
      <c r="X63" s="33"/>
      <c r="Y63" s="33"/>
      <c r="Z63" s="33"/>
      <c r="AA63" s="33"/>
      <c r="AB63" s="33"/>
      <c r="AC63" s="33"/>
      <c r="AD63" s="29"/>
      <c r="AE63" s="29"/>
      <c r="AF63" s="33"/>
      <c r="AG63" s="33"/>
      <c r="AH63" s="33"/>
      <c r="AI63" s="33"/>
      <c r="AJ63" s="33"/>
      <c r="AK63" s="33"/>
      <c r="AL63" s="33"/>
      <c r="AM63" s="33"/>
      <c r="AN63" s="15"/>
      <c r="AO63" s="29"/>
      <c r="AP63" s="29"/>
      <c r="AQ63" s="33"/>
      <c r="AR63" s="33">
        <f>AVERAGE(O63:AQ63)</f>
        <v>0.46046511627906977</v>
      </c>
      <c r="AS63" s="33"/>
      <c r="AT63" s="33"/>
      <c r="AU63" s="33"/>
      <c r="AV63" s="37"/>
      <c r="AW63" s="37"/>
      <c r="AX63" s="37"/>
      <c r="AY63" s="37">
        <v>0.46046511627906977</v>
      </c>
      <c r="AZ63" s="37"/>
    </row>
    <row r="64" spans="1:52">
      <c r="A64">
        <v>2005</v>
      </c>
      <c r="C64" s="33"/>
      <c r="D64" s="33"/>
      <c r="E64" s="33"/>
      <c r="F64" s="33"/>
      <c r="G64" s="33">
        <v>0.45725093943621259</v>
      </c>
      <c r="H64" s="33">
        <f t="shared" si="0"/>
        <v>0.45725093943621259</v>
      </c>
      <c r="I64" s="33"/>
      <c r="J64" s="33"/>
      <c r="K64" s="33"/>
      <c r="L64" s="33"/>
      <c r="M64" s="33"/>
      <c r="N64" s="33" t="e">
        <f>AVERAGE(I64:M64)</f>
        <v>#DIV/0!</v>
      </c>
      <c r="O64" s="33"/>
      <c r="P64" s="33"/>
      <c r="Q64" s="33"/>
      <c r="R64" s="33"/>
      <c r="S64" s="33"/>
      <c r="T64" s="33"/>
      <c r="U64" s="33"/>
      <c r="V64" s="33">
        <v>0.47339060915219855</v>
      </c>
      <c r="W64" s="33"/>
      <c r="X64" s="33"/>
      <c r="Y64" s="33"/>
      <c r="Z64" s="33"/>
      <c r="AA64" s="33"/>
      <c r="AB64" s="33"/>
      <c r="AC64" s="33"/>
      <c r="AD64" s="29"/>
      <c r="AE64" s="29"/>
      <c r="AF64" s="33"/>
      <c r="AG64" s="33"/>
      <c r="AH64" s="33"/>
      <c r="AI64" s="33"/>
      <c r="AJ64" s="33"/>
      <c r="AK64" s="33"/>
      <c r="AL64" s="33"/>
      <c r="AM64" s="33"/>
      <c r="AN64" s="15"/>
      <c r="AO64" s="29"/>
      <c r="AP64" s="29"/>
      <c r="AQ64" s="33"/>
      <c r="AR64" s="33">
        <f>AVERAGE(O64:AQ64)</f>
        <v>0.47339060915219855</v>
      </c>
      <c r="AS64" s="33"/>
      <c r="AT64" s="33"/>
      <c r="AU64" s="33"/>
      <c r="AV64" s="37"/>
      <c r="AW64" s="37">
        <v>0.45725093943621259</v>
      </c>
      <c r="AX64" s="37"/>
      <c r="AY64" s="37">
        <v>0.47339060915219855</v>
      </c>
      <c r="AZ64" s="37"/>
    </row>
    <row r="65" spans="1:52">
      <c r="A65">
        <v>2006</v>
      </c>
      <c r="C65" s="33"/>
      <c r="D65" s="33"/>
      <c r="E65" s="33"/>
      <c r="F65" s="33"/>
      <c r="G65" s="33"/>
      <c r="H65" s="33" t="e">
        <f t="shared" si="0"/>
        <v>#DIV/0!</v>
      </c>
      <c r="I65" s="33">
        <v>0.46</v>
      </c>
      <c r="J65" s="33">
        <v>0.23235079480915061</v>
      </c>
      <c r="K65" s="33"/>
      <c r="L65" s="33"/>
      <c r="M65" s="33"/>
      <c r="N65" s="33">
        <f>AVERAGE(I65:M65)</f>
        <v>0.34617539740457531</v>
      </c>
      <c r="O65" s="33"/>
      <c r="P65" s="33"/>
      <c r="Q65" s="33"/>
      <c r="R65" s="33"/>
      <c r="S65" s="33"/>
      <c r="T65" s="33"/>
      <c r="U65" s="33"/>
      <c r="V65" s="33">
        <v>0.48255932747599173</v>
      </c>
      <c r="W65" s="33"/>
      <c r="X65" s="33"/>
      <c r="Y65" s="33"/>
      <c r="Z65" s="33"/>
      <c r="AA65" s="33"/>
      <c r="AB65" s="33"/>
      <c r="AC65" s="33"/>
      <c r="AD65" s="29"/>
      <c r="AE65" s="29"/>
      <c r="AF65" s="33"/>
      <c r="AG65" s="33"/>
      <c r="AH65" s="33"/>
      <c r="AI65" s="33"/>
      <c r="AJ65" s="33"/>
      <c r="AK65" s="33"/>
      <c r="AL65" s="33"/>
      <c r="AM65" s="33"/>
      <c r="AN65" s="15"/>
      <c r="AO65" s="29"/>
      <c r="AP65" s="29">
        <v>0.39244410177332306</v>
      </c>
      <c r="AQ65" s="33">
        <v>0.41</v>
      </c>
      <c r="AR65" s="33">
        <f>AVERAGE(O65:AQ65)</f>
        <v>0.42833447641643824</v>
      </c>
      <c r="AS65" s="33"/>
      <c r="AT65" s="33"/>
      <c r="AU65" s="33"/>
      <c r="AV65" s="37"/>
      <c r="AW65" s="37"/>
      <c r="AX65" s="37">
        <v>0.34617539740457531</v>
      </c>
      <c r="AY65" s="37">
        <v>0.42833447641643824</v>
      </c>
      <c r="AZ65" s="37"/>
    </row>
    <row r="66" spans="1:52">
      <c r="A66">
        <v>2007</v>
      </c>
      <c r="C66" s="33"/>
      <c r="D66" s="33"/>
      <c r="E66" s="33"/>
      <c r="F66" s="33">
        <v>0.51</v>
      </c>
      <c r="G66" s="33">
        <v>0.48410366654723502</v>
      </c>
      <c r="H66" s="33">
        <f t="shared" si="0"/>
        <v>0.49705183327361752</v>
      </c>
      <c r="I66" s="33"/>
      <c r="J66" s="33"/>
      <c r="K66" s="33"/>
      <c r="L66" s="33"/>
      <c r="M66" s="33"/>
      <c r="N66" s="33" t="e">
        <f>AVERAGE(I66:M66)</f>
        <v>#DIV/0!</v>
      </c>
      <c r="O66" s="33"/>
      <c r="P66" s="33"/>
      <c r="Q66" s="33"/>
      <c r="R66" s="33"/>
      <c r="S66" s="33"/>
      <c r="T66" s="33"/>
      <c r="U66" s="33">
        <v>0.36475510706374598</v>
      </c>
      <c r="V66" s="33">
        <v>0.49516194449272843</v>
      </c>
      <c r="W66" s="33"/>
      <c r="X66" s="33"/>
      <c r="Y66" s="33"/>
      <c r="Z66" s="33"/>
      <c r="AA66" s="33"/>
      <c r="AB66" s="33"/>
      <c r="AC66" s="33"/>
      <c r="AD66" s="29"/>
      <c r="AE66" s="29"/>
      <c r="AF66" s="33"/>
      <c r="AG66" s="33"/>
      <c r="AH66" s="33"/>
      <c r="AI66" s="33"/>
      <c r="AJ66" s="33"/>
      <c r="AK66" s="33"/>
      <c r="AL66" s="33"/>
      <c r="AM66" s="33"/>
      <c r="AN66" s="15"/>
      <c r="AO66" s="29"/>
      <c r="AP66" s="29"/>
      <c r="AQ66" s="33"/>
      <c r="AR66" s="33">
        <f>AVERAGE(O66:AQ66)</f>
        <v>0.42995852577823723</v>
      </c>
      <c r="AS66" s="33"/>
      <c r="AT66" s="33"/>
      <c r="AU66" s="33"/>
      <c r="AV66" s="37"/>
      <c r="AW66" s="37">
        <v>0.49705183327361752</v>
      </c>
      <c r="AX66" s="37"/>
      <c r="AY66" s="37">
        <v>0.42995852577823723</v>
      </c>
      <c r="AZ66" s="37"/>
    </row>
    <row r="67" spans="1:52">
      <c r="A67">
        <v>2008</v>
      </c>
      <c r="C67" s="33"/>
      <c r="D67" s="33"/>
      <c r="E67" s="33"/>
      <c r="F67" s="33"/>
      <c r="G67" s="33">
        <v>0.496528141247078</v>
      </c>
      <c r="H67" s="33">
        <f t="shared" si="0"/>
        <v>0.496528141247078</v>
      </c>
      <c r="I67" s="33"/>
      <c r="J67" s="33"/>
      <c r="K67" s="33"/>
      <c r="L67" s="33">
        <v>0.4212488350419385</v>
      </c>
      <c r="M67" s="33"/>
      <c r="N67" s="33">
        <f>AVERAGE(I67:M67)</f>
        <v>0.4212488350419385</v>
      </c>
      <c r="O67" s="33"/>
      <c r="P67" s="33"/>
      <c r="Q67" s="33"/>
      <c r="R67" s="33"/>
      <c r="S67" s="33"/>
      <c r="T67" s="33"/>
      <c r="U67" s="33"/>
      <c r="V67" s="33">
        <v>0.50649609664368345</v>
      </c>
      <c r="W67" s="33"/>
      <c r="X67" s="33"/>
      <c r="Y67" s="33"/>
      <c r="Z67" s="33">
        <v>0.374</v>
      </c>
      <c r="AA67" s="33"/>
      <c r="AB67" s="33"/>
      <c r="AC67" s="33"/>
      <c r="AD67" s="29"/>
      <c r="AE67" s="29"/>
      <c r="AF67" s="33"/>
      <c r="AG67" s="33"/>
      <c r="AH67" s="33"/>
      <c r="AI67" s="33"/>
      <c r="AJ67" s="33"/>
      <c r="AK67" s="33"/>
      <c r="AL67" s="33"/>
      <c r="AM67" s="33"/>
      <c r="AN67" s="15"/>
      <c r="AO67" s="29"/>
      <c r="AP67" s="29"/>
      <c r="AQ67" s="33"/>
      <c r="AR67" s="33">
        <f>AVERAGE(O67:AQ67)</f>
        <v>0.44024804832184172</v>
      </c>
      <c r="AS67" s="33"/>
      <c r="AT67" s="33"/>
      <c r="AU67" s="33"/>
      <c r="AV67" s="37"/>
      <c r="AW67" s="37">
        <v>0.496528141247078</v>
      </c>
      <c r="AX67" s="37">
        <v>0.4212488350419385</v>
      </c>
      <c r="AY67" s="37">
        <v>0.44024804832184172</v>
      </c>
      <c r="AZ67" s="37"/>
    </row>
    <row r="68" spans="1:52">
      <c r="A68">
        <v>2009</v>
      </c>
      <c r="C68" s="33"/>
      <c r="D68" s="33"/>
      <c r="E68" s="33"/>
      <c r="F68" s="33"/>
      <c r="G68" s="33">
        <v>0.50912520739107703</v>
      </c>
      <c r="H68" s="33">
        <f t="shared" ref="H68:H83" si="1">AVERAGE(E68:G68)</f>
        <v>0.50912520739107703</v>
      </c>
      <c r="I68" s="33"/>
      <c r="J68" s="33"/>
      <c r="K68" s="33"/>
      <c r="L68" s="33"/>
      <c r="M68" s="33"/>
      <c r="N68" s="33" t="e">
        <f>AVERAGE(I68:M68)</f>
        <v>#DIV/0!</v>
      </c>
      <c r="O68" s="33"/>
      <c r="P68" s="33"/>
      <c r="Q68" s="33"/>
      <c r="R68" s="33"/>
      <c r="S68" s="33"/>
      <c r="T68" s="33"/>
      <c r="U68" s="33"/>
      <c r="V68" s="33">
        <v>0.51827836780324199</v>
      </c>
      <c r="W68" s="33"/>
      <c r="X68" s="33"/>
      <c r="Y68" s="33"/>
      <c r="Z68" s="33"/>
      <c r="AA68" s="33"/>
      <c r="AB68" s="33"/>
      <c r="AC68" s="33"/>
      <c r="AD68" s="29"/>
      <c r="AE68" s="29"/>
      <c r="AF68" s="33"/>
      <c r="AG68" s="33"/>
      <c r="AH68" s="33"/>
      <c r="AI68" s="33"/>
      <c r="AJ68" s="33"/>
      <c r="AK68" s="33"/>
      <c r="AL68" s="33"/>
      <c r="AM68" s="33"/>
      <c r="AN68" s="15"/>
      <c r="AO68" s="29"/>
      <c r="AP68" s="29"/>
      <c r="AQ68" s="33"/>
      <c r="AR68" s="33">
        <f t="shared" ref="AR68:AR83" si="2">AVERAGE(O68:AQ68)</f>
        <v>0.51827836780324199</v>
      </c>
      <c r="AS68" s="33"/>
      <c r="AT68" s="33"/>
      <c r="AU68" s="33"/>
      <c r="AV68" s="37"/>
      <c r="AW68" s="37">
        <v>0.50912520739107703</v>
      </c>
      <c r="AX68" s="37"/>
      <c r="AY68" s="37">
        <v>0.51827836780324199</v>
      </c>
      <c r="AZ68" s="37"/>
    </row>
    <row r="69" spans="1:52">
      <c r="A69">
        <v>2010</v>
      </c>
      <c r="C69" s="33"/>
      <c r="D69" s="33"/>
      <c r="E69" s="33">
        <v>0.45</v>
      </c>
      <c r="F69" s="33"/>
      <c r="G69" s="33">
        <v>0.520969834037317</v>
      </c>
      <c r="H69" s="33">
        <f t="shared" si="1"/>
        <v>0.48548491701865848</v>
      </c>
      <c r="I69" s="33"/>
      <c r="J69" s="33"/>
      <c r="K69" s="33"/>
      <c r="L69" s="33"/>
      <c r="M69" s="33"/>
      <c r="N69" s="33" t="e">
        <f>AVERAGE(I69:M69)</f>
        <v>#DIV/0!</v>
      </c>
      <c r="O69" s="33"/>
      <c r="P69" s="33"/>
      <c r="Q69" s="33"/>
      <c r="R69" s="33"/>
      <c r="S69" s="33"/>
      <c r="T69" s="33"/>
      <c r="U69" s="33">
        <v>0.4131784871444541</v>
      </c>
      <c r="V69" s="33">
        <v>0.53012509923079032</v>
      </c>
      <c r="W69" s="33"/>
      <c r="X69" s="33"/>
      <c r="Y69" s="33"/>
      <c r="Z69" s="33"/>
      <c r="AA69" s="33"/>
      <c r="AB69" s="33"/>
      <c r="AC69" s="33"/>
      <c r="AD69" s="29"/>
      <c r="AE69" s="29"/>
      <c r="AF69" s="33"/>
      <c r="AG69" s="33"/>
      <c r="AH69" s="33"/>
      <c r="AI69" s="33"/>
      <c r="AJ69" s="33"/>
      <c r="AK69" s="33"/>
      <c r="AL69" s="33"/>
      <c r="AM69" s="33"/>
      <c r="AN69" s="21">
        <v>0.4229</v>
      </c>
      <c r="AO69" s="29"/>
      <c r="AP69" s="29"/>
      <c r="AQ69" s="33">
        <v>0.49</v>
      </c>
      <c r="AR69" s="33">
        <f t="shared" si="2"/>
        <v>0.4640508965938111</v>
      </c>
      <c r="AS69" s="33"/>
      <c r="AT69" s="33"/>
      <c r="AU69" s="33"/>
      <c r="AV69" s="37"/>
      <c r="AW69" s="37">
        <v>0.48548491701865848</v>
      </c>
      <c r="AX69" s="37"/>
      <c r="AY69" s="37">
        <v>0.4640508965938111</v>
      </c>
      <c r="AZ69" s="37"/>
    </row>
    <row r="70" spans="1:52">
      <c r="A70">
        <v>2011</v>
      </c>
      <c r="C70" s="33">
        <v>0.35</v>
      </c>
      <c r="D70" s="33">
        <v>0.35</v>
      </c>
      <c r="E70" s="33"/>
      <c r="F70" s="33"/>
      <c r="G70" s="33">
        <v>0.53327498460241796</v>
      </c>
      <c r="H70" s="33">
        <f t="shared" si="1"/>
        <v>0.53327498460241796</v>
      </c>
      <c r="I70" s="33"/>
      <c r="J70" s="33"/>
      <c r="K70" s="33"/>
      <c r="L70" s="33"/>
      <c r="M70" s="33"/>
      <c r="N70" s="33" t="e">
        <f>AVERAGE(I70:M70)</f>
        <v>#DIV/0!</v>
      </c>
      <c r="O70" s="33"/>
      <c r="P70" s="33"/>
      <c r="Q70" s="33"/>
      <c r="R70" s="33"/>
      <c r="S70" s="33"/>
      <c r="T70" s="33"/>
      <c r="U70" s="33"/>
      <c r="V70" s="33">
        <v>0.54321749631021066</v>
      </c>
      <c r="W70" s="33"/>
      <c r="X70" s="33"/>
      <c r="Y70" s="33"/>
      <c r="Z70" s="33"/>
      <c r="AA70" s="33"/>
      <c r="AB70" s="33"/>
      <c r="AC70" s="33"/>
      <c r="AD70" s="29"/>
      <c r="AE70" s="29"/>
      <c r="AF70" s="33"/>
      <c r="AG70" s="33"/>
      <c r="AH70" s="33"/>
      <c r="AI70" s="33"/>
      <c r="AJ70" s="33"/>
      <c r="AK70" s="33"/>
      <c r="AL70" s="33"/>
      <c r="AM70" s="33"/>
      <c r="AN70" s="15"/>
      <c r="AO70" s="29"/>
      <c r="AP70" s="29"/>
      <c r="AQ70" s="33"/>
      <c r="AR70" s="33">
        <f t="shared" si="2"/>
        <v>0.54321749631021066</v>
      </c>
      <c r="AS70" s="33"/>
      <c r="AT70" s="33"/>
      <c r="AU70" s="33"/>
      <c r="AV70" s="37">
        <v>0.35</v>
      </c>
      <c r="AW70" s="37">
        <v>0.53327498460241796</v>
      </c>
      <c r="AX70" s="37"/>
      <c r="AY70" s="37">
        <v>0.54321749631021066</v>
      </c>
      <c r="AZ70" s="37"/>
    </row>
    <row r="71" spans="1:52">
      <c r="A71">
        <v>2012</v>
      </c>
      <c r="C71" s="33"/>
      <c r="D71" s="33"/>
      <c r="E71" s="33"/>
      <c r="F71" s="33"/>
      <c r="G71" s="33">
        <v>0.54068025249456797</v>
      </c>
      <c r="H71" s="33">
        <f t="shared" si="1"/>
        <v>0.54068025249456797</v>
      </c>
      <c r="I71" s="33">
        <v>0.59679878048780488</v>
      </c>
      <c r="J71" s="33">
        <v>0.28054700449917119</v>
      </c>
      <c r="K71" s="33"/>
      <c r="L71" s="33"/>
      <c r="M71" s="33"/>
      <c r="N71" s="33">
        <f>AVERAGE(I71:M71)</f>
        <v>0.43867289249348806</v>
      </c>
      <c r="O71" s="33"/>
      <c r="P71" s="33"/>
      <c r="Q71" s="33"/>
      <c r="R71" s="33"/>
      <c r="S71" s="33"/>
      <c r="T71" s="33"/>
      <c r="U71" s="33">
        <v>0.43971800693033813</v>
      </c>
      <c r="V71" s="33">
        <v>0.55529584788717601</v>
      </c>
      <c r="W71" s="33"/>
      <c r="X71" s="33"/>
      <c r="Y71" s="33"/>
      <c r="Z71" s="33"/>
      <c r="AA71" s="33"/>
      <c r="AB71" s="33"/>
      <c r="AC71" s="33"/>
      <c r="AD71" s="29"/>
      <c r="AE71" s="29"/>
      <c r="AF71" s="33"/>
      <c r="AG71" s="33"/>
      <c r="AH71" s="33"/>
      <c r="AI71" s="33"/>
      <c r="AJ71" s="33"/>
      <c r="AK71" s="33"/>
      <c r="AL71" s="33"/>
      <c r="AM71" s="33"/>
      <c r="AN71" s="15"/>
      <c r="AO71" s="29"/>
      <c r="AP71" s="29"/>
      <c r="AQ71" s="33"/>
      <c r="AR71" s="33">
        <f t="shared" si="2"/>
        <v>0.49750692740875707</v>
      </c>
      <c r="AS71" s="33"/>
      <c r="AT71" s="33"/>
      <c r="AU71" s="33"/>
      <c r="AV71" s="37"/>
      <c r="AW71" s="37">
        <v>0.54068025249456797</v>
      </c>
      <c r="AX71" s="37">
        <v>0.43867289249348806</v>
      </c>
      <c r="AY71" s="37">
        <v>0.49750692740875707</v>
      </c>
      <c r="AZ71" s="37"/>
    </row>
    <row r="72" spans="1:52">
      <c r="A72">
        <v>2013</v>
      </c>
      <c r="C72" s="33"/>
      <c r="D72" s="33"/>
      <c r="E72" s="33"/>
      <c r="F72" s="33"/>
      <c r="G72" s="33">
        <v>0.55408142799839599</v>
      </c>
      <c r="H72" s="33">
        <f t="shared" si="1"/>
        <v>0.55408142799839599</v>
      </c>
      <c r="I72" s="33">
        <v>0.59506057781919852</v>
      </c>
      <c r="J72" s="33"/>
      <c r="K72" s="33"/>
      <c r="L72" s="33">
        <v>0.47</v>
      </c>
      <c r="M72" s="33">
        <v>0.21199633699633699</v>
      </c>
      <c r="N72" s="33">
        <f>AVERAGE(I72:M72)</f>
        <v>0.42568563827184519</v>
      </c>
      <c r="O72" s="33"/>
      <c r="P72" s="33"/>
      <c r="Q72" s="33"/>
      <c r="R72" s="33"/>
      <c r="S72" s="33"/>
      <c r="T72" s="33"/>
      <c r="U72" s="33"/>
      <c r="V72" s="33">
        <v>0.56608639587362997</v>
      </c>
      <c r="W72" s="33"/>
      <c r="X72" s="33"/>
      <c r="Y72" s="33"/>
      <c r="Z72" s="33"/>
      <c r="AA72" s="33"/>
      <c r="AB72" s="33"/>
      <c r="AC72" s="33"/>
      <c r="AD72" s="29"/>
      <c r="AE72" s="29"/>
      <c r="AF72" s="33"/>
      <c r="AG72" s="33"/>
      <c r="AH72" s="33"/>
      <c r="AI72" s="33"/>
      <c r="AJ72" s="33"/>
      <c r="AK72" s="33"/>
      <c r="AL72" s="33"/>
      <c r="AM72" s="33"/>
      <c r="AN72" s="15"/>
      <c r="AO72" s="29"/>
      <c r="AP72" s="29"/>
      <c r="AQ72" s="33"/>
      <c r="AR72" s="33">
        <f t="shared" si="2"/>
        <v>0.56608639587362997</v>
      </c>
      <c r="AS72" s="33"/>
      <c r="AT72" s="33"/>
      <c r="AU72" s="33"/>
      <c r="AV72" s="37"/>
      <c r="AW72" s="37">
        <v>0.55408142799839599</v>
      </c>
      <c r="AX72" s="37">
        <v>0.42568563827184519</v>
      </c>
      <c r="AY72" s="37">
        <v>0.56608639587362997</v>
      </c>
      <c r="AZ72" s="37"/>
    </row>
    <row r="73" spans="1:52">
      <c r="A73">
        <v>2014</v>
      </c>
      <c r="C73" s="33"/>
      <c r="D73" s="33"/>
      <c r="E73" s="33"/>
      <c r="F73" s="33"/>
      <c r="G73" s="33">
        <v>0.56683855999532096</v>
      </c>
      <c r="H73" s="33">
        <f t="shared" si="1"/>
        <v>0.56683855999532096</v>
      </c>
      <c r="I73" s="33">
        <v>0.59852356615559343</v>
      </c>
      <c r="J73" s="33">
        <v>0.29648604839643394</v>
      </c>
      <c r="K73" s="33"/>
      <c r="L73" s="33"/>
      <c r="M73" s="33">
        <v>0.22391857506361301</v>
      </c>
      <c r="N73" s="33">
        <f ca="1">AVERAGE(I73:AT73)</f>
        <v>0.3272320474039101</v>
      </c>
      <c r="O73" s="33"/>
      <c r="P73" s="30">
        <v>0.4</v>
      </c>
      <c r="Q73" s="33"/>
      <c r="R73" s="33">
        <v>0.63</v>
      </c>
      <c r="S73" s="33">
        <v>0.53</v>
      </c>
      <c r="T73" s="33">
        <v>0.87</v>
      </c>
      <c r="U73" s="33">
        <v>0.49</v>
      </c>
      <c r="V73" s="33">
        <v>0.57593733363753896</v>
      </c>
      <c r="W73" s="33"/>
      <c r="X73" s="33">
        <v>0.56000000000000005</v>
      </c>
      <c r="Y73" s="30">
        <v>0.41</v>
      </c>
      <c r="Z73" s="33">
        <v>0.49</v>
      </c>
      <c r="AA73" s="30">
        <v>0.74</v>
      </c>
      <c r="AB73" s="30"/>
      <c r="AC73" s="30">
        <v>0.61</v>
      </c>
      <c r="AD73" s="30">
        <v>0.49</v>
      </c>
      <c r="AE73" s="30">
        <v>0.19</v>
      </c>
      <c r="AF73" s="33"/>
      <c r="AG73" s="30">
        <v>0.38</v>
      </c>
      <c r="AH73" s="30">
        <v>0.62</v>
      </c>
      <c r="AI73" s="30">
        <v>0.31</v>
      </c>
      <c r="AJ73" s="30"/>
      <c r="AK73" s="30">
        <v>0.28000000000000003</v>
      </c>
      <c r="AL73" s="30">
        <v>0.28000000000000003</v>
      </c>
      <c r="AM73" s="30"/>
      <c r="AN73" s="15">
        <v>0.52</v>
      </c>
      <c r="AO73" s="30">
        <v>0.8</v>
      </c>
      <c r="AP73" s="30">
        <v>0.52</v>
      </c>
      <c r="AQ73" s="33">
        <v>0.56999999999999995</v>
      </c>
      <c r="AR73" s="33">
        <f t="shared" si="2"/>
        <v>0.51208806061988821</v>
      </c>
      <c r="AS73" s="33">
        <v>0.38190000000000002</v>
      </c>
      <c r="AT73" s="33">
        <v>0.19</v>
      </c>
      <c r="AU73" s="33">
        <f>AVERAGE(AS73:AT73)</f>
        <v>0.28595000000000004</v>
      </c>
      <c r="AV73" s="37"/>
      <c r="AW73" s="37">
        <v>0.56683855999532096</v>
      </c>
      <c r="AX73" s="37">
        <v>0.3272320474039101</v>
      </c>
      <c r="AY73" s="37">
        <v>0.51208806061988821</v>
      </c>
      <c r="AZ73" s="37">
        <v>0.28595000000000004</v>
      </c>
    </row>
    <row r="74" spans="1:52">
      <c r="A74">
        <v>2015</v>
      </c>
      <c r="C74" s="33"/>
      <c r="D74" s="33"/>
      <c r="E74" s="33"/>
      <c r="F74" s="33"/>
      <c r="G74" s="33">
        <v>0.57886444313673402</v>
      </c>
      <c r="H74" s="33">
        <f t="shared" si="1"/>
        <v>0.57886444313673402</v>
      </c>
      <c r="I74" s="33"/>
      <c r="J74" s="33"/>
      <c r="K74" s="33"/>
      <c r="L74" s="33"/>
      <c r="M74" s="33">
        <v>0.24149659863945599</v>
      </c>
      <c r="N74" s="33">
        <f>AVERAGE(I74:M74)</f>
        <v>0.24149659863945599</v>
      </c>
      <c r="O74" s="33"/>
      <c r="P74" s="33"/>
      <c r="Q74" s="33"/>
      <c r="R74" s="33"/>
      <c r="S74" s="33"/>
      <c r="T74" s="33"/>
      <c r="U74" s="33">
        <v>0.4856226498562265</v>
      </c>
      <c r="V74" s="33">
        <v>0.58581241413762952</v>
      </c>
      <c r="W74" s="33"/>
      <c r="X74" s="33"/>
      <c r="Y74" s="33"/>
      <c r="Z74" s="33"/>
      <c r="AA74" s="33"/>
      <c r="AB74" s="33"/>
      <c r="AC74" s="33"/>
      <c r="AD74" s="29"/>
      <c r="AE74" s="33"/>
      <c r="AF74" s="33"/>
      <c r="AG74" s="33"/>
      <c r="AH74" s="33"/>
      <c r="AI74" s="33"/>
      <c r="AJ74" s="33"/>
      <c r="AK74" s="33"/>
      <c r="AL74" s="33"/>
      <c r="AM74" s="33"/>
      <c r="AN74" s="15"/>
      <c r="AO74" s="1"/>
      <c r="AP74" s="29"/>
      <c r="AQ74" s="33"/>
      <c r="AR74" s="33">
        <f t="shared" si="2"/>
        <v>0.53571753199692806</v>
      </c>
      <c r="AS74" s="33"/>
      <c r="AT74" s="33"/>
      <c r="AU74" s="33"/>
      <c r="AV74" s="37"/>
      <c r="AW74" s="37">
        <v>0.57886444313673402</v>
      </c>
      <c r="AX74" s="37">
        <v>0.24149659863945599</v>
      </c>
      <c r="AY74" s="37">
        <v>0.53571753199692806</v>
      </c>
      <c r="AZ74" s="37"/>
    </row>
    <row r="75" spans="1:52">
      <c r="A75">
        <v>2016</v>
      </c>
      <c r="C75" s="33"/>
      <c r="D75" s="33"/>
      <c r="E75" s="33"/>
      <c r="F75" s="33"/>
      <c r="G75" s="33">
        <v>0.59129589332839505</v>
      </c>
      <c r="H75" s="33">
        <f t="shared" si="1"/>
        <v>0.59129589332839505</v>
      </c>
      <c r="I75" s="33">
        <v>0.61586508432229858</v>
      </c>
      <c r="J75" s="33">
        <v>0.31144313180449384</v>
      </c>
      <c r="K75" s="33"/>
      <c r="L75" s="33"/>
      <c r="M75" s="33">
        <v>0.248715313463515</v>
      </c>
      <c r="N75" s="33">
        <f>AVERAGE(I75:M75)</f>
        <v>0.39200784319676912</v>
      </c>
      <c r="O75" s="33"/>
      <c r="P75" s="33"/>
      <c r="Q75" s="33"/>
      <c r="R75" s="33"/>
      <c r="S75" s="33"/>
      <c r="T75" s="33"/>
      <c r="U75" s="33">
        <v>0.4977133726376109</v>
      </c>
      <c r="V75" s="33">
        <v>0.59654662062160824</v>
      </c>
      <c r="W75" s="33"/>
      <c r="X75" s="33"/>
      <c r="Y75" s="33"/>
      <c r="Z75" s="33"/>
      <c r="AA75" s="33"/>
      <c r="AB75" s="33"/>
      <c r="AC75" s="33"/>
      <c r="AD75" s="30">
        <v>0.56999999999999995</v>
      </c>
      <c r="AE75" s="33"/>
      <c r="AF75" s="33"/>
      <c r="AG75" s="33"/>
      <c r="AH75" s="33"/>
      <c r="AI75" s="33"/>
      <c r="AJ75" s="33"/>
      <c r="AK75" s="33"/>
      <c r="AL75" s="33"/>
      <c r="AM75" s="33"/>
      <c r="AN75" s="15"/>
      <c r="AO75" s="29"/>
      <c r="AP75" s="29"/>
      <c r="AQ75" s="33"/>
      <c r="AR75" s="33">
        <f t="shared" si="2"/>
        <v>0.55475333108640645</v>
      </c>
      <c r="AS75" s="33"/>
      <c r="AT75" s="33"/>
      <c r="AU75" s="33"/>
      <c r="AV75" s="37"/>
      <c r="AW75" s="37">
        <v>0.59129589332839505</v>
      </c>
      <c r="AX75" s="37">
        <v>0.39200784319676912</v>
      </c>
      <c r="AY75" s="37">
        <v>0.55475333108640645</v>
      </c>
      <c r="AZ75" s="37"/>
    </row>
    <row r="76" spans="1:52">
      <c r="A76">
        <v>2017</v>
      </c>
      <c r="C76" s="33"/>
      <c r="D76" s="33"/>
      <c r="E76" s="33">
        <v>0.49055637422276532</v>
      </c>
      <c r="F76" s="33">
        <v>0.55894039735099299</v>
      </c>
      <c r="G76" s="33">
        <v>0.60373107996851605</v>
      </c>
      <c r="H76" s="33">
        <f t="shared" si="1"/>
        <v>0.55107595051409142</v>
      </c>
      <c r="I76" s="33"/>
      <c r="J76" s="33"/>
      <c r="K76" s="33"/>
      <c r="L76" s="33"/>
      <c r="M76" s="33">
        <v>0.238520801232666</v>
      </c>
      <c r="N76" s="33">
        <f>AVERAGE(I76:M76)</f>
        <v>0.238520801232666</v>
      </c>
      <c r="O76" s="33">
        <v>0.57999999999999996</v>
      </c>
      <c r="P76" s="33"/>
      <c r="Q76" s="33"/>
      <c r="R76" s="33"/>
      <c r="S76" s="33"/>
      <c r="T76" s="33"/>
      <c r="U76" s="33">
        <v>0.51420315140941064</v>
      </c>
      <c r="V76" s="33">
        <v>0.60606792015640465</v>
      </c>
      <c r="W76" s="33"/>
      <c r="X76" s="33"/>
      <c r="Y76" s="33"/>
      <c r="Z76" s="33"/>
      <c r="AA76" s="33"/>
      <c r="AB76" s="33"/>
      <c r="AC76" s="33"/>
      <c r="AD76" s="29"/>
      <c r="AE76" s="33"/>
      <c r="AF76" s="33">
        <v>0.69199999999999995</v>
      </c>
      <c r="AG76" s="33"/>
      <c r="AH76" s="33"/>
      <c r="AI76" s="33"/>
      <c r="AJ76" s="33"/>
      <c r="AK76" s="33"/>
      <c r="AL76" s="33"/>
      <c r="AM76" s="33"/>
      <c r="AN76" s="30"/>
      <c r="AO76" s="29"/>
      <c r="AP76" s="29">
        <v>0.55159999999999998</v>
      </c>
      <c r="AQ76" s="33"/>
      <c r="AR76" s="33">
        <f t="shared" si="2"/>
        <v>0.58877421431316312</v>
      </c>
      <c r="AS76" s="33"/>
      <c r="AT76" s="33"/>
      <c r="AU76" s="33"/>
      <c r="AV76" s="37"/>
      <c r="AW76" s="37">
        <v>0.55107595051409142</v>
      </c>
      <c r="AX76" s="37">
        <v>0.238520801232666</v>
      </c>
      <c r="AY76" s="37">
        <v>0.58877421431316312</v>
      </c>
      <c r="AZ76" s="37"/>
    </row>
    <row r="77" spans="1:52">
      <c r="A77">
        <v>2018</v>
      </c>
      <c r="C77" s="33"/>
      <c r="D77" s="33"/>
      <c r="E77" s="33">
        <v>0.50373159026973358</v>
      </c>
      <c r="F77" s="33">
        <v>0.57999999999999996</v>
      </c>
      <c r="G77" s="33">
        <v>0.61650528246644398</v>
      </c>
      <c r="H77" s="33">
        <f t="shared" si="1"/>
        <v>0.56674562424539243</v>
      </c>
      <c r="I77" s="33">
        <v>0.66666666666666663</v>
      </c>
      <c r="J77" s="33">
        <v>0.32742333550821251</v>
      </c>
      <c r="K77" s="33"/>
      <c r="L77" s="33">
        <v>0.59393939393939399</v>
      </c>
      <c r="M77" s="33">
        <v>0.25302419354838701</v>
      </c>
      <c r="N77" s="33">
        <f>AVERAGE(I77:M77)</f>
        <v>0.46026339741566502</v>
      </c>
      <c r="O77" s="33"/>
      <c r="P77" s="30">
        <v>0.49</v>
      </c>
      <c r="Q77" s="33"/>
      <c r="R77" s="33">
        <v>0.65</v>
      </c>
      <c r="S77" s="33">
        <v>0.73</v>
      </c>
      <c r="T77" s="33">
        <v>0.89</v>
      </c>
      <c r="U77" s="33">
        <v>0.52647185680396813</v>
      </c>
      <c r="V77" s="33">
        <v>0.61404133153012075</v>
      </c>
      <c r="W77" s="33">
        <v>0.36</v>
      </c>
      <c r="X77" s="33">
        <v>0.65</v>
      </c>
      <c r="Y77" s="33"/>
      <c r="Z77" s="33">
        <v>0.46500000000000002</v>
      </c>
      <c r="AA77" s="30">
        <v>0.83</v>
      </c>
      <c r="AB77" s="30"/>
      <c r="AC77" s="30">
        <v>0.68</v>
      </c>
      <c r="AD77" s="30">
        <v>0.53</v>
      </c>
      <c r="AE77" s="30">
        <v>0.32</v>
      </c>
      <c r="AF77" s="33"/>
      <c r="AG77" s="30">
        <v>0.57999999999999996</v>
      </c>
      <c r="AH77" s="30">
        <v>0.7</v>
      </c>
      <c r="AI77" s="30">
        <v>0.32</v>
      </c>
      <c r="AJ77" s="30">
        <v>0.79</v>
      </c>
      <c r="AK77" s="30">
        <v>0.32</v>
      </c>
      <c r="AL77" s="30">
        <v>0.48</v>
      </c>
      <c r="AM77" s="30">
        <v>0.55000000000000004</v>
      </c>
      <c r="AN77" s="30">
        <v>0.62</v>
      </c>
      <c r="AO77" s="30">
        <v>0.82</v>
      </c>
      <c r="AP77" s="29">
        <v>0.55969999999999998</v>
      </c>
      <c r="AQ77" s="33">
        <v>0.55000000000000004</v>
      </c>
      <c r="AR77" s="33">
        <f t="shared" si="2"/>
        <v>0.58438388284725373</v>
      </c>
      <c r="AS77" s="33"/>
      <c r="AT77" s="33"/>
      <c r="AU77" s="33"/>
      <c r="AV77" s="37"/>
      <c r="AW77" s="37">
        <v>0.56674562424539243</v>
      </c>
      <c r="AX77" s="37">
        <v>0.46026339741566502</v>
      </c>
      <c r="AY77" s="37">
        <v>0.58438388284725373</v>
      </c>
      <c r="AZ77" s="37"/>
    </row>
    <row r="78" spans="1:52">
      <c r="A78">
        <v>2019</v>
      </c>
      <c r="C78" s="33"/>
      <c r="D78" s="33"/>
      <c r="E78" s="33">
        <v>0.52070597589240841</v>
      </c>
      <c r="F78" s="33">
        <v>0.63</v>
      </c>
      <c r="G78" s="33">
        <v>0.62819684557803801</v>
      </c>
      <c r="H78" s="33">
        <f t="shared" si="1"/>
        <v>0.59296760715681551</v>
      </c>
      <c r="I78" s="33"/>
      <c r="J78" s="33"/>
      <c r="K78" s="33"/>
      <c r="L78" s="33"/>
      <c r="M78" s="33">
        <v>0.26072041166380799</v>
      </c>
      <c r="N78" s="33">
        <f>AVERAGE(I78:M78)</f>
        <v>0.26072041166380799</v>
      </c>
      <c r="O78" s="33"/>
      <c r="P78" s="33"/>
      <c r="Q78" s="33"/>
      <c r="R78" s="33"/>
      <c r="S78" s="33"/>
      <c r="T78" s="33"/>
      <c r="U78" s="33">
        <v>0.54175055632086466</v>
      </c>
      <c r="V78" s="33">
        <v>0.62150834718677561</v>
      </c>
      <c r="W78" s="33"/>
      <c r="X78" s="33"/>
      <c r="Y78" s="33"/>
      <c r="Z78" s="33"/>
      <c r="AA78" s="33"/>
      <c r="AB78" s="33"/>
      <c r="AC78" s="33"/>
      <c r="AD78" s="29"/>
      <c r="AE78" s="33"/>
      <c r="AF78" s="33"/>
      <c r="AG78" s="33"/>
      <c r="AH78" s="33"/>
      <c r="AI78" s="33"/>
      <c r="AJ78" s="33"/>
      <c r="AK78" s="33"/>
      <c r="AL78" s="33"/>
      <c r="AM78" s="33"/>
      <c r="AN78" s="30">
        <v>0.50070000000000003</v>
      </c>
      <c r="AO78" s="29">
        <v>0.75</v>
      </c>
      <c r="AP78" s="29"/>
      <c r="AQ78" s="33">
        <v>0.59099999999999997</v>
      </c>
      <c r="AR78" s="33">
        <f t="shared" si="2"/>
        <v>0.60099178070152814</v>
      </c>
      <c r="AS78" s="33"/>
      <c r="AT78" s="33"/>
      <c r="AU78" s="33"/>
      <c r="AV78" s="37"/>
      <c r="AW78" s="37">
        <v>0.59296760715681551</v>
      </c>
      <c r="AX78" s="37">
        <v>0.26072041166380799</v>
      </c>
      <c r="AY78" s="37">
        <v>0.60099178070152814</v>
      </c>
      <c r="AZ78" s="37"/>
    </row>
    <row r="79" spans="1:52">
      <c r="A79">
        <v>2020</v>
      </c>
      <c r="B79" s="33">
        <v>9.9000000000000005E-2</v>
      </c>
      <c r="C79" s="33"/>
      <c r="D79" s="33">
        <v>9.9000000000000005E-2</v>
      </c>
      <c r="E79" s="33">
        <v>0.53611460027867586</v>
      </c>
      <c r="F79" s="33">
        <v>0.61</v>
      </c>
      <c r="G79" s="33">
        <v>0.63983679525222503</v>
      </c>
      <c r="H79" s="33">
        <f t="shared" si="1"/>
        <v>0.59531713184363366</v>
      </c>
      <c r="I79" s="33"/>
      <c r="J79" s="33">
        <v>0.34382931250871568</v>
      </c>
      <c r="K79" s="33">
        <v>0.13</v>
      </c>
      <c r="L79" s="33"/>
      <c r="M79" s="33"/>
      <c r="N79" s="33">
        <f>AVERAGE(I79:M79)</f>
        <v>0.23691465625435784</v>
      </c>
      <c r="O79" s="33"/>
      <c r="P79" s="33"/>
      <c r="Q79" s="33"/>
      <c r="R79" s="33"/>
      <c r="S79" s="33"/>
      <c r="T79" s="33"/>
      <c r="U79" s="33">
        <v>0.55616999487967234</v>
      </c>
      <c r="V79" s="33">
        <v>0.6327512022272842</v>
      </c>
      <c r="W79" s="33"/>
      <c r="X79" s="33"/>
      <c r="Y79" s="33"/>
      <c r="Z79" s="33"/>
      <c r="AA79" s="33"/>
      <c r="AB79" s="33"/>
      <c r="AC79" s="33"/>
      <c r="AD79" s="29"/>
      <c r="AE79" s="33"/>
      <c r="AF79" s="33"/>
      <c r="AG79" s="30"/>
      <c r="AH79" s="33"/>
      <c r="AI79" s="33"/>
      <c r="AJ79" s="33"/>
      <c r="AK79" s="33"/>
      <c r="AL79" s="33"/>
      <c r="AM79" s="33"/>
      <c r="AN79" s="30">
        <v>0.50968266411172081</v>
      </c>
      <c r="AO79" s="29"/>
      <c r="AP79" s="29"/>
      <c r="AQ79" s="33"/>
      <c r="AR79" s="33">
        <f t="shared" si="2"/>
        <v>0.56620128707289252</v>
      </c>
      <c r="AS79" s="33"/>
      <c r="AT79" s="33"/>
      <c r="AU79" s="33"/>
      <c r="AV79" s="37">
        <v>9.9000000000000005E-2</v>
      </c>
      <c r="AW79" s="37">
        <v>0.59531713184363366</v>
      </c>
      <c r="AX79" s="37">
        <v>0.23691465625435784</v>
      </c>
      <c r="AY79" s="37">
        <v>0.56620128707289252</v>
      </c>
      <c r="AZ79" s="37"/>
    </row>
    <row r="80" spans="1:52">
      <c r="A80">
        <v>2021</v>
      </c>
      <c r="C80" s="33"/>
      <c r="D80" s="33"/>
      <c r="E80" s="33"/>
      <c r="F80" s="33">
        <v>0.62</v>
      </c>
      <c r="G80" s="33">
        <v>0.6507850256460922</v>
      </c>
      <c r="H80" s="33">
        <f t="shared" si="1"/>
        <v>0.6353925128230461</v>
      </c>
      <c r="I80" s="33"/>
      <c r="J80" s="33"/>
      <c r="K80" s="33"/>
      <c r="L80" s="33"/>
      <c r="M80" s="33"/>
      <c r="N80" s="33" t="e">
        <f>AVERAGE(I80:M80)</f>
        <v>#DIV/0!</v>
      </c>
      <c r="O80" s="33"/>
      <c r="P80" s="33"/>
      <c r="Q80" s="33"/>
      <c r="R80" s="33"/>
      <c r="S80" s="33"/>
      <c r="T80" s="33"/>
      <c r="U80" s="33">
        <v>0.57137198593850569</v>
      </c>
      <c r="V80" s="33">
        <v>0.64003723126518197</v>
      </c>
      <c r="W80" s="33"/>
      <c r="X80" s="33"/>
      <c r="Y80" s="33"/>
      <c r="Z80" s="33"/>
      <c r="AA80" s="33"/>
      <c r="AB80" s="33"/>
      <c r="AC80" s="33"/>
      <c r="AD80" s="29"/>
      <c r="AE80" s="33"/>
      <c r="AF80" s="33"/>
      <c r="AG80" s="33"/>
      <c r="AH80" s="33"/>
      <c r="AI80" s="33"/>
      <c r="AJ80" s="33"/>
      <c r="AK80" s="33"/>
      <c r="AL80" s="33"/>
      <c r="AM80" s="33"/>
      <c r="AN80" s="30">
        <v>0.51600000000000001</v>
      </c>
      <c r="AO80" s="29"/>
      <c r="AP80" s="29"/>
      <c r="AQ80" s="33"/>
      <c r="AR80" s="33">
        <f t="shared" si="2"/>
        <v>0.57580307240122919</v>
      </c>
      <c r="AS80" s="33"/>
      <c r="AT80" s="33"/>
      <c r="AU80" s="33"/>
      <c r="AV80" s="37"/>
      <c r="AW80" s="37">
        <v>0.6353925128230461</v>
      </c>
      <c r="AX80" s="37"/>
      <c r="AY80" s="37">
        <v>0.57580307240122919</v>
      </c>
      <c r="AZ80" s="37"/>
    </row>
    <row r="81" spans="1:52">
      <c r="A81">
        <v>2022</v>
      </c>
      <c r="C81" s="33"/>
      <c r="D81" s="33"/>
      <c r="E81" s="33"/>
      <c r="F81" s="33"/>
      <c r="G81" s="33">
        <v>0.66121271228106937</v>
      </c>
      <c r="H81" s="33">
        <f t="shared" si="1"/>
        <v>0.66121271228106937</v>
      </c>
      <c r="I81" s="33"/>
      <c r="J81" s="33"/>
      <c r="K81" s="33"/>
      <c r="L81" s="33"/>
      <c r="M81" s="33"/>
      <c r="N81" s="33" t="e">
        <f>AVERAGE(I81:M81)</f>
        <v>#DIV/0!</v>
      </c>
      <c r="O81" s="33"/>
      <c r="P81" s="33"/>
      <c r="Q81" s="33"/>
      <c r="R81" s="33"/>
      <c r="S81" s="33"/>
      <c r="T81" s="33"/>
      <c r="U81" s="33">
        <v>0.58563615428900406</v>
      </c>
      <c r="V81" s="33">
        <v>0.6477430633376664</v>
      </c>
      <c r="W81" s="33"/>
      <c r="X81" s="33"/>
      <c r="Y81" s="33"/>
      <c r="Z81" s="33"/>
      <c r="AA81" s="33"/>
      <c r="AB81" s="33"/>
      <c r="AC81" s="33"/>
      <c r="AD81" s="29"/>
      <c r="AE81" s="33"/>
      <c r="AF81" s="33"/>
      <c r="AG81" s="33"/>
      <c r="AH81" s="33"/>
      <c r="AI81" s="33"/>
      <c r="AJ81" s="33"/>
      <c r="AK81" s="33"/>
      <c r="AL81" s="33"/>
      <c r="AM81" s="33"/>
      <c r="AN81" s="29"/>
      <c r="AO81" s="30"/>
      <c r="AP81" s="29"/>
      <c r="AQ81" s="33"/>
      <c r="AR81" s="33">
        <f t="shared" si="2"/>
        <v>0.61668960881333523</v>
      </c>
      <c r="AS81" s="33"/>
      <c r="AT81" s="33"/>
      <c r="AU81" s="33"/>
      <c r="AV81" s="37"/>
      <c r="AW81" s="37">
        <v>0.66121271228106937</v>
      </c>
      <c r="AX81" s="37"/>
      <c r="AY81" s="37">
        <v>0.61668960881333523</v>
      </c>
      <c r="AZ81" s="37"/>
    </row>
    <row r="82" spans="1:52">
      <c r="A82">
        <v>2023</v>
      </c>
      <c r="C82" s="33"/>
      <c r="D82" s="33"/>
      <c r="E82" s="33"/>
      <c r="F82" s="33"/>
      <c r="G82" s="33">
        <v>0.67125248759153944</v>
      </c>
      <c r="H82" s="33">
        <f t="shared" si="1"/>
        <v>0.67125248759153944</v>
      </c>
      <c r="I82" s="33"/>
      <c r="J82" s="33"/>
      <c r="K82" s="33"/>
      <c r="L82" s="33"/>
      <c r="M82" s="33"/>
      <c r="N82" s="33" t="e">
        <f>AVERAGE(I82:M82)</f>
        <v>#DIV/0!</v>
      </c>
      <c r="O82" s="33"/>
      <c r="P82" s="30">
        <v>0.5</v>
      </c>
      <c r="Q82" s="33">
        <v>0.68</v>
      </c>
      <c r="R82" s="33">
        <v>0.79</v>
      </c>
      <c r="S82" s="33">
        <v>0.75</v>
      </c>
      <c r="T82" s="33">
        <v>0.93</v>
      </c>
      <c r="U82" s="33">
        <v>0.6</v>
      </c>
      <c r="V82" s="33">
        <v>0.65746296747337418</v>
      </c>
      <c r="W82" s="33">
        <v>0.27</v>
      </c>
      <c r="X82" s="33"/>
      <c r="Y82" s="33"/>
      <c r="Z82" s="33">
        <v>0.64</v>
      </c>
      <c r="AA82" s="33"/>
      <c r="AB82" s="30">
        <v>0.71</v>
      </c>
      <c r="AC82" s="30">
        <v>0.68</v>
      </c>
      <c r="AD82" s="30">
        <v>0.64</v>
      </c>
      <c r="AE82" s="30">
        <v>0.24</v>
      </c>
      <c r="AF82" s="33"/>
      <c r="AG82" s="30">
        <v>0.63</v>
      </c>
      <c r="AH82" s="30">
        <v>0.71</v>
      </c>
      <c r="AI82" s="30">
        <v>0.44</v>
      </c>
      <c r="AJ82" s="30"/>
      <c r="AK82" s="30">
        <v>0.36</v>
      </c>
      <c r="AL82" s="30">
        <v>0.54</v>
      </c>
      <c r="AM82" s="30">
        <v>0.71</v>
      </c>
      <c r="AN82" s="30">
        <v>0.63</v>
      </c>
      <c r="AO82" s="30">
        <v>0.82</v>
      </c>
      <c r="AP82" s="30">
        <v>0.75</v>
      </c>
      <c r="AQ82" s="33">
        <v>0.61</v>
      </c>
      <c r="AR82" s="33">
        <f t="shared" si="2"/>
        <v>0.62119404206405981</v>
      </c>
      <c r="AS82" s="33"/>
      <c r="AT82" s="33"/>
      <c r="AU82" s="33"/>
      <c r="AV82" s="37"/>
      <c r="AW82" s="37">
        <v>0.67125248759153944</v>
      </c>
      <c r="AX82" s="37"/>
      <c r="AY82" s="37">
        <v>0.62119404206405981</v>
      </c>
      <c r="AZ82" s="37"/>
    </row>
    <row r="83" spans="1:52">
      <c r="A83">
        <v>2024</v>
      </c>
      <c r="C83" s="33"/>
      <c r="D83" s="33"/>
      <c r="E83" s="33"/>
      <c r="F83" s="33"/>
      <c r="G83" s="33"/>
      <c r="H83" s="33" t="e">
        <f t="shared" si="1"/>
        <v>#DIV/0!</v>
      </c>
      <c r="I83" s="33"/>
      <c r="J83" s="33"/>
      <c r="K83" s="33"/>
      <c r="L83" s="33"/>
      <c r="M83" s="33"/>
      <c r="N83" s="33" t="e">
        <f>AVERAGE(I83:M83)</f>
        <v>#DIV/0!</v>
      </c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0">
        <v>0.65</v>
      </c>
      <c r="AO83" s="33"/>
      <c r="AP83" s="33"/>
      <c r="AQ83" s="33"/>
      <c r="AR83" s="33">
        <f t="shared" si="2"/>
        <v>0.65</v>
      </c>
      <c r="AS83" s="33"/>
      <c r="AT83" s="33"/>
      <c r="AU83" s="33"/>
      <c r="AV83" s="37"/>
      <c r="AW83" s="37"/>
      <c r="AX83" s="37"/>
      <c r="AY83" s="37">
        <v>0.65</v>
      </c>
      <c r="AZ83" s="37"/>
    </row>
    <row r="84" spans="1:52"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</row>
    <row r="85" spans="1:52"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</row>
    <row r="86" spans="1:52"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</row>
    <row r="87" spans="1:52"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</row>
    <row r="88" spans="1:52"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</row>
    <row r="89" spans="1:52"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</row>
    <row r="90" spans="1:52"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</row>
    <row r="91" spans="1:52"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</row>
    <row r="92" spans="1:52"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</row>
    <row r="93" spans="1:52"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</row>
    <row r="94" spans="1:52"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</row>
    <row r="95" spans="1:52"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</row>
    <row r="96" spans="1:52"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</row>
    <row r="97" spans="3:52"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</row>
    <row r="98" spans="3:52"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</row>
    <row r="99" spans="3:52"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</row>
    <row r="100" spans="3:52"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</row>
    <row r="101" spans="3:52"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</row>
    <row r="102" spans="3:52">
      <c r="C102" s="33"/>
      <c r="D102" s="33"/>
      <c r="E102" s="33"/>
      <c r="F102" s="33"/>
      <c r="G102" s="33"/>
      <c r="H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</row>
    <row r="103" spans="3:52">
      <c r="C103" s="33"/>
      <c r="D103" s="33"/>
      <c r="E103" s="33"/>
      <c r="F103" s="33"/>
      <c r="G103" s="33"/>
      <c r="H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</row>
    <row r="104" spans="3:52">
      <c r="C104" s="33"/>
      <c r="D104" s="33"/>
      <c r="E104" s="33"/>
      <c r="F104" s="33"/>
      <c r="G104" s="33"/>
      <c r="H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</row>
    <row r="105" spans="3:52">
      <c r="C105" s="33"/>
      <c r="D105" s="33"/>
      <c r="E105" s="33"/>
      <c r="F105" s="33"/>
      <c r="G105" s="33"/>
      <c r="H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</row>
    <row r="106" spans="3:52">
      <c r="C106" s="33"/>
      <c r="D106" s="33"/>
      <c r="E106" s="33"/>
      <c r="F106" s="33"/>
      <c r="G106" s="33"/>
      <c r="H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</row>
    <row r="107" spans="3:52">
      <c r="C107" s="33"/>
      <c r="D107" s="33"/>
      <c r="E107" s="33"/>
      <c r="F107" s="33"/>
      <c r="G107" s="33"/>
      <c r="H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</row>
    <row r="108" spans="3:52">
      <c r="C108" s="33"/>
      <c r="D108" s="33"/>
      <c r="E108" s="33"/>
      <c r="F108" s="33"/>
      <c r="G108" s="33"/>
      <c r="H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</row>
    <row r="109" spans="3:52">
      <c r="C109" s="33"/>
      <c r="D109" s="33"/>
      <c r="E109" s="33"/>
      <c r="F109" s="33"/>
      <c r="G109" s="33"/>
      <c r="H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</row>
    <row r="110" spans="3:52">
      <c r="C110" s="33"/>
      <c r="D110" s="33"/>
      <c r="E110" s="33"/>
      <c r="F110" s="33"/>
      <c r="G110" s="33"/>
      <c r="H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</row>
    <row r="111" spans="3:52">
      <c r="C111" s="33"/>
      <c r="D111" s="33"/>
      <c r="E111" s="33"/>
      <c r="F111" s="33"/>
      <c r="G111" s="33"/>
      <c r="H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</row>
    <row r="112" spans="3:52">
      <c r="C112" s="33"/>
      <c r="D112" s="33"/>
      <c r="E112" s="33"/>
      <c r="F112" s="33"/>
      <c r="G112" s="33"/>
      <c r="H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</row>
    <row r="113" spans="3:43">
      <c r="C113" s="33"/>
      <c r="D113" s="33"/>
      <c r="E113" s="33"/>
      <c r="F113" s="33"/>
      <c r="G113" s="33"/>
      <c r="H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</row>
    <row r="114" spans="3:43">
      <c r="C114" s="33"/>
      <c r="D114" s="33"/>
      <c r="E114" s="33"/>
      <c r="F114" s="33"/>
      <c r="G114" s="33"/>
      <c r="H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</row>
    <row r="115" spans="3:43">
      <c r="C115" s="33"/>
      <c r="D115" s="33"/>
      <c r="E115" s="33"/>
      <c r="F115" s="33"/>
      <c r="G115" s="33"/>
      <c r="H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</row>
    <row r="116" spans="3:43">
      <c r="C116" s="33"/>
      <c r="D116" s="33"/>
      <c r="E116" s="33"/>
      <c r="F116" s="33"/>
      <c r="G116" s="33"/>
      <c r="H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</row>
    <row r="117" spans="3:43">
      <c r="C117" s="33"/>
      <c r="D117" s="33"/>
      <c r="E117" s="33"/>
      <c r="F117" s="33"/>
      <c r="G117" s="33"/>
      <c r="H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</row>
    <row r="118" spans="3:43">
      <c r="C118" s="33"/>
      <c r="D118" s="33"/>
      <c r="E118" s="33"/>
      <c r="F118" s="33"/>
      <c r="G118" s="33"/>
      <c r="H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</row>
    <row r="119" spans="3:43">
      <c r="C119" s="33"/>
      <c r="D119" s="33"/>
      <c r="E119" s="33"/>
      <c r="F119" s="33"/>
      <c r="G119" s="33"/>
      <c r="H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</row>
    <row r="120" spans="3:43">
      <c r="C120" s="33"/>
      <c r="D120" s="33"/>
      <c r="E120" s="33"/>
      <c r="F120" s="33"/>
      <c r="G120" s="33"/>
      <c r="H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</row>
    <row r="121" spans="3:43">
      <c r="C121" s="33"/>
      <c r="D121" s="33"/>
      <c r="E121" s="33"/>
      <c r="F121" s="33"/>
      <c r="G121" s="33"/>
      <c r="H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</row>
    <row r="122" spans="3:43">
      <c r="C122" s="33"/>
      <c r="D122" s="33"/>
      <c r="E122" s="33"/>
      <c r="F122" s="33"/>
      <c r="G122" s="33"/>
      <c r="H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</row>
    <row r="123" spans="3:43">
      <c r="C123" s="33"/>
      <c r="D123" s="33"/>
      <c r="E123" s="33"/>
      <c r="F123" s="33"/>
      <c r="G123" s="33"/>
      <c r="H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</row>
    <row r="124" spans="3:43">
      <c r="C124" s="33"/>
      <c r="D124" s="33"/>
      <c r="E124" s="33"/>
      <c r="F124" s="33"/>
      <c r="G124" s="33"/>
      <c r="H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</row>
    <row r="125" spans="3:43">
      <c r="C125" s="33"/>
      <c r="D125" s="33"/>
      <c r="E125" s="33"/>
      <c r="F125" s="33"/>
      <c r="G125" s="33"/>
      <c r="H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</row>
    <row r="126" spans="3:43">
      <c r="C126" s="33"/>
      <c r="D126" s="33"/>
      <c r="E126" s="33"/>
      <c r="F126" s="33"/>
      <c r="G126" s="33"/>
      <c r="H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</row>
    <row r="127" spans="3:43">
      <c r="C127" s="33"/>
      <c r="D127" s="33"/>
      <c r="E127" s="33"/>
      <c r="F127" s="33"/>
      <c r="G127" s="33"/>
      <c r="H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</row>
    <row r="128" spans="3:43">
      <c r="C128" s="33"/>
      <c r="D128" s="33"/>
      <c r="E128" s="33"/>
      <c r="F128" s="33"/>
      <c r="G128" s="33"/>
      <c r="H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</row>
    <row r="129" spans="3:43">
      <c r="C129" s="33"/>
      <c r="D129" s="33"/>
      <c r="E129" s="33"/>
      <c r="F129" s="33"/>
      <c r="G129" s="33"/>
      <c r="H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</row>
    <row r="130" spans="3:43">
      <c r="C130" s="33"/>
      <c r="D130" s="33"/>
      <c r="E130" s="33"/>
      <c r="F130" s="33"/>
      <c r="G130" s="33"/>
      <c r="H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</row>
  </sheetData>
  <mergeCells count="5">
    <mergeCell ref="O1:AR1"/>
    <mergeCell ref="E1:H1"/>
    <mergeCell ref="C1:D1"/>
    <mergeCell ref="AS1:AU1"/>
    <mergeCell ref="I1:M1"/>
  </mergeCells>
  <hyperlinks>
    <hyperlink ref="AD75" r:id="rId1" display="https://www.raadgevers.nl/wp-content/uploads/2018/06/Artikel-feminisering-en-ondernemerschap-site-Raadgevers.pdf" xr:uid="{8EFA1AF0-AC40-4EAC-BE14-828F494F8A36}"/>
    <hyperlink ref="AD73" r:id="rId2" display="https://www.colvet.es/files/portalcontenidos/documentos/document-2022-02-09t112347.069.pdf" xr:uid="{05BA5338-1DAC-4B3E-9A11-686A217BE6B7}"/>
    <hyperlink ref="AD77" r:id="rId3" display="https://www.fve.org/cms/wp-content/uploads/FVE_Survey_2018_WEB.pdf" xr:uid="{728968B2-A9F7-4A02-865B-E72E681D20FA}"/>
    <hyperlink ref="AD82" r:id="rId4" display="https://fve.org/cms/wp-content/uploads/FVE-Survey-2023_updated-v3.pdf" xr:uid="{402D8772-DCF2-40BA-97F7-CAD21C1AB980}"/>
    <hyperlink ref="AD29" r:id="rId5" display="https://www.researchgate.net/publication/43983529_APROXIMACION_A_LA_HISTORIA_DE_LA_MUJER_EN_LA_MEDICINA_VETERINARIA_EL_CASO_DEL_DECANATO_DE_CIENCIAS_VETERINARIAS_DE_LA_UNIVERSIDAD_CENTROCCIDENTAL_LISANDRO_ALVARADO" xr:uid="{E752F8F6-D3EC-438D-9DEE-488BC04DAC8F}"/>
    <hyperlink ref="AD59" r:id="rId6" display="https://www.researchgate.net/publication/43983529_APROXIMACION_A_LA_HISTORIA_DE_LA_MUJER_EN_LA_MEDICINA_VETERINARIA_EL_CASO_DEL_DECANATO_DE_CIENCIAS_VETERINARIAS_DE_LA_UNIVERSIDAD_CENTROCCIDENTAL_LISANDRO_ALVARADO" xr:uid="{53945EE1-1E04-4FE4-8CD5-389AF0DA2D29}"/>
    <hyperlink ref="P73" r:id="rId7" display="https://www.colvet.es/files/portalcontenidos/documentos/document-2022-02-09t112347.069.pdf" xr:uid="{1F6B95A3-C77A-45FB-87E4-100CC2F22A93}"/>
    <hyperlink ref="P77" r:id="rId8" display="https://www.fve.org/cms/wp-content/uploads/FVE_Survey_2018_WEB.pdf" xr:uid="{29C11585-1B58-48C1-8AD3-4DD485CDC490}"/>
    <hyperlink ref="P82" r:id="rId9" display="https://fve.org/cms/wp-content/uploads/FVE-Survey-2023_updated-v3.pdf" xr:uid="{581F1B07-DD2F-4FAC-9DDB-DCD72EA50AB6}"/>
    <hyperlink ref="Y73" r:id="rId10" display="https://www.colvet.es/files/portalcontenidos/documentos/document-2022-02-09t112347.069.pdf" xr:uid="{D3AC5AC9-711E-494D-8355-1BEDFA4D82AE}"/>
    <hyperlink ref="AC73" r:id="rId11" display="https://www.colvet.es/files/portalcontenidos/documentos/document-2022-02-09t112347.069.pdf" xr:uid="{C3E7B84E-447F-4AA6-ADD5-122464B6B0A6}"/>
    <hyperlink ref="AC77" r:id="rId12" display="https://www.fve.org/cms/wp-content/uploads/FVE_Survey_2018_WEB.pdf" xr:uid="{B687BA4B-D2A0-4C20-A6E2-DB2A01084F0C}"/>
    <hyperlink ref="AC82" r:id="rId13" display="https://fve.org/cms/wp-content/uploads/FVE-Survey-2023_updated-v3.pdf" xr:uid="{DF65CC8C-D779-4742-8872-31B503708A7E}"/>
    <hyperlink ref="AA73" r:id="rId14" display="https://www.colvet.es/files/portalcontenidos/documentos/document-2022-02-09t112347.069.pdf" xr:uid="{5B9B9F58-E268-4CDE-81C4-8F245AAEF894}"/>
    <hyperlink ref="AA77" r:id="rId15" display="https://www.fve.org/cms/wp-content/uploads/FVE_Survey_2018_WEB.pdf" xr:uid="{1AA88727-D0FC-4DD8-BAED-EF1E1429E014}"/>
    <hyperlink ref="AB82" r:id="rId16" display="https://fve.org/cms/wp-content/uploads/FVE-Survey-2023_updated-v3.pdf" xr:uid="{30534A8F-2D09-4856-9905-3165960B330E}"/>
    <hyperlink ref="AE73" r:id="rId17" display="https://www.colvet.es/files/portalcontenidos/documentos/document-2022-02-09t112347.069.pdf" xr:uid="{C3389CD9-CAF3-4E6A-947D-CE3433C5EAFA}"/>
    <hyperlink ref="AE77" r:id="rId18" display="https://www.fve.org/cms/wp-content/uploads/FVE_Survey_2018_WEB.pdf" xr:uid="{F7E30F84-C6DC-4B9C-95A4-AC04A9C5E3BF}"/>
    <hyperlink ref="AE82" r:id="rId19" display="https://fve.org/cms/wp-content/uploads/FVE-Survey-2023_updated-v3.pdf" xr:uid="{DF7C9D0B-BC40-4741-AB88-FDD7A1601A8A}"/>
    <hyperlink ref="AG73" r:id="rId20" display="https://www.colvet.es/files/portalcontenidos/documentos/document-2022-02-09t112347.069.pdf" xr:uid="{EF3DFE6B-34E6-45A7-A060-5E6F2E14B86A}"/>
    <hyperlink ref="AG77" r:id="rId21" display="https://www.fve.org/cms/wp-content/uploads/FVE_Survey_2018_WEB.pdf" xr:uid="{D9C01C0A-D06D-43B0-A9FF-E3DEDEC01C93}"/>
    <hyperlink ref="AG82" r:id="rId22" display="https://fve.org/cms/wp-content/uploads/FVE-Survey-2023_updated-v3.pdf" xr:uid="{C7A284E4-A966-465C-ADFF-DB6670B7211B}"/>
    <hyperlink ref="AH73" r:id="rId23" display="https://www.colvet.es/files/portalcontenidos/documentos/document-2022-02-09t112347.069.pdf" xr:uid="{7DAB0A6D-8427-4B94-BCCC-FE0D91C9294B}"/>
    <hyperlink ref="AH77" r:id="rId24" display="https://www.fve.org/cms/wp-content/uploads/FVE_Survey_2018_WEB.pdf" xr:uid="{4F63D0FC-270A-4FA2-8EDC-B28DE8E87071}"/>
    <hyperlink ref="AH82" r:id="rId25" display="https://fve.org/cms/wp-content/uploads/FVE-Survey-2023_updated-v3.pdf" xr:uid="{381AA37B-771E-4C44-AE60-A721D2622795}"/>
    <hyperlink ref="AI73" r:id="rId26" display="https://www.colvet.es/files/portalcontenidos/documentos/document-2022-02-09t112347.069.pdf" xr:uid="{45B193DF-FB0F-4974-A2FB-F5995CB37C6C}"/>
    <hyperlink ref="AI77" r:id="rId27" display="https://www.fve.org/cms/wp-content/uploads/FVE_Survey_2018_WEB.pdf" xr:uid="{DA9E6C45-3E38-4726-82E9-CA86F46F14A7}"/>
    <hyperlink ref="AI82" r:id="rId28" display="https://fve.org/cms/wp-content/uploads/FVE-Survey-2023_updated-v3.pdf" xr:uid="{2001E7A6-70F9-439A-B36E-06B0BBFBD89D}"/>
    <hyperlink ref="AJ77" r:id="rId29" display="https://www.fve.org/cms/wp-content/uploads/FVE_Survey_2018_WEB.pdf" xr:uid="{2EC12C4F-65AD-4799-AC39-270606D48C61}"/>
    <hyperlink ref="AK73" r:id="rId30" display="https://www.colvet.es/files/portalcontenidos/documentos/document-2022-02-09t112347.069.pdf" xr:uid="{5E0935FE-BDD3-4646-8174-02A77D4E5535}"/>
    <hyperlink ref="AK77" r:id="rId31" display="https://www.fve.org/cms/wp-content/uploads/FVE_Survey_2018_WEB.pdf" xr:uid="{490CAD0E-25E9-4BAE-B071-D3918D8D8A13}"/>
    <hyperlink ref="AK82" r:id="rId32" display="https://fve.org/cms/wp-content/uploads/FVE-Survey-2023_updated-v3.pdf" xr:uid="{D3FB2728-01C7-4CE2-9806-5184BB5E100A}"/>
    <hyperlink ref="AL73" r:id="rId33" display="https://www.colvet.es/files/portalcontenidos/documentos/document-2022-02-09t112347.069.pdf" xr:uid="{3C18AD97-1B33-4E72-A75D-CC47FC155345}"/>
    <hyperlink ref="AL77" r:id="rId34" display="https://www.fve.org/cms/wp-content/uploads/FVE_Survey_2018_WEB.pdf" xr:uid="{F5BC6954-0390-40C1-A9D9-2FB25D4059FD}"/>
    <hyperlink ref="AL82" r:id="rId35" display="https://fve.org/cms/wp-content/uploads/FVE-Survey-2023_updated-v3.pdf" xr:uid="{0F7C04EE-A554-4C1E-876A-E62FAEF2E8C2}"/>
    <hyperlink ref="AM77" r:id="rId36" display="https://www.fve.org/cms/wp-content/uploads/FVE_Survey_2018_WEB.pdf" xr:uid="{E3B4094E-8BA3-487E-919D-7233BB6C6F60}"/>
    <hyperlink ref="AM82" r:id="rId37" display="https://fve.org/cms/wp-content/uploads/FVE-Survey-2023_updated-v3.pdf" xr:uid="{A6A18364-1B45-418F-AD38-9F61F65EC798}"/>
    <hyperlink ref="AN12:AN78" r:id="rId38" display="https://ceve.es/wp-content/uploads/2020/10/Informe-CEVE-2020-1.pdf" xr:uid="{A473162E-9904-4CDF-B091-13CD0079C81B}"/>
    <hyperlink ref="AN73" r:id="rId39" display="https://www.colvet.es/files/portalcontenidos/documentos/document-2022-02-09t112347.069.pdf" xr:uid="{772FED02-5AD7-4C46-A01F-B7DFA04631E5}"/>
    <hyperlink ref="AN77" r:id="rId40" display="https://www.fve.org/cms/wp-content/uploads/FVE_Survey_2018_WEB.pdf" xr:uid="{A0D2555E-2D25-4A9E-9F49-2F81411106C0}"/>
    <hyperlink ref="AN82" r:id="rId41" display="https://fve.org/cms/wp-content/uploads/FVE-Survey-2023_updated-v3.pdf" xr:uid="{39E68090-49CD-47E2-93BC-3D31C7408330}"/>
    <hyperlink ref="AN83" r:id="rId42" display="https://www.diarioveterinario.com/t/4284880/analizan-dificultades-mujeres-veterinarias-prosperar-profesion" xr:uid="{29F4A6AE-4D36-4957-986C-001743A7A363}"/>
    <hyperlink ref="AN79" r:id="rId43" display="https://axoncomunicacion.net/las-mujeres-suponen-el-70-de-los-veterinarios-colegiados-menores-de-35-anos-en-espana/" xr:uid="{C27C5CC3-64D8-488C-80DA-73F76F505663}"/>
    <hyperlink ref="AN80" r:id="rId44" display="https://efeverde.com/veterinarios-mujeres/" xr:uid="{8CE0F880-D6E4-4982-A0B8-3DB1D904BD70}"/>
    <hyperlink ref="AO73" r:id="rId45" display="https://www.colvet.es/files/portalcontenidos/documentos/document-2022-02-09t112347.069.pdf" xr:uid="{2A5C8DEF-082E-478F-98EC-B066E2054C00}"/>
    <hyperlink ref="AO77" r:id="rId46" display="https://www.fve.org/cms/wp-content/uploads/FVE_Survey_2018_WEB.pdf" xr:uid="{42BF82C5-A066-4D16-B460-647D48109600}"/>
    <hyperlink ref="AO82" r:id="rId47" display="https://fve.org/cms/wp-content/uploads/FVE-Survey-2023_updated-v3.pdf" xr:uid="{BCAB7DDA-FC4D-45FB-944F-54C0ADF8B2E5}"/>
    <hyperlink ref="AP73" r:id="rId48" display="https://www.colvet.es/files/portalcontenidos/documentos/document-2022-02-09t112347.069.pdf" xr:uid="{66618DFA-FC7F-40F1-9FEC-4CAC8B931536}"/>
    <hyperlink ref="AP82" r:id="rId49" display="https://fve.org/cms/wp-content/uploads/FVE-Survey-2023_updated-v3.pdf" xr:uid="{CCD9C338-1DAD-4DB7-BAD5-6DBD38EA61F3}"/>
  </hyperlinks>
  <pageMargins left="0.7" right="0.7" top="0.75" bottom="0.75" header="0.3" footer="0.3"/>
  <drawing r:id="rId50"/>
  <legacyDrawing r:id="rId5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4A3F7-B529-4971-9F73-4BC03134A988}">
  <dimension ref="A1:B4"/>
  <sheetViews>
    <sheetView workbookViewId="0">
      <selection activeCell="B4" sqref="B4"/>
    </sheetView>
  </sheetViews>
  <sheetFormatPr defaultRowHeight="14.4"/>
  <cols>
    <col min="2" max="2" width="8.88671875" customWidth="1"/>
  </cols>
  <sheetData>
    <row r="1" spans="1:2">
      <c r="A1" t="s">
        <v>0</v>
      </c>
      <c r="B1" t="s">
        <v>221</v>
      </c>
    </row>
    <row r="2" spans="1:2">
      <c r="B2" t="s">
        <v>23</v>
      </c>
    </row>
    <row r="3" spans="1:2">
      <c r="B3" t="s">
        <v>33</v>
      </c>
    </row>
    <row r="4" spans="1:2">
      <c r="A4">
        <v>2020</v>
      </c>
      <c r="B4" s="33">
        <v>9.9000000000000005E-2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56"/>
  <sheetViews>
    <sheetView workbookViewId="0">
      <pane xSplit="1" ySplit="3" topLeftCell="B22" activePane="bottomRight" state="frozen"/>
      <selection pane="topRight" activeCell="B1" sqref="B1"/>
      <selection pane="bottomLeft" activeCell="A4" sqref="A4"/>
      <selection pane="bottomRight" activeCell="B24" sqref="B24:B34"/>
    </sheetView>
  </sheetViews>
  <sheetFormatPr defaultRowHeight="14.4"/>
  <cols>
    <col min="1" max="1" width="5" style="1" customWidth="1"/>
    <col min="2" max="2" width="8.88671875" style="1"/>
  </cols>
  <sheetData>
    <row r="1" spans="1:2">
      <c r="A1" s="1" t="s">
        <v>0</v>
      </c>
      <c r="B1" s="1" t="s">
        <v>54</v>
      </c>
    </row>
    <row r="2" spans="1:2">
      <c r="B2" s="1" t="s">
        <v>32</v>
      </c>
    </row>
    <row r="3" spans="1:2">
      <c r="B3" s="15" t="s">
        <v>33</v>
      </c>
    </row>
    <row r="4" spans="1:2">
      <c r="A4" s="1">
        <v>1969</v>
      </c>
      <c r="B4" s="28">
        <v>0.19</v>
      </c>
    </row>
    <row r="5" spans="1:2">
      <c r="A5" s="1">
        <v>1970</v>
      </c>
    </row>
    <row r="6" spans="1:2">
      <c r="A6" s="1">
        <v>1971</v>
      </c>
    </row>
    <row r="7" spans="1:2">
      <c r="A7" s="1">
        <v>1972</v>
      </c>
    </row>
    <row r="8" spans="1:2">
      <c r="A8" s="1">
        <v>1973</v>
      </c>
    </row>
    <row r="9" spans="1:2">
      <c r="A9" s="1">
        <v>1974</v>
      </c>
    </row>
    <row r="10" spans="1:2">
      <c r="A10" s="1">
        <v>1975</v>
      </c>
    </row>
    <row r="11" spans="1:2">
      <c r="A11" s="1">
        <v>1976</v>
      </c>
    </row>
    <row r="12" spans="1:2">
      <c r="A12" s="1">
        <v>1977</v>
      </c>
    </row>
    <row r="13" spans="1:2">
      <c r="A13" s="11">
        <v>1978</v>
      </c>
    </row>
    <row r="14" spans="1:2">
      <c r="A14" s="11">
        <v>1979</v>
      </c>
      <c r="B14" s="28">
        <v>0.26</v>
      </c>
    </row>
    <row r="15" spans="1:2">
      <c r="A15" s="11">
        <v>1980</v>
      </c>
    </row>
    <row r="16" spans="1:2">
      <c r="A16" s="11">
        <v>1981</v>
      </c>
    </row>
    <row r="17" spans="1:2">
      <c r="A17" s="11">
        <v>1982</v>
      </c>
    </row>
    <row r="18" spans="1:2">
      <c r="A18" s="11">
        <v>1983</v>
      </c>
    </row>
    <row r="19" spans="1:2">
      <c r="A19" s="11">
        <v>1984</v>
      </c>
    </row>
    <row r="20" spans="1:2">
      <c r="A20" s="11">
        <v>1985</v>
      </c>
    </row>
    <row r="21" spans="1:2">
      <c r="A21" s="11">
        <v>1986</v>
      </c>
    </row>
    <row r="22" spans="1:2">
      <c r="A22" s="11">
        <v>1987</v>
      </c>
    </row>
    <row r="23" spans="1:2">
      <c r="A23" s="11">
        <v>1988</v>
      </c>
    </row>
    <row r="24" spans="1:2">
      <c r="A24" s="11">
        <v>1989</v>
      </c>
      <c r="B24" s="28">
        <v>0.47</v>
      </c>
    </row>
    <row r="25" spans="1:2">
      <c r="A25" s="11">
        <v>1990</v>
      </c>
    </row>
    <row r="26" spans="1:2">
      <c r="A26" s="11">
        <v>1991</v>
      </c>
    </row>
    <row r="27" spans="1:2">
      <c r="A27" s="11">
        <v>1992</v>
      </c>
    </row>
    <row r="28" spans="1:2">
      <c r="A28" s="11">
        <v>1993</v>
      </c>
    </row>
    <row r="29" spans="1:2">
      <c r="A29" s="11">
        <v>1994</v>
      </c>
    </row>
    <row r="30" spans="1:2">
      <c r="A30" s="11">
        <v>1995</v>
      </c>
    </row>
    <row r="31" spans="1:2">
      <c r="A31" s="11">
        <v>1996</v>
      </c>
    </row>
    <row r="32" spans="1:2">
      <c r="A32" s="11">
        <v>1997</v>
      </c>
    </row>
    <row r="33" spans="1:2">
      <c r="A33" s="11">
        <v>1998</v>
      </c>
    </row>
    <row r="34" spans="1:2">
      <c r="A34" s="11">
        <v>1999</v>
      </c>
      <c r="B34" s="28">
        <v>0.52</v>
      </c>
    </row>
    <row r="35" spans="1:2">
      <c r="A35" s="11">
        <v>2000</v>
      </c>
    </row>
    <row r="36" spans="1:2">
      <c r="A36" s="11">
        <v>2001</v>
      </c>
    </row>
    <row r="37" spans="1:2">
      <c r="A37" s="1">
        <v>2002</v>
      </c>
    </row>
    <row r="38" spans="1:2">
      <c r="A38" s="1">
        <v>2003</v>
      </c>
    </row>
    <row r="39" spans="1:2">
      <c r="A39" s="1">
        <v>2004</v>
      </c>
    </row>
    <row r="40" spans="1:2">
      <c r="A40" s="1">
        <v>2005</v>
      </c>
    </row>
    <row r="41" spans="1:2">
      <c r="A41" s="1">
        <v>2006</v>
      </c>
    </row>
    <row r="42" spans="1:2">
      <c r="A42" s="1">
        <v>2007</v>
      </c>
    </row>
    <row r="43" spans="1:2">
      <c r="A43" s="1">
        <v>2008</v>
      </c>
    </row>
    <row r="44" spans="1:2">
      <c r="A44" s="1">
        <v>2009</v>
      </c>
    </row>
    <row r="45" spans="1:2">
      <c r="A45" s="1">
        <v>2010</v>
      </c>
    </row>
    <row r="46" spans="1:2">
      <c r="A46" s="1">
        <v>2011</v>
      </c>
    </row>
    <row r="47" spans="1:2">
      <c r="A47" s="1">
        <v>2012</v>
      </c>
    </row>
    <row r="48" spans="1:2">
      <c r="A48" s="1">
        <v>2013</v>
      </c>
    </row>
    <row r="49" spans="1:1">
      <c r="A49" s="1">
        <v>2014</v>
      </c>
    </row>
    <row r="50" spans="1:1">
      <c r="A50" s="1">
        <v>2015</v>
      </c>
    </row>
    <row r="51" spans="1:1">
      <c r="A51" s="1">
        <v>2016</v>
      </c>
    </row>
    <row r="52" spans="1:1">
      <c r="A52" s="1">
        <v>2017</v>
      </c>
    </row>
    <row r="53" spans="1:1">
      <c r="A53" s="1">
        <v>2018</v>
      </c>
    </row>
    <row r="54" spans="1:1">
      <c r="A54" s="1">
        <v>2019</v>
      </c>
    </row>
    <row r="55" spans="1:1">
      <c r="A55" s="1">
        <v>2020</v>
      </c>
    </row>
    <row r="56" spans="1:1">
      <c r="A56" s="1">
        <v>2021</v>
      </c>
    </row>
  </sheetData>
  <hyperlinks>
    <hyperlink ref="B3" r:id="rId1" xr:uid="{00000000-0004-0000-0700-000000000000}"/>
  </hyperlinks>
  <pageMargins left="0.7" right="0.7" top="0.75" bottom="0.75" header="0.3" footer="0.3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96"/>
  <sheetViews>
    <sheetView workbookViewId="0">
      <pane xSplit="1" ySplit="3" topLeftCell="B68" activePane="bottomRight" state="frozen"/>
      <selection pane="topRight" activeCell="B1" sqref="B1"/>
      <selection pane="bottomLeft" activeCell="A4" sqref="A4"/>
      <selection pane="bottomRight" activeCell="J59" sqref="J59:J95"/>
    </sheetView>
  </sheetViews>
  <sheetFormatPr defaultRowHeight="14.4"/>
  <cols>
    <col min="1" max="1" width="6.88671875" customWidth="1"/>
    <col min="2" max="7" width="8.88671875" style="1"/>
    <col min="8" max="8" width="10" style="1" bestFit="1" customWidth="1"/>
    <col min="9" max="10" width="9.109375" style="1"/>
  </cols>
  <sheetData>
    <row r="1" spans="1:10">
      <c r="A1" s="55" t="s">
        <v>0</v>
      </c>
      <c r="B1" s="53" t="s">
        <v>55</v>
      </c>
      <c r="C1" s="53"/>
      <c r="D1" s="53"/>
      <c r="E1" s="53"/>
      <c r="F1" s="53"/>
      <c r="G1" s="53"/>
      <c r="H1" s="53"/>
      <c r="I1" s="53"/>
      <c r="J1" s="53"/>
    </row>
    <row r="2" spans="1:10">
      <c r="A2" s="55"/>
      <c r="B2" s="54" t="s">
        <v>32</v>
      </c>
      <c r="C2" s="54"/>
      <c r="D2" s="54"/>
      <c r="E2" s="53" t="s">
        <v>16</v>
      </c>
      <c r="F2" s="53"/>
      <c r="G2" s="53"/>
      <c r="H2" s="54" t="s">
        <v>56</v>
      </c>
      <c r="I2" s="54"/>
      <c r="J2" s="54"/>
    </row>
    <row r="3" spans="1:10">
      <c r="A3" s="55"/>
      <c r="B3" s="1" t="s">
        <v>34</v>
      </c>
      <c r="C3" s="1" t="s">
        <v>35</v>
      </c>
      <c r="D3" s="1" t="s">
        <v>33</v>
      </c>
      <c r="E3" s="1" t="s">
        <v>34</v>
      </c>
      <c r="F3" s="1" t="s">
        <v>35</v>
      </c>
      <c r="G3" s="1" t="s">
        <v>33</v>
      </c>
      <c r="H3" s="1" t="s">
        <v>34</v>
      </c>
      <c r="I3" s="1" t="s">
        <v>35</v>
      </c>
      <c r="J3" s="1" t="s">
        <v>33</v>
      </c>
    </row>
    <row r="4" spans="1:10">
      <c r="A4" s="1">
        <v>1932</v>
      </c>
      <c r="C4" s="15">
        <v>1</v>
      </c>
      <c r="D4" s="22"/>
    </row>
    <row r="5" spans="1:10">
      <c r="A5" s="1">
        <v>1933</v>
      </c>
      <c r="C5" s="1">
        <v>0</v>
      </c>
      <c r="D5" s="29">
        <v>0</v>
      </c>
      <c r="G5" s="29"/>
      <c r="J5" s="29"/>
    </row>
    <row r="6" spans="1:10">
      <c r="A6" s="1">
        <v>1934</v>
      </c>
      <c r="C6" s="1">
        <v>0</v>
      </c>
      <c r="D6" s="29">
        <v>0</v>
      </c>
      <c r="G6" s="29"/>
      <c r="J6" s="29"/>
    </row>
    <row r="7" spans="1:10">
      <c r="A7" s="1">
        <v>1935</v>
      </c>
      <c r="C7" s="15">
        <v>1</v>
      </c>
      <c r="D7" s="29"/>
      <c r="G7" s="29"/>
      <c r="J7" s="29"/>
    </row>
    <row r="8" spans="1:10">
      <c r="A8" s="1">
        <v>1936</v>
      </c>
      <c r="C8" s="1">
        <v>0</v>
      </c>
      <c r="D8" s="29">
        <v>0</v>
      </c>
      <c r="G8" s="29"/>
      <c r="J8" s="29"/>
    </row>
    <row r="9" spans="1:10">
      <c r="A9" s="1">
        <v>1937</v>
      </c>
      <c r="C9" s="1">
        <v>0</v>
      </c>
      <c r="D9" s="29">
        <v>0</v>
      </c>
      <c r="G9" s="29"/>
      <c r="J9" s="29"/>
    </row>
    <row r="10" spans="1:10">
      <c r="A10" s="1">
        <v>1938</v>
      </c>
      <c r="C10" s="1">
        <v>0</v>
      </c>
      <c r="D10" s="29">
        <v>0</v>
      </c>
      <c r="G10" s="29"/>
      <c r="J10" s="29"/>
    </row>
    <row r="11" spans="1:10">
      <c r="A11" s="1">
        <v>1939</v>
      </c>
      <c r="C11" s="15">
        <v>1</v>
      </c>
      <c r="D11" s="29"/>
      <c r="G11" s="29"/>
      <c r="J11" s="29"/>
    </row>
    <row r="12" spans="1:10">
      <c r="A12" s="1">
        <v>1940</v>
      </c>
      <c r="C12" s="15">
        <v>1</v>
      </c>
      <c r="D12" s="29"/>
      <c r="G12" s="29"/>
      <c r="J12" s="29"/>
    </row>
    <row r="13" spans="1:10">
      <c r="A13" s="1">
        <v>1941</v>
      </c>
      <c r="C13" s="1">
        <v>0</v>
      </c>
      <c r="D13" s="29">
        <v>0</v>
      </c>
      <c r="G13" s="29"/>
      <c r="J13" s="29"/>
    </row>
    <row r="14" spans="1:10">
      <c r="A14" s="1">
        <v>1942</v>
      </c>
      <c r="C14" s="1">
        <v>0</v>
      </c>
      <c r="D14" s="29">
        <v>0</v>
      </c>
      <c r="G14" s="29"/>
      <c r="J14" s="29"/>
    </row>
    <row r="15" spans="1:10">
      <c r="A15" s="1">
        <v>1943</v>
      </c>
      <c r="C15" s="1">
        <v>0</v>
      </c>
      <c r="D15" s="29">
        <v>0</v>
      </c>
      <c r="G15" s="29"/>
      <c r="J15" s="29"/>
    </row>
    <row r="16" spans="1:10">
      <c r="A16" s="1">
        <v>1944</v>
      </c>
      <c r="C16" s="1">
        <v>0</v>
      </c>
      <c r="D16" s="29">
        <v>0</v>
      </c>
      <c r="G16" s="29"/>
      <c r="J16" s="29"/>
    </row>
    <row r="17" spans="1:10">
      <c r="A17" s="1">
        <v>1945</v>
      </c>
      <c r="C17" s="1">
        <v>0</v>
      </c>
      <c r="D17" s="29">
        <v>0</v>
      </c>
      <c r="G17" s="29"/>
      <c r="J17" s="29"/>
    </row>
    <row r="18" spans="1:10">
      <c r="A18" s="1">
        <v>1946</v>
      </c>
      <c r="C18" s="1">
        <v>0</v>
      </c>
      <c r="D18" s="29">
        <v>0</v>
      </c>
      <c r="G18" s="29"/>
      <c r="J18" s="29"/>
    </row>
    <row r="19" spans="1:10">
      <c r="A19" s="1">
        <v>1947</v>
      </c>
      <c r="C19" s="1">
        <v>0</v>
      </c>
      <c r="D19" s="29">
        <v>0</v>
      </c>
      <c r="G19" s="29"/>
      <c r="J19" s="29"/>
    </row>
    <row r="20" spans="1:10">
      <c r="A20" s="1">
        <v>1948</v>
      </c>
      <c r="C20" s="1">
        <v>0</v>
      </c>
      <c r="D20" s="29">
        <v>0</v>
      </c>
      <c r="G20" s="29"/>
      <c r="J20" s="29"/>
    </row>
    <row r="21" spans="1:10">
      <c r="A21" s="1">
        <v>1949</v>
      </c>
      <c r="C21" s="1">
        <v>0</v>
      </c>
      <c r="D21" s="29">
        <v>0</v>
      </c>
      <c r="G21" s="29"/>
      <c r="J21" s="29"/>
    </row>
    <row r="22" spans="1:10">
      <c r="A22" s="1">
        <v>1950</v>
      </c>
      <c r="C22" s="1">
        <v>1</v>
      </c>
      <c r="D22" s="29"/>
      <c r="G22" s="29"/>
      <c r="J22" s="29"/>
    </row>
    <row r="23" spans="1:10">
      <c r="A23" s="1">
        <v>1951</v>
      </c>
      <c r="D23" s="29"/>
      <c r="G23" s="29"/>
      <c r="J23" s="29"/>
    </row>
    <row r="24" spans="1:10">
      <c r="A24" s="1">
        <v>1952</v>
      </c>
      <c r="D24" s="29"/>
      <c r="G24" s="29"/>
      <c r="J24" s="29"/>
    </row>
    <row r="25" spans="1:10">
      <c r="A25" s="1">
        <v>1953</v>
      </c>
      <c r="D25" s="29"/>
      <c r="G25" s="29"/>
      <c r="J25" s="29"/>
    </row>
    <row r="26" spans="1:10">
      <c r="A26" s="1">
        <v>1954</v>
      </c>
      <c r="D26" s="29"/>
      <c r="G26" s="29"/>
      <c r="J26" s="29"/>
    </row>
    <row r="27" spans="1:10">
      <c r="A27" s="1">
        <v>1955</v>
      </c>
      <c r="D27" s="29"/>
      <c r="G27" s="29"/>
      <c r="J27" s="29"/>
    </row>
    <row r="28" spans="1:10">
      <c r="A28" s="1">
        <v>1956</v>
      </c>
      <c r="D28" s="29"/>
      <c r="G28" s="29"/>
      <c r="J28" s="29"/>
    </row>
    <row r="29" spans="1:10">
      <c r="A29" s="1">
        <v>1957</v>
      </c>
      <c r="D29" s="29"/>
      <c r="G29" s="29"/>
      <c r="J29" s="29"/>
    </row>
    <row r="30" spans="1:10">
      <c r="A30" s="1">
        <v>1958</v>
      </c>
      <c r="D30" s="29"/>
      <c r="G30" s="29"/>
      <c r="J30" s="29"/>
    </row>
    <row r="31" spans="1:10">
      <c r="A31" s="1">
        <v>1959</v>
      </c>
      <c r="D31" s="29"/>
      <c r="G31" s="29"/>
      <c r="J31" s="29"/>
    </row>
    <row r="32" spans="1:10">
      <c r="A32" s="1">
        <v>1960</v>
      </c>
      <c r="D32" s="29"/>
      <c r="G32" s="29"/>
      <c r="J32" s="29"/>
    </row>
    <row r="33" spans="1:10">
      <c r="A33" s="1">
        <v>1961</v>
      </c>
      <c r="D33" s="29"/>
      <c r="G33" s="29"/>
      <c r="J33" s="29"/>
    </row>
    <row r="34" spans="1:10">
      <c r="A34" s="1">
        <v>1962</v>
      </c>
      <c r="C34" s="1">
        <v>0</v>
      </c>
      <c r="D34" s="29"/>
      <c r="G34" s="29"/>
      <c r="J34" s="29"/>
    </row>
    <row r="35" spans="1:10">
      <c r="A35" s="1">
        <v>1963</v>
      </c>
      <c r="D35" s="29"/>
      <c r="G35" s="29"/>
      <c r="J35" s="29"/>
    </row>
    <row r="36" spans="1:10">
      <c r="A36" s="1">
        <v>1964</v>
      </c>
      <c r="D36" s="29"/>
      <c r="G36" s="29"/>
      <c r="J36" s="29"/>
    </row>
    <row r="37" spans="1:10">
      <c r="A37" s="1">
        <v>1965</v>
      </c>
      <c r="D37" s="29"/>
      <c r="G37" s="29"/>
      <c r="J37" s="29"/>
    </row>
    <row r="38" spans="1:10">
      <c r="A38" s="1">
        <v>1966</v>
      </c>
      <c r="D38" s="29"/>
      <c r="G38" s="29"/>
      <c r="J38" s="29"/>
    </row>
    <row r="39" spans="1:10">
      <c r="A39" s="1">
        <v>1967</v>
      </c>
      <c r="D39" s="29"/>
      <c r="G39" s="29"/>
      <c r="J39" s="29"/>
    </row>
    <row r="40" spans="1:10">
      <c r="A40" s="1">
        <v>1968</v>
      </c>
      <c r="B40" s="15">
        <v>64</v>
      </c>
      <c r="C40" s="15">
        <v>3</v>
      </c>
      <c r="D40" s="29">
        <f>C40/B40</f>
        <v>4.6875E-2</v>
      </c>
      <c r="G40" s="29"/>
      <c r="J40" s="29"/>
    </row>
    <row r="41" spans="1:10">
      <c r="A41" s="1">
        <v>1969</v>
      </c>
      <c r="B41" s="15">
        <v>52</v>
      </c>
      <c r="C41" s="15">
        <v>4</v>
      </c>
      <c r="D41" s="29">
        <f t="shared" ref="D41:D44" si="0">C41/B41</f>
        <v>7.6923076923076927E-2</v>
      </c>
      <c r="G41" s="29"/>
      <c r="J41" s="29"/>
    </row>
    <row r="42" spans="1:10">
      <c r="A42" s="1">
        <v>1970</v>
      </c>
      <c r="B42" s="15">
        <v>62</v>
      </c>
      <c r="C42" s="15">
        <v>11</v>
      </c>
      <c r="D42" s="29">
        <f t="shared" si="0"/>
        <v>0.17741935483870969</v>
      </c>
      <c r="G42" s="29"/>
      <c r="J42" s="29"/>
    </row>
    <row r="43" spans="1:10">
      <c r="A43" s="1">
        <v>1971</v>
      </c>
      <c r="B43" s="15">
        <v>107</v>
      </c>
      <c r="C43" s="15">
        <v>14</v>
      </c>
      <c r="D43" s="29">
        <f t="shared" si="0"/>
        <v>0.13084112149532709</v>
      </c>
      <c r="G43" s="29"/>
      <c r="J43" s="29"/>
    </row>
    <row r="44" spans="1:10">
      <c r="A44" s="1">
        <v>1972</v>
      </c>
      <c r="B44" s="15">
        <v>145</v>
      </c>
      <c r="C44" s="15">
        <v>24</v>
      </c>
      <c r="D44" s="29">
        <f t="shared" si="0"/>
        <v>0.16551724137931034</v>
      </c>
      <c r="E44" s="15">
        <v>673</v>
      </c>
      <c r="F44" s="15">
        <v>139</v>
      </c>
      <c r="G44" s="29">
        <f>F44/E44</f>
        <v>0.20653789004457651</v>
      </c>
      <c r="J44" s="29"/>
    </row>
    <row r="45" spans="1:10">
      <c r="A45" s="1">
        <v>1973</v>
      </c>
      <c r="D45" s="29"/>
      <c r="G45" s="29"/>
      <c r="J45" s="29"/>
    </row>
    <row r="46" spans="1:10">
      <c r="A46" s="1">
        <v>1974</v>
      </c>
      <c r="D46" s="29"/>
      <c r="G46" s="29"/>
      <c r="J46" s="29"/>
    </row>
    <row r="47" spans="1:10">
      <c r="A47" s="1">
        <v>1975</v>
      </c>
      <c r="D47" s="29"/>
      <c r="G47" s="29"/>
      <c r="J47" s="29"/>
    </row>
    <row r="48" spans="1:10">
      <c r="A48" s="1">
        <v>1976</v>
      </c>
      <c r="D48" s="29"/>
      <c r="G48" s="29"/>
      <c r="J48" s="29"/>
    </row>
    <row r="49" spans="1:10">
      <c r="A49" s="1">
        <v>1977</v>
      </c>
      <c r="D49" s="29"/>
      <c r="G49" s="29"/>
      <c r="J49" s="29"/>
    </row>
    <row r="50" spans="1:10">
      <c r="A50" s="11">
        <v>1978</v>
      </c>
      <c r="D50" s="29"/>
      <c r="G50" s="29"/>
      <c r="J50" s="29"/>
    </row>
    <row r="51" spans="1:10">
      <c r="A51" s="11">
        <v>1979</v>
      </c>
      <c r="D51" s="29"/>
      <c r="G51" s="29"/>
      <c r="J51" s="29"/>
    </row>
    <row r="52" spans="1:10">
      <c r="A52" s="11">
        <v>1980</v>
      </c>
      <c r="D52" s="30">
        <v>0.30599999999999999</v>
      </c>
      <c r="G52" s="29"/>
      <c r="J52" s="29"/>
    </row>
    <row r="53" spans="1:10">
      <c r="A53" s="11">
        <v>1981</v>
      </c>
      <c r="D53" s="29"/>
      <c r="G53" s="29"/>
      <c r="J53" s="29"/>
    </row>
    <row r="54" spans="1:10">
      <c r="A54" s="11">
        <v>1982</v>
      </c>
      <c r="D54" s="29"/>
      <c r="G54" s="29"/>
      <c r="J54" s="29"/>
    </row>
    <row r="55" spans="1:10">
      <c r="A55" s="11">
        <v>1983</v>
      </c>
      <c r="D55" s="29"/>
      <c r="G55" s="29"/>
      <c r="J55" s="29"/>
    </row>
    <row r="56" spans="1:10">
      <c r="A56" s="11">
        <v>1984</v>
      </c>
      <c r="D56" s="29"/>
      <c r="G56" s="29"/>
      <c r="J56" s="29"/>
    </row>
    <row r="57" spans="1:10">
      <c r="A57" s="11">
        <v>1985</v>
      </c>
      <c r="D57" s="29"/>
      <c r="G57" s="29"/>
      <c r="J57" s="29"/>
    </row>
    <row r="58" spans="1:10">
      <c r="A58" s="11">
        <v>1986</v>
      </c>
      <c r="D58" s="29"/>
      <c r="G58" s="29"/>
      <c r="J58" s="29"/>
    </row>
    <row r="59" spans="1:10">
      <c r="A59" s="11">
        <v>1987</v>
      </c>
      <c r="D59" s="29"/>
      <c r="G59" s="29"/>
      <c r="H59" s="1">
        <v>1975</v>
      </c>
      <c r="I59" s="1">
        <v>282</v>
      </c>
      <c r="J59" s="29">
        <f>I59/H59</f>
        <v>0.14278481012658228</v>
      </c>
    </row>
    <row r="60" spans="1:10">
      <c r="A60" s="11">
        <v>1988</v>
      </c>
      <c r="B60" s="1">
        <v>103</v>
      </c>
      <c r="C60" s="15">
        <v>52</v>
      </c>
      <c r="D60" s="29">
        <f>C60/B60</f>
        <v>0.50485436893203883</v>
      </c>
      <c r="G60" s="29"/>
      <c r="J60" s="29"/>
    </row>
    <row r="61" spans="1:10">
      <c r="A61" s="11">
        <v>1989</v>
      </c>
      <c r="D61" s="30">
        <v>0.40100000000000002</v>
      </c>
      <c r="G61" s="29"/>
      <c r="J61" s="29"/>
    </row>
    <row r="62" spans="1:10">
      <c r="A62" s="11">
        <v>1990</v>
      </c>
      <c r="D62" s="29"/>
      <c r="G62" s="29"/>
      <c r="J62" s="29"/>
    </row>
    <row r="63" spans="1:10">
      <c r="A63" s="11">
        <v>1991</v>
      </c>
      <c r="D63" s="29"/>
      <c r="G63" s="29"/>
      <c r="J63" s="29"/>
    </row>
    <row r="64" spans="1:10">
      <c r="A64" s="11">
        <v>1992</v>
      </c>
      <c r="D64" s="29"/>
      <c r="G64" s="29"/>
      <c r="J64" s="29"/>
    </row>
    <row r="65" spans="1:10">
      <c r="A65" s="11">
        <v>1993</v>
      </c>
      <c r="D65" s="29"/>
      <c r="G65" s="29"/>
      <c r="J65" s="29"/>
    </row>
    <row r="66" spans="1:10">
      <c r="A66" s="11">
        <v>1994</v>
      </c>
      <c r="D66" s="29"/>
      <c r="G66" s="29"/>
      <c r="J66" s="29"/>
    </row>
    <row r="67" spans="1:10">
      <c r="A67" s="11">
        <v>1995</v>
      </c>
      <c r="D67" s="29"/>
      <c r="G67" s="29"/>
      <c r="J67" s="29"/>
    </row>
    <row r="68" spans="1:10">
      <c r="A68" s="11">
        <v>1996</v>
      </c>
      <c r="D68" s="29"/>
      <c r="G68" s="29"/>
      <c r="J68" s="29"/>
    </row>
    <row r="69" spans="1:10">
      <c r="A69" s="11">
        <v>1997</v>
      </c>
      <c r="D69" s="29"/>
      <c r="G69" s="29"/>
      <c r="J69" s="29"/>
    </row>
    <row r="70" spans="1:10">
      <c r="A70" s="11">
        <v>1998</v>
      </c>
      <c r="D70" s="29"/>
      <c r="G70" s="29"/>
      <c r="J70" s="29"/>
    </row>
    <row r="71" spans="1:10">
      <c r="A71" s="11">
        <v>1999</v>
      </c>
      <c r="D71" s="29"/>
      <c r="G71" s="29"/>
      <c r="J71" s="29"/>
    </row>
    <row r="72" spans="1:10">
      <c r="A72" s="11">
        <v>2000</v>
      </c>
      <c r="D72" s="29"/>
      <c r="G72" s="29"/>
      <c r="J72" s="29"/>
    </row>
    <row r="73" spans="1:10">
      <c r="A73" s="11">
        <v>2001</v>
      </c>
      <c r="D73" s="29"/>
      <c r="G73" s="29"/>
      <c r="J73" s="29"/>
    </row>
    <row r="74" spans="1:10">
      <c r="A74" s="1">
        <v>2002</v>
      </c>
      <c r="D74" s="29"/>
      <c r="G74" s="29"/>
      <c r="J74" s="29"/>
    </row>
    <row r="75" spans="1:10">
      <c r="A75" s="1">
        <v>2003</v>
      </c>
      <c r="D75" s="29"/>
      <c r="G75" s="29"/>
      <c r="J75" s="29"/>
    </row>
    <row r="76" spans="1:10">
      <c r="A76" s="1">
        <v>2004</v>
      </c>
      <c r="D76" s="29"/>
      <c r="G76" s="29"/>
      <c r="J76" s="29"/>
    </row>
    <row r="77" spans="1:10">
      <c r="A77" s="1">
        <v>2005</v>
      </c>
      <c r="D77" s="29"/>
      <c r="G77" s="29"/>
      <c r="J77" s="29"/>
    </row>
    <row r="78" spans="1:10">
      <c r="A78" s="1">
        <v>2006</v>
      </c>
      <c r="D78" s="29"/>
      <c r="G78" s="29"/>
      <c r="J78" s="29"/>
    </row>
    <row r="79" spans="1:10">
      <c r="A79" s="1">
        <v>2007</v>
      </c>
      <c r="D79" s="29"/>
      <c r="G79" s="29"/>
      <c r="J79" s="29"/>
    </row>
    <row r="80" spans="1:10">
      <c r="A80" s="1">
        <v>2008</v>
      </c>
      <c r="D80" s="29"/>
      <c r="G80" s="29"/>
      <c r="J80" s="29"/>
    </row>
    <row r="81" spans="1:10">
      <c r="A81" s="1">
        <v>2009</v>
      </c>
      <c r="D81" s="29"/>
      <c r="G81" s="29"/>
      <c r="J81" s="29"/>
    </row>
    <row r="82" spans="1:10">
      <c r="A82" s="1">
        <v>2010</v>
      </c>
      <c r="D82" s="29"/>
      <c r="G82" s="29"/>
      <c r="J82" s="29"/>
    </row>
    <row r="83" spans="1:10">
      <c r="A83" s="1">
        <v>2011</v>
      </c>
      <c r="D83" s="29"/>
      <c r="G83" s="29"/>
      <c r="J83" s="29"/>
    </row>
    <row r="84" spans="1:10">
      <c r="A84" s="1">
        <v>2012</v>
      </c>
      <c r="D84" s="29"/>
      <c r="G84" s="29"/>
      <c r="J84" s="29"/>
    </row>
    <row r="85" spans="1:10">
      <c r="A85" s="1">
        <v>2013</v>
      </c>
      <c r="D85" s="29"/>
      <c r="G85" s="29"/>
      <c r="J85" s="29"/>
    </row>
    <row r="86" spans="1:10">
      <c r="A86" s="1">
        <v>2014</v>
      </c>
      <c r="D86" s="29"/>
      <c r="G86" s="29"/>
      <c r="J86" s="29"/>
    </row>
    <row r="87" spans="1:10">
      <c r="A87" s="1">
        <v>2015</v>
      </c>
      <c r="D87" s="29"/>
      <c r="G87" s="29"/>
      <c r="J87" s="29"/>
    </row>
    <row r="88" spans="1:10">
      <c r="A88" s="1">
        <v>2016</v>
      </c>
      <c r="D88" s="29"/>
      <c r="G88" s="29"/>
      <c r="J88" s="29"/>
    </row>
    <row r="89" spans="1:10">
      <c r="A89" s="1">
        <v>2017</v>
      </c>
      <c r="D89" s="29"/>
      <c r="G89" s="29"/>
      <c r="J89" s="29"/>
    </row>
    <row r="90" spans="1:10">
      <c r="A90" s="1">
        <v>2018</v>
      </c>
      <c r="D90" s="29"/>
      <c r="G90" s="29"/>
      <c r="J90" s="29"/>
    </row>
    <row r="91" spans="1:10">
      <c r="A91" s="1">
        <v>2019</v>
      </c>
      <c r="D91" s="29"/>
      <c r="G91" s="29"/>
      <c r="J91" s="29"/>
    </row>
    <row r="92" spans="1:10">
      <c r="A92" s="1">
        <v>2020</v>
      </c>
      <c r="D92" s="29"/>
      <c r="G92" s="36">
        <v>0.81679999999999997</v>
      </c>
      <c r="J92" s="29"/>
    </row>
    <row r="93" spans="1:10">
      <c r="A93" s="1">
        <v>2021</v>
      </c>
      <c r="D93" s="29"/>
      <c r="G93" s="30"/>
      <c r="J93" s="29"/>
    </row>
    <row r="94" spans="1:10">
      <c r="A94" s="1">
        <v>2022</v>
      </c>
      <c r="D94" s="29"/>
      <c r="G94" s="29"/>
      <c r="J94" s="29"/>
    </row>
    <row r="95" spans="1:10">
      <c r="A95" s="1">
        <v>2023</v>
      </c>
      <c r="J95" s="30">
        <v>0.68</v>
      </c>
    </row>
    <row r="96" spans="1:10">
      <c r="A96" s="1">
        <v>2024</v>
      </c>
      <c r="J96" s="29"/>
    </row>
  </sheetData>
  <mergeCells count="5">
    <mergeCell ref="A1:A3"/>
    <mergeCell ref="B1:J1"/>
    <mergeCell ref="B2:D2"/>
    <mergeCell ref="E2:G2"/>
    <mergeCell ref="H2:J2"/>
  </mergeCells>
  <hyperlinks>
    <hyperlink ref="B40" r:id="rId1" display="https://veterina.com.hr/?p=65885" xr:uid="{00000000-0004-0000-0800-000000000000}"/>
    <hyperlink ref="B41" r:id="rId2" display="https://veterina.com.hr/?p=65885" xr:uid="{00000000-0004-0000-0800-000001000000}"/>
    <hyperlink ref="B42" r:id="rId3" display="https://veterina.com.hr/?p=65885" xr:uid="{00000000-0004-0000-0800-000002000000}"/>
    <hyperlink ref="B43" r:id="rId4" display="https://veterina.com.hr/?p=65885" xr:uid="{00000000-0004-0000-0800-000003000000}"/>
    <hyperlink ref="B44" r:id="rId5" display="https://veterina.com.hr/?p=65885" xr:uid="{00000000-0004-0000-0800-000004000000}"/>
    <hyperlink ref="C40:C44" r:id="rId6" display="https://veterina.com.hr/?p=65885" xr:uid="{00000000-0004-0000-0800-000005000000}"/>
    <hyperlink ref="E44:F44" r:id="rId7" display="https://veterina.com.hr/?p=65885" xr:uid="{00000000-0004-0000-0800-000006000000}"/>
    <hyperlink ref="D52" r:id="rId8" display="https://veterina.com.hr/?p=65885" xr:uid="{00000000-0004-0000-0800-000007000000}"/>
    <hyperlink ref="D61" r:id="rId9" display="https://veterina.com.hr/?p=65885" xr:uid="{00000000-0004-0000-0800-000008000000}"/>
    <hyperlink ref="H2" r:id="rId10" xr:uid="{00000000-0004-0000-0800-000009000000}"/>
    <hyperlink ref="C4" r:id="rId11" display="https://veterina.com.hr/?p=65885" xr:uid="{00000000-0004-0000-0800-00000A000000}"/>
    <hyperlink ref="B2:D2" r:id="rId12" display="Graduating Students" xr:uid="{00000000-0004-0000-0800-00000B000000}"/>
    <hyperlink ref="C7" r:id="rId13" display="https://veterina.com.hr/?p=65885" xr:uid="{00000000-0004-0000-0800-00000C000000}"/>
    <hyperlink ref="C11:C12" r:id="rId14" display="https://veterina.com.hr/?p=65885" xr:uid="{00000000-0004-0000-0800-00000D000000}"/>
    <hyperlink ref="C60" r:id="rId15" display="https://veterina.com.hr/?p=65885" xr:uid="{00000000-0004-0000-0800-00000E000000}"/>
    <hyperlink ref="J95" r:id="rId16" display="https://fve.org/cms/wp-content/uploads/FVE-Survey-2023_updated-v3.pdf" xr:uid="{9C6A1660-180A-4606-9C69-6343CFDFA707}"/>
  </hyperlinks>
  <pageMargins left="0.7" right="0.7" top="0.75" bottom="0.75" header="0.3" footer="0.3"/>
  <drawing r:id="rId17"/>
  <legacyDrawing r:id="rId1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2C4BF-B891-4854-9828-907320D5087D}">
  <dimension ref="A1:B18"/>
  <sheetViews>
    <sheetView workbookViewId="0">
      <selection activeCell="H19" sqref="H19"/>
    </sheetView>
  </sheetViews>
  <sheetFormatPr defaultRowHeight="14.4"/>
  <sheetData>
    <row r="1" spans="1:2">
      <c r="B1" t="s">
        <v>23</v>
      </c>
    </row>
    <row r="2" spans="1:2">
      <c r="A2" t="s">
        <v>0</v>
      </c>
      <c r="B2" t="s">
        <v>3</v>
      </c>
    </row>
    <row r="3" spans="1:2">
      <c r="A3">
        <v>2014</v>
      </c>
      <c r="B3" s="30">
        <v>0.57999999999999996</v>
      </c>
    </row>
    <row r="4" spans="1:2">
      <c r="A4">
        <v>2015</v>
      </c>
      <c r="B4" s="33"/>
    </row>
    <row r="5" spans="1:2">
      <c r="A5">
        <v>2016</v>
      </c>
      <c r="B5" s="33"/>
    </row>
    <row r="6" spans="1:2">
      <c r="A6">
        <v>2017</v>
      </c>
      <c r="B6" s="33"/>
    </row>
    <row r="7" spans="1:2">
      <c r="A7">
        <v>2018</v>
      </c>
      <c r="B7" s="30">
        <v>0.61</v>
      </c>
    </row>
    <row r="8" spans="1:2">
      <c r="A8">
        <v>2019</v>
      </c>
      <c r="B8" s="33"/>
    </row>
    <row r="9" spans="1:2">
      <c r="A9">
        <v>2020</v>
      </c>
      <c r="B9" s="33"/>
    </row>
    <row r="10" spans="1:2">
      <c r="A10">
        <v>2021</v>
      </c>
      <c r="B10" s="33"/>
    </row>
    <row r="11" spans="1:2">
      <c r="A11">
        <v>2022</v>
      </c>
      <c r="B11" s="33"/>
    </row>
    <row r="12" spans="1:2">
      <c r="A12">
        <v>2023</v>
      </c>
      <c r="B12" s="30">
        <v>0.72</v>
      </c>
    </row>
    <row r="13" spans="1:2">
      <c r="A13">
        <v>2024</v>
      </c>
      <c r="B13" s="33"/>
    </row>
    <row r="14" spans="1:2">
      <c r="B14" s="33"/>
    </row>
    <row r="15" spans="1:2">
      <c r="B15" s="33"/>
    </row>
    <row r="16" spans="1:2">
      <c r="B16" s="33"/>
    </row>
    <row r="17" spans="2:2">
      <c r="B17" s="33"/>
    </row>
    <row r="18" spans="2:2">
      <c r="B18" s="33"/>
    </row>
  </sheetData>
  <hyperlinks>
    <hyperlink ref="B3" r:id="rId1" display="https://www.colvet.es/files/portalcontenidos/documentos/document-2022-02-09t112347.069.pdf" xr:uid="{F7BDF613-8488-4401-8CF9-875C49FE2720}"/>
    <hyperlink ref="B7" r:id="rId2" display="https://www.fve.org/cms/wp-content/uploads/FVE_Survey_2018_WEB.pdf" xr:uid="{454CE5F8-7B12-4F43-9948-C5D14614E0A9}"/>
    <hyperlink ref="B12" r:id="rId3" display="https://fve.org/cms/wp-content/uploads/FVE-Survey-2023_updated-v3.pdf" xr:uid="{2FAB06C8-4E81-443A-8CD3-05D142142BCF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214"/>
  <sheetViews>
    <sheetView workbookViewId="0">
      <pane xSplit="1" ySplit="3" topLeftCell="B55" activePane="bottomRight" state="frozen"/>
      <selection pane="topRight" activeCell="B1" sqref="B1"/>
      <selection pane="bottomLeft" activeCell="A4" sqref="A4"/>
      <selection pane="bottomRight" activeCell="J74" sqref="J74"/>
    </sheetView>
  </sheetViews>
  <sheetFormatPr defaultRowHeight="14.4"/>
  <cols>
    <col min="1" max="1" width="5" style="1" customWidth="1"/>
    <col min="2" max="4" width="8.88671875" style="1"/>
  </cols>
  <sheetData>
    <row r="1" spans="1:5">
      <c r="A1" s="1" t="s">
        <v>0</v>
      </c>
      <c r="B1" s="53" t="s">
        <v>57</v>
      </c>
      <c r="C1" s="53"/>
      <c r="D1" s="53"/>
    </row>
    <row r="2" spans="1:5">
      <c r="B2" s="53" t="s">
        <v>58</v>
      </c>
      <c r="C2" s="53"/>
      <c r="D2" s="53"/>
      <c r="E2" t="s">
        <v>23</v>
      </c>
    </row>
    <row r="3" spans="1:5">
      <c r="B3" s="1" t="s">
        <v>34</v>
      </c>
      <c r="C3" s="1" t="s">
        <v>35</v>
      </c>
      <c r="D3" s="1" t="s">
        <v>33</v>
      </c>
      <c r="E3" s="1" t="s">
        <v>3</v>
      </c>
    </row>
    <row r="4" spans="1:5">
      <c r="A4" s="1">
        <v>1965</v>
      </c>
      <c r="B4" s="15">
        <f>C4+340</f>
        <v>407</v>
      </c>
      <c r="C4" s="15">
        <v>67</v>
      </c>
      <c r="D4" s="1">
        <f>C4/B4</f>
        <v>0.16461916461916462</v>
      </c>
      <c r="E4" s="33"/>
    </row>
    <row r="5" spans="1:5">
      <c r="A5" s="1">
        <v>1966</v>
      </c>
      <c r="E5" s="33"/>
    </row>
    <row r="6" spans="1:5">
      <c r="A6" s="1">
        <v>1967</v>
      </c>
      <c r="E6" s="33"/>
    </row>
    <row r="7" spans="1:5">
      <c r="A7" s="1">
        <v>1968</v>
      </c>
      <c r="E7" s="33"/>
    </row>
    <row r="8" spans="1:5">
      <c r="A8" s="1">
        <v>1969</v>
      </c>
      <c r="E8" s="33"/>
    </row>
    <row r="9" spans="1:5">
      <c r="A9" s="1">
        <v>1970</v>
      </c>
      <c r="E9" s="33"/>
    </row>
    <row r="10" spans="1:5">
      <c r="A10" s="1">
        <v>1971</v>
      </c>
      <c r="E10" s="33"/>
    </row>
    <row r="11" spans="1:5">
      <c r="A11" s="1">
        <v>1972</v>
      </c>
      <c r="E11" s="33"/>
    </row>
    <row r="12" spans="1:5">
      <c r="A12" s="1">
        <v>1973</v>
      </c>
      <c r="E12" s="33"/>
    </row>
    <row r="13" spans="1:5">
      <c r="A13" s="1">
        <v>1974</v>
      </c>
      <c r="E13" s="33"/>
    </row>
    <row r="14" spans="1:5">
      <c r="A14" s="1">
        <v>1975</v>
      </c>
      <c r="E14" s="33"/>
    </row>
    <row r="15" spans="1:5">
      <c r="A15" s="1">
        <v>1976</v>
      </c>
      <c r="E15" s="33"/>
    </row>
    <row r="16" spans="1:5">
      <c r="A16" s="1">
        <v>1977</v>
      </c>
      <c r="E16" s="33"/>
    </row>
    <row r="17" spans="1:5">
      <c r="A17" s="11">
        <v>1978</v>
      </c>
      <c r="E17" s="33"/>
    </row>
    <row r="18" spans="1:5">
      <c r="A18" s="11">
        <v>1979</v>
      </c>
      <c r="E18" s="33"/>
    </row>
    <row r="19" spans="1:5">
      <c r="A19" s="11">
        <v>1980</v>
      </c>
      <c r="E19" s="33"/>
    </row>
    <row r="20" spans="1:5">
      <c r="A20" s="11">
        <v>1981</v>
      </c>
      <c r="E20" s="33"/>
    </row>
    <row r="21" spans="1:5">
      <c r="A21" s="11">
        <v>1982</v>
      </c>
      <c r="E21" s="33"/>
    </row>
    <row r="22" spans="1:5">
      <c r="A22" s="11">
        <v>1983</v>
      </c>
      <c r="E22" s="33"/>
    </row>
    <row r="23" spans="1:5">
      <c r="A23" s="11">
        <v>1984</v>
      </c>
      <c r="E23" s="33"/>
    </row>
    <row r="24" spans="1:5">
      <c r="A24" s="11">
        <v>1985</v>
      </c>
      <c r="E24" s="33"/>
    </row>
    <row r="25" spans="1:5">
      <c r="A25" s="11">
        <v>1986</v>
      </c>
      <c r="E25" s="33"/>
    </row>
    <row r="26" spans="1:5">
      <c r="A26" s="11">
        <v>1987</v>
      </c>
      <c r="E26" s="33"/>
    </row>
    <row r="27" spans="1:5">
      <c r="A27" s="11">
        <v>1988</v>
      </c>
      <c r="E27" s="33"/>
    </row>
    <row r="28" spans="1:5">
      <c r="A28" s="11">
        <v>1989</v>
      </c>
      <c r="E28" s="33"/>
    </row>
    <row r="29" spans="1:5">
      <c r="A29" s="11">
        <v>1990</v>
      </c>
      <c r="D29" s="1">
        <v>0.67</v>
      </c>
      <c r="E29" s="33"/>
    </row>
    <row r="30" spans="1:5">
      <c r="A30" s="11">
        <v>1991</v>
      </c>
      <c r="E30" s="33"/>
    </row>
    <row r="31" spans="1:5">
      <c r="A31" s="11">
        <v>1992</v>
      </c>
      <c r="E31" s="33"/>
    </row>
    <row r="32" spans="1:5">
      <c r="A32" s="11">
        <v>1993</v>
      </c>
      <c r="E32" s="33"/>
    </row>
    <row r="33" spans="1:5">
      <c r="A33" s="11">
        <v>1994</v>
      </c>
      <c r="E33" s="33"/>
    </row>
    <row r="34" spans="1:5">
      <c r="A34" s="11">
        <v>1995</v>
      </c>
      <c r="E34" s="33"/>
    </row>
    <row r="35" spans="1:5">
      <c r="A35" s="11">
        <v>1996</v>
      </c>
      <c r="E35" s="33"/>
    </row>
    <row r="36" spans="1:5">
      <c r="A36" s="11">
        <v>1997</v>
      </c>
      <c r="E36" s="33"/>
    </row>
    <row r="37" spans="1:5">
      <c r="A37" s="11">
        <v>1998</v>
      </c>
      <c r="D37" s="1">
        <v>0.75</v>
      </c>
      <c r="E37" s="33"/>
    </row>
    <row r="38" spans="1:5">
      <c r="A38" s="11">
        <v>1999</v>
      </c>
      <c r="E38" s="33"/>
    </row>
    <row r="39" spans="1:5">
      <c r="A39" s="11">
        <v>2000</v>
      </c>
      <c r="E39" s="33"/>
    </row>
    <row r="40" spans="1:5">
      <c r="A40" s="11">
        <v>2001</v>
      </c>
      <c r="E40" s="33"/>
    </row>
    <row r="41" spans="1:5">
      <c r="A41" s="1">
        <v>2002</v>
      </c>
      <c r="E41" s="33"/>
    </row>
    <row r="42" spans="1:5">
      <c r="A42" s="1">
        <v>2003</v>
      </c>
      <c r="E42" s="33"/>
    </row>
    <row r="43" spans="1:5">
      <c r="A43" s="1">
        <v>2004</v>
      </c>
      <c r="E43" s="33"/>
    </row>
    <row r="44" spans="1:5">
      <c r="A44" s="1">
        <v>2005</v>
      </c>
      <c r="E44" s="33"/>
    </row>
    <row r="45" spans="1:5">
      <c r="A45" s="1">
        <v>2006</v>
      </c>
      <c r="E45" s="33"/>
    </row>
    <row r="46" spans="1:5">
      <c r="A46" s="1">
        <v>2007</v>
      </c>
      <c r="D46" s="21">
        <v>0.90100000000000002</v>
      </c>
      <c r="E46" s="33"/>
    </row>
    <row r="47" spans="1:5">
      <c r="A47" s="1">
        <v>2008</v>
      </c>
      <c r="E47" s="33"/>
    </row>
    <row r="48" spans="1:5">
      <c r="A48" s="1">
        <v>2009</v>
      </c>
      <c r="E48" s="33"/>
    </row>
    <row r="49" spans="1:6">
      <c r="A49" s="1">
        <v>2010</v>
      </c>
      <c r="E49" s="33"/>
    </row>
    <row r="50" spans="1:6">
      <c r="A50" s="1">
        <v>2011</v>
      </c>
      <c r="E50" s="33"/>
    </row>
    <row r="51" spans="1:6">
      <c r="A51" s="1">
        <v>2012</v>
      </c>
      <c r="E51" s="33"/>
    </row>
    <row r="52" spans="1:6">
      <c r="A52" s="1">
        <v>2013</v>
      </c>
      <c r="D52" s="29"/>
      <c r="E52" s="33"/>
    </row>
    <row r="53" spans="1:6">
      <c r="A53" s="1">
        <v>2014</v>
      </c>
      <c r="B53" s="15">
        <v>182</v>
      </c>
      <c r="C53" s="15">
        <v>160</v>
      </c>
      <c r="D53" s="33">
        <f>C53/B53</f>
        <v>0.87912087912087911</v>
      </c>
      <c r="E53" s="30">
        <v>0.63</v>
      </c>
      <c r="F53" s="37"/>
    </row>
    <row r="54" spans="1:6">
      <c r="A54" s="1">
        <v>2015</v>
      </c>
      <c r="D54" s="29"/>
      <c r="E54" s="33"/>
    </row>
    <row r="55" spans="1:6">
      <c r="A55" s="1">
        <v>2016</v>
      </c>
      <c r="B55" s="15">
        <f>163+21</f>
        <v>184</v>
      </c>
      <c r="C55" s="15">
        <v>163</v>
      </c>
      <c r="D55" s="29">
        <f>C55/B55</f>
        <v>0.88586956521739135</v>
      </c>
      <c r="E55" s="33"/>
    </row>
    <row r="56" spans="1:6">
      <c r="A56" s="1">
        <v>2017</v>
      </c>
      <c r="D56" s="29"/>
      <c r="E56" s="33"/>
    </row>
    <row r="57" spans="1:6">
      <c r="A57" s="1">
        <v>2018</v>
      </c>
      <c r="E57" s="30">
        <v>0.65</v>
      </c>
    </row>
    <row r="58" spans="1:6">
      <c r="A58" s="1">
        <v>2019</v>
      </c>
      <c r="B58" s="28"/>
      <c r="C58" s="28"/>
      <c r="E58" s="33"/>
    </row>
    <row r="59" spans="1:6">
      <c r="A59" s="1">
        <v>2020</v>
      </c>
      <c r="E59" s="33"/>
    </row>
    <row r="60" spans="1:6">
      <c r="A60" s="1">
        <v>2021</v>
      </c>
      <c r="E60" s="33"/>
    </row>
    <row r="61" spans="1:6">
      <c r="A61" s="1">
        <v>2022</v>
      </c>
      <c r="E61" s="33"/>
    </row>
    <row r="62" spans="1:6">
      <c r="A62" s="1">
        <v>2023</v>
      </c>
      <c r="E62" s="30">
        <v>0.79</v>
      </c>
    </row>
    <row r="63" spans="1:6">
      <c r="A63" s="1">
        <v>2024</v>
      </c>
      <c r="E63" s="33"/>
    </row>
    <row r="64" spans="1:6">
      <c r="E64" s="33"/>
    </row>
    <row r="65" spans="5:5">
      <c r="E65" s="33"/>
    </row>
    <row r="66" spans="5:5">
      <c r="E66" s="33"/>
    </row>
    <row r="67" spans="5:5">
      <c r="E67" s="33"/>
    </row>
    <row r="68" spans="5:5">
      <c r="E68" s="33"/>
    </row>
    <row r="69" spans="5:5">
      <c r="E69" s="33"/>
    </row>
    <row r="70" spans="5:5">
      <c r="E70" s="33"/>
    </row>
    <row r="71" spans="5:5">
      <c r="E71" s="33"/>
    </row>
    <row r="72" spans="5:5">
      <c r="E72" s="33"/>
    </row>
    <row r="73" spans="5:5">
      <c r="E73" s="33"/>
    </row>
    <row r="74" spans="5:5">
      <c r="E74" s="33"/>
    </row>
    <row r="75" spans="5:5">
      <c r="E75" s="33"/>
    </row>
    <row r="76" spans="5:5">
      <c r="E76" s="33"/>
    </row>
    <row r="77" spans="5:5">
      <c r="E77" s="33"/>
    </row>
    <row r="78" spans="5:5">
      <c r="E78" s="33"/>
    </row>
    <row r="79" spans="5:5">
      <c r="E79" s="33"/>
    </row>
    <row r="80" spans="5:5">
      <c r="E80" s="33"/>
    </row>
    <row r="81" spans="5:5">
      <c r="E81" s="33"/>
    </row>
    <row r="82" spans="5:5">
      <c r="E82" s="33"/>
    </row>
    <row r="83" spans="5:5">
      <c r="E83" s="33"/>
    </row>
    <row r="84" spans="5:5">
      <c r="E84" s="33"/>
    </row>
    <row r="85" spans="5:5">
      <c r="E85" s="33"/>
    </row>
    <row r="86" spans="5:5">
      <c r="E86" s="33"/>
    </row>
    <row r="87" spans="5:5">
      <c r="E87" s="33"/>
    </row>
    <row r="88" spans="5:5">
      <c r="E88" s="33"/>
    </row>
    <row r="89" spans="5:5">
      <c r="E89" s="33"/>
    </row>
    <row r="90" spans="5:5">
      <c r="E90" s="33"/>
    </row>
    <row r="91" spans="5:5">
      <c r="E91" s="33"/>
    </row>
    <row r="92" spans="5:5">
      <c r="E92" s="33"/>
    </row>
    <row r="93" spans="5:5">
      <c r="E93" s="33"/>
    </row>
    <row r="94" spans="5:5">
      <c r="E94" s="33"/>
    </row>
    <row r="95" spans="5:5">
      <c r="E95" s="33"/>
    </row>
    <row r="96" spans="5:5">
      <c r="E96" s="33"/>
    </row>
    <row r="97" spans="5:5">
      <c r="E97" s="33"/>
    </row>
    <row r="98" spans="5:5">
      <c r="E98" s="33"/>
    </row>
    <row r="99" spans="5:5">
      <c r="E99" s="33"/>
    </row>
    <row r="100" spans="5:5">
      <c r="E100" s="33"/>
    </row>
    <row r="101" spans="5:5">
      <c r="E101" s="33"/>
    </row>
    <row r="102" spans="5:5">
      <c r="E102" s="33"/>
    </row>
    <row r="103" spans="5:5">
      <c r="E103" s="33"/>
    </row>
    <row r="104" spans="5:5">
      <c r="E104" s="33"/>
    </row>
    <row r="105" spans="5:5">
      <c r="E105" s="33"/>
    </row>
    <row r="106" spans="5:5">
      <c r="E106" s="33"/>
    </row>
    <row r="107" spans="5:5">
      <c r="E107" s="33"/>
    </row>
    <row r="108" spans="5:5">
      <c r="E108" s="33"/>
    </row>
    <row r="109" spans="5:5">
      <c r="E109" s="33"/>
    </row>
    <row r="110" spans="5:5">
      <c r="E110" s="33"/>
    </row>
    <row r="111" spans="5:5">
      <c r="E111" s="33"/>
    </row>
    <row r="112" spans="5:5">
      <c r="E112" s="33"/>
    </row>
    <row r="113" spans="5:5">
      <c r="E113" s="33"/>
    </row>
    <row r="114" spans="5:5">
      <c r="E114" s="33"/>
    </row>
    <row r="115" spans="5:5">
      <c r="E115" s="33"/>
    </row>
    <row r="116" spans="5:5">
      <c r="E116" s="33"/>
    </row>
    <row r="117" spans="5:5">
      <c r="E117" s="33"/>
    </row>
    <row r="118" spans="5:5">
      <c r="E118" s="33"/>
    </row>
    <row r="119" spans="5:5">
      <c r="E119" s="33"/>
    </row>
    <row r="120" spans="5:5">
      <c r="E120" s="33"/>
    </row>
    <row r="121" spans="5:5">
      <c r="E121" s="33"/>
    </row>
    <row r="122" spans="5:5">
      <c r="E122" s="33"/>
    </row>
    <row r="123" spans="5:5">
      <c r="E123" s="33"/>
    </row>
    <row r="124" spans="5:5">
      <c r="E124" s="33"/>
    </row>
    <row r="125" spans="5:5">
      <c r="E125" s="33"/>
    </row>
    <row r="126" spans="5:5">
      <c r="E126" s="33"/>
    </row>
    <row r="127" spans="5:5">
      <c r="E127" s="33"/>
    </row>
    <row r="128" spans="5:5">
      <c r="E128" s="33"/>
    </row>
    <row r="129" spans="5:5">
      <c r="E129" s="33"/>
    </row>
    <row r="130" spans="5:5">
      <c r="E130" s="33"/>
    </row>
    <row r="131" spans="5:5">
      <c r="E131" s="33"/>
    </row>
    <row r="132" spans="5:5">
      <c r="E132" s="33"/>
    </row>
    <row r="133" spans="5:5">
      <c r="E133" s="33"/>
    </row>
    <row r="134" spans="5:5">
      <c r="E134" s="33"/>
    </row>
    <row r="135" spans="5:5">
      <c r="E135" s="33"/>
    </row>
    <row r="136" spans="5:5">
      <c r="E136" s="33"/>
    </row>
    <row r="137" spans="5:5">
      <c r="E137" s="33"/>
    </row>
    <row r="138" spans="5:5">
      <c r="E138" s="33"/>
    </row>
    <row r="139" spans="5:5">
      <c r="E139" s="33"/>
    </row>
    <row r="140" spans="5:5">
      <c r="E140" s="33"/>
    </row>
    <row r="141" spans="5:5">
      <c r="E141" s="33"/>
    </row>
    <row r="142" spans="5:5">
      <c r="E142" s="33"/>
    </row>
    <row r="143" spans="5:5">
      <c r="E143" s="33"/>
    </row>
    <row r="144" spans="5:5">
      <c r="E144" s="33"/>
    </row>
    <row r="145" spans="5:5">
      <c r="E145" s="33"/>
    </row>
    <row r="146" spans="5:5">
      <c r="E146" s="33"/>
    </row>
    <row r="147" spans="5:5">
      <c r="E147" s="33"/>
    </row>
    <row r="148" spans="5:5">
      <c r="E148" s="33"/>
    </row>
    <row r="149" spans="5:5">
      <c r="E149" s="33"/>
    </row>
    <row r="150" spans="5:5">
      <c r="E150" s="33"/>
    </row>
    <row r="151" spans="5:5">
      <c r="E151" s="33"/>
    </row>
    <row r="152" spans="5:5">
      <c r="E152" s="33"/>
    </row>
    <row r="153" spans="5:5">
      <c r="E153" s="33"/>
    </row>
    <row r="154" spans="5:5">
      <c r="E154" s="33"/>
    </row>
    <row r="155" spans="5:5">
      <c r="E155" s="33"/>
    </row>
    <row r="156" spans="5:5">
      <c r="E156" s="33"/>
    </row>
    <row r="157" spans="5:5">
      <c r="E157" s="33"/>
    </row>
    <row r="158" spans="5:5">
      <c r="E158" s="33"/>
    </row>
    <row r="159" spans="5:5">
      <c r="E159" s="33"/>
    </row>
    <row r="160" spans="5:5">
      <c r="E160" s="33"/>
    </row>
    <row r="161" spans="5:5">
      <c r="E161" s="33"/>
    </row>
    <row r="162" spans="5:5">
      <c r="E162" s="33"/>
    </row>
    <row r="163" spans="5:5">
      <c r="E163" s="33"/>
    </row>
    <row r="164" spans="5:5">
      <c r="E164" s="33"/>
    </row>
    <row r="165" spans="5:5">
      <c r="E165" s="33"/>
    </row>
    <row r="166" spans="5:5">
      <c r="E166" s="33"/>
    </row>
    <row r="167" spans="5:5">
      <c r="E167" s="33"/>
    </row>
    <row r="168" spans="5:5">
      <c r="E168" s="33"/>
    </row>
    <row r="169" spans="5:5">
      <c r="E169" s="33"/>
    </row>
    <row r="170" spans="5:5">
      <c r="E170" s="33"/>
    </row>
    <row r="171" spans="5:5">
      <c r="E171" s="33"/>
    </row>
    <row r="172" spans="5:5">
      <c r="E172" s="33"/>
    </row>
    <row r="173" spans="5:5">
      <c r="E173" s="33"/>
    </row>
    <row r="174" spans="5:5">
      <c r="E174" s="33"/>
    </row>
    <row r="175" spans="5:5">
      <c r="E175" s="33"/>
    </row>
    <row r="176" spans="5:5">
      <c r="E176" s="33"/>
    </row>
    <row r="177" spans="5:5">
      <c r="E177" s="33"/>
    </row>
    <row r="178" spans="5:5">
      <c r="E178" s="33"/>
    </row>
    <row r="179" spans="5:5">
      <c r="E179" s="33"/>
    </row>
    <row r="180" spans="5:5">
      <c r="E180" s="33"/>
    </row>
    <row r="181" spans="5:5">
      <c r="E181" s="33"/>
    </row>
    <row r="182" spans="5:5">
      <c r="E182" s="33"/>
    </row>
    <row r="183" spans="5:5">
      <c r="E183" s="33"/>
    </row>
    <row r="184" spans="5:5">
      <c r="E184" s="33"/>
    </row>
    <row r="185" spans="5:5">
      <c r="E185" s="33"/>
    </row>
    <row r="186" spans="5:5">
      <c r="E186" s="33"/>
    </row>
    <row r="187" spans="5:5">
      <c r="E187" s="33"/>
    </row>
    <row r="188" spans="5:5">
      <c r="E188" s="33"/>
    </row>
    <row r="189" spans="5:5">
      <c r="E189" s="33"/>
    </row>
    <row r="190" spans="5:5">
      <c r="E190" s="33"/>
    </row>
    <row r="191" spans="5:5">
      <c r="E191" s="33"/>
    </row>
    <row r="192" spans="5:5">
      <c r="E192" s="33"/>
    </row>
    <row r="193" spans="5:5">
      <c r="E193" s="33"/>
    </row>
    <row r="194" spans="5:5">
      <c r="E194" s="33"/>
    </row>
    <row r="195" spans="5:5">
      <c r="E195" s="33"/>
    </row>
    <row r="196" spans="5:5">
      <c r="E196" s="33"/>
    </row>
    <row r="197" spans="5:5">
      <c r="E197" s="33"/>
    </row>
    <row r="198" spans="5:5">
      <c r="E198" s="33"/>
    </row>
    <row r="199" spans="5:5">
      <c r="E199" s="33"/>
    </row>
    <row r="200" spans="5:5">
      <c r="E200" s="33"/>
    </row>
    <row r="201" spans="5:5">
      <c r="E201" s="33"/>
    </row>
    <row r="202" spans="5:5">
      <c r="E202" s="33"/>
    </row>
    <row r="203" spans="5:5">
      <c r="E203" s="33"/>
    </row>
    <row r="204" spans="5:5">
      <c r="E204" s="33"/>
    </row>
    <row r="205" spans="5:5">
      <c r="E205" s="33"/>
    </row>
    <row r="206" spans="5:5">
      <c r="E206" s="33"/>
    </row>
    <row r="207" spans="5:5">
      <c r="E207" s="33"/>
    </row>
    <row r="208" spans="5:5">
      <c r="E208" s="33"/>
    </row>
    <row r="209" spans="5:5">
      <c r="E209" s="33"/>
    </row>
    <row r="210" spans="5:5">
      <c r="E210" s="33"/>
    </row>
    <row r="211" spans="5:5">
      <c r="E211" s="33"/>
    </row>
    <row r="212" spans="5:5">
      <c r="E212" s="33"/>
    </row>
    <row r="213" spans="5:5">
      <c r="E213" s="33"/>
    </row>
    <row r="214" spans="5:5">
      <c r="E214" s="33"/>
    </row>
  </sheetData>
  <mergeCells count="2">
    <mergeCell ref="B1:D1"/>
    <mergeCell ref="B2:D2"/>
  </mergeCells>
  <hyperlinks>
    <hyperlink ref="D46" r:id="rId1" display="https://www.djoef-forlag.dk/openaccess/samf/samfdocs/2020/2020_1/Samf_7_1_2020.pdf" xr:uid="{00000000-0004-0000-0900-000000000000}"/>
    <hyperlink ref="B53" r:id="rId2" display="https://jyllands-posten.dk/indland/article6901940.ece" xr:uid="{00000000-0004-0000-0900-000001000000}"/>
    <hyperlink ref="C53" r:id="rId3" display="https://jyllands-posten.dk/indland/article6901940.ece" xr:uid="{00000000-0004-0000-0900-000002000000}"/>
    <hyperlink ref="B55" r:id="rId4" display="https://jyllands-posten.dk/indland/article6901940.ece" xr:uid="{00000000-0004-0000-0900-000003000000}"/>
    <hyperlink ref="C55" r:id="rId5" display="https://jyllands-posten.dk/indland/article6901940.ece" xr:uid="{00000000-0004-0000-0900-000004000000}"/>
    <hyperlink ref="C4" r:id="rId6" display="https://www.betænkninger.dk/wp-content/uploads/2021/02/504.pdf" xr:uid="{00000000-0004-0000-0900-000005000000}"/>
    <hyperlink ref="B4" r:id="rId7" display="https://www.betænkninger.dk/wp-content/uploads/2021/02/504.pdf" xr:uid="{00000000-0004-0000-0900-000006000000}"/>
    <hyperlink ref="E53" r:id="rId8" display="https://www.colvet.es/files/portalcontenidos/documentos/document-2022-02-09t112347.069.pdf" xr:uid="{5DCCAAE3-4D91-446B-A81C-51363284BE83}"/>
    <hyperlink ref="E57" r:id="rId9" display="https://www.fve.org/cms/wp-content/uploads/FVE_Survey_2018_WEB.pdf" xr:uid="{FAFBE229-F0EE-4BE9-9571-0A54478F9542}"/>
    <hyperlink ref="E62" r:id="rId10" display="https://fve.org/cms/wp-content/uploads/FVE-Survey-2023_updated-v3.pdf" xr:uid="{6A5D2645-738C-4D7E-9989-596044C44141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B7275-3E16-41F2-ABFA-A2A2D495195C}">
  <dimension ref="A1:H27"/>
  <sheetViews>
    <sheetView workbookViewId="0">
      <selection activeCell="B4" sqref="B4:B13"/>
    </sheetView>
  </sheetViews>
  <sheetFormatPr defaultRowHeight="14.4"/>
  <sheetData>
    <row r="1" spans="1:2">
      <c r="A1" s="52" t="s">
        <v>0</v>
      </c>
      <c r="B1" t="s">
        <v>216</v>
      </c>
    </row>
    <row r="2" spans="1:2">
      <c r="A2" s="52"/>
      <c r="B2" t="s">
        <v>23</v>
      </c>
    </row>
    <row r="3" spans="1:2">
      <c r="A3" s="52"/>
      <c r="B3" t="s">
        <v>3</v>
      </c>
    </row>
    <row r="4" spans="1:2">
      <c r="A4">
        <v>2014</v>
      </c>
      <c r="B4" s="30">
        <v>0.53</v>
      </c>
    </row>
    <row r="5" spans="1:2">
      <c r="A5">
        <v>2015</v>
      </c>
      <c r="B5" s="33"/>
    </row>
    <row r="6" spans="1:2">
      <c r="A6">
        <v>2016</v>
      </c>
      <c r="B6" s="33"/>
    </row>
    <row r="7" spans="1:2">
      <c r="A7">
        <v>2017</v>
      </c>
      <c r="B7" s="33"/>
    </row>
    <row r="8" spans="1:2">
      <c r="A8">
        <v>2018</v>
      </c>
      <c r="B8" s="30">
        <v>0.73</v>
      </c>
    </row>
    <row r="9" spans="1:2">
      <c r="A9">
        <v>2019</v>
      </c>
      <c r="B9" s="33"/>
    </row>
    <row r="10" spans="1:2">
      <c r="A10">
        <v>2020</v>
      </c>
      <c r="B10" s="33"/>
    </row>
    <row r="11" spans="1:2">
      <c r="A11">
        <v>2021</v>
      </c>
      <c r="B11" s="33"/>
    </row>
    <row r="12" spans="1:2">
      <c r="A12">
        <v>2022</v>
      </c>
      <c r="B12" s="33"/>
    </row>
    <row r="13" spans="1:2">
      <c r="A13">
        <v>2023</v>
      </c>
      <c r="B13" s="30">
        <v>0.75</v>
      </c>
    </row>
    <row r="14" spans="1:2">
      <c r="A14">
        <v>2024</v>
      </c>
      <c r="B14" s="33"/>
    </row>
    <row r="17" spans="8:8">
      <c r="H17" s="28"/>
    </row>
    <row r="18" spans="8:8">
      <c r="H18" s="1"/>
    </row>
    <row r="19" spans="8:8">
      <c r="H19" s="1"/>
    </row>
    <row r="20" spans="8:8">
      <c r="H20" s="1"/>
    </row>
    <row r="21" spans="8:8">
      <c r="H21" s="1"/>
    </row>
    <row r="22" spans="8:8">
      <c r="H22" s="1"/>
    </row>
    <row r="23" spans="8:8">
      <c r="H23" s="1"/>
    </row>
    <row r="24" spans="8:8">
      <c r="H24" s="1"/>
    </row>
    <row r="25" spans="8:8">
      <c r="H25" s="1"/>
    </row>
    <row r="26" spans="8:8">
      <c r="H26" s="1"/>
    </row>
    <row r="27" spans="8:8">
      <c r="H27" s="28"/>
    </row>
  </sheetData>
  <mergeCells count="1">
    <mergeCell ref="A1:A3"/>
  </mergeCells>
  <hyperlinks>
    <hyperlink ref="B4" r:id="rId1" display="https://www.colvet.es/files/portalcontenidos/documentos/document-2022-02-09t112347.069.pdf" xr:uid="{D4373D75-9FB3-4BE8-BCFA-AD1C2AC61E00}"/>
    <hyperlink ref="B8" r:id="rId2" display="https://www.fve.org/cms/wp-content/uploads/FVE_Survey_2018_WEB.pdf" xr:uid="{517B4879-1358-4D8C-A0EE-DAF7952D9BD4}"/>
    <hyperlink ref="B13" r:id="rId3" display="https://fve.org/cms/wp-content/uploads/FVE-Survey-2023_updated-v3.pdf" xr:uid="{8E0E5F0C-5FE9-4CCE-87B5-A66BA94038FB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3"/>
  <sheetViews>
    <sheetView workbookViewId="0">
      <pane xSplit="1" ySplit="3" topLeftCell="C16" activePane="bottomRight" state="frozen"/>
      <selection pane="topRight" activeCell="B1" sqref="B1"/>
      <selection pane="bottomLeft" activeCell="A4" sqref="A4"/>
      <selection pane="bottomRight" activeCell="M23" sqref="M23:M32"/>
    </sheetView>
  </sheetViews>
  <sheetFormatPr defaultRowHeight="14.4"/>
  <cols>
    <col min="1" max="1" width="5" style="1" customWidth="1"/>
    <col min="2" max="3" width="9.5546875" style="1" customWidth="1"/>
    <col min="4" max="4" width="8.33203125" style="1" customWidth="1"/>
    <col min="5" max="6" width="8.88671875" style="1"/>
  </cols>
  <sheetData>
    <row r="1" spans="1:13">
      <c r="A1" s="1" t="s">
        <v>0</v>
      </c>
      <c r="D1" s="53" t="s">
        <v>59</v>
      </c>
      <c r="E1" s="53"/>
      <c r="F1" s="53"/>
    </row>
    <row r="2" spans="1:13">
      <c r="B2" s="1" t="s">
        <v>153</v>
      </c>
      <c r="C2" s="1" t="s">
        <v>194</v>
      </c>
      <c r="D2" s="54" t="s">
        <v>31</v>
      </c>
      <c r="E2" s="54"/>
      <c r="F2" s="54"/>
      <c r="G2" s="52" t="s">
        <v>152</v>
      </c>
      <c r="H2" s="52"/>
      <c r="I2" s="52"/>
      <c r="J2" s="52" t="s">
        <v>47</v>
      </c>
      <c r="K2" s="52"/>
      <c r="L2" s="52"/>
      <c r="M2" t="s">
        <v>23</v>
      </c>
    </row>
    <row r="3" spans="1:13">
      <c r="B3" s="1" t="s">
        <v>3</v>
      </c>
      <c r="C3" s="1" t="s">
        <v>3</v>
      </c>
      <c r="D3" s="1" t="s">
        <v>34</v>
      </c>
      <c r="E3" s="1" t="s">
        <v>50</v>
      </c>
      <c r="F3" s="1" t="s">
        <v>3</v>
      </c>
      <c r="G3" s="1" t="s">
        <v>34</v>
      </c>
      <c r="H3" s="1" t="s">
        <v>50</v>
      </c>
      <c r="I3" s="1" t="s">
        <v>3</v>
      </c>
      <c r="J3" s="1" t="s">
        <v>34</v>
      </c>
      <c r="K3" s="1" t="s">
        <v>50</v>
      </c>
      <c r="L3" s="1" t="s">
        <v>3</v>
      </c>
      <c r="M3" s="1" t="s">
        <v>3</v>
      </c>
    </row>
    <row r="4" spans="1:13">
      <c r="A4" s="11">
        <v>1995</v>
      </c>
      <c r="B4" s="11">
        <v>0.88</v>
      </c>
      <c r="C4" s="29">
        <v>0.9375</v>
      </c>
      <c r="M4" s="33"/>
    </row>
    <row r="5" spans="1:13">
      <c r="A5" s="11">
        <v>1996</v>
      </c>
      <c r="B5" s="11">
        <v>0.9</v>
      </c>
      <c r="C5" s="29">
        <v>0.85416666666666663</v>
      </c>
      <c r="M5" s="33"/>
    </row>
    <row r="6" spans="1:13">
      <c r="A6" s="11">
        <v>1997</v>
      </c>
      <c r="B6" s="11">
        <v>0.92</v>
      </c>
      <c r="C6" s="29">
        <v>0.95833333333333337</v>
      </c>
      <c r="M6" s="33"/>
    </row>
    <row r="7" spans="1:13">
      <c r="A7" s="11">
        <v>1998</v>
      </c>
      <c r="B7" s="11">
        <v>0.92</v>
      </c>
      <c r="C7" s="29">
        <v>0.91666666666666663</v>
      </c>
      <c r="M7" s="33"/>
    </row>
    <row r="8" spans="1:13">
      <c r="A8" s="11">
        <v>1999</v>
      </c>
      <c r="B8" s="11">
        <v>0.93</v>
      </c>
      <c r="C8" s="29">
        <v>0.96153846153846156</v>
      </c>
      <c r="M8" s="33"/>
    </row>
    <row r="9" spans="1:13">
      <c r="A9" s="11">
        <v>2000</v>
      </c>
      <c r="B9" s="11">
        <v>0.94</v>
      </c>
      <c r="C9" s="29">
        <v>0.96078431372549022</v>
      </c>
      <c r="M9" s="33"/>
    </row>
    <row r="10" spans="1:13">
      <c r="A10" s="11">
        <v>2001</v>
      </c>
      <c r="B10" s="11">
        <v>0.93</v>
      </c>
      <c r="C10" s="29">
        <v>0.92452830188679247</v>
      </c>
      <c r="M10" s="33"/>
    </row>
    <row r="11" spans="1:13">
      <c r="A11" s="1">
        <v>2002</v>
      </c>
      <c r="B11" s="1">
        <v>0.92</v>
      </c>
      <c r="C11" s="29">
        <v>0.98113207547169812</v>
      </c>
      <c r="M11" s="33"/>
    </row>
    <row r="12" spans="1:13">
      <c r="A12" s="1">
        <v>2003</v>
      </c>
      <c r="B12" s="11">
        <v>0.93</v>
      </c>
      <c r="C12" s="29">
        <v>0.92452830188679247</v>
      </c>
      <c r="M12" s="33"/>
    </row>
    <row r="13" spans="1:13">
      <c r="A13" s="1">
        <v>2004</v>
      </c>
      <c r="B13" s="11">
        <v>0.93</v>
      </c>
      <c r="C13" s="29">
        <v>0.92307692307692313</v>
      </c>
      <c r="M13" s="33"/>
    </row>
    <row r="14" spans="1:13">
      <c r="A14" s="1">
        <v>2005</v>
      </c>
      <c r="B14" s="1">
        <v>0.92</v>
      </c>
      <c r="C14" s="29">
        <v>0.88461538461538458</v>
      </c>
      <c r="M14" s="33"/>
    </row>
    <row r="15" spans="1:13">
      <c r="A15" s="1">
        <v>2006</v>
      </c>
      <c r="B15" s="1">
        <v>0.92</v>
      </c>
      <c r="C15" s="29">
        <v>0.875</v>
      </c>
      <c r="M15" s="33"/>
    </row>
    <row r="16" spans="1:13">
      <c r="A16" s="1">
        <v>2007</v>
      </c>
      <c r="B16" s="1">
        <v>0.92</v>
      </c>
      <c r="C16" s="29">
        <v>0.98275862068965514</v>
      </c>
      <c r="M16" s="33"/>
    </row>
    <row r="17" spans="1:13">
      <c r="A17" s="1">
        <v>2008</v>
      </c>
      <c r="F17" s="29"/>
      <c r="M17" s="33"/>
    </row>
    <row r="18" spans="1:13">
      <c r="A18" s="1">
        <v>2009</v>
      </c>
      <c r="F18" s="29"/>
      <c r="M18" s="33"/>
    </row>
    <row r="19" spans="1:13">
      <c r="A19" s="1">
        <v>2010</v>
      </c>
      <c r="F19" s="29"/>
      <c r="M19" s="33"/>
    </row>
    <row r="20" spans="1:13">
      <c r="A20" s="1">
        <v>2011</v>
      </c>
      <c r="F20" s="29"/>
      <c r="M20" s="33"/>
    </row>
    <row r="21" spans="1:13">
      <c r="A21" s="1">
        <v>2012</v>
      </c>
      <c r="F21" s="29"/>
      <c r="M21" s="33"/>
    </row>
    <row r="22" spans="1:13">
      <c r="A22" s="1">
        <v>2013</v>
      </c>
      <c r="F22" s="29"/>
      <c r="M22" s="33"/>
    </row>
    <row r="23" spans="1:13">
      <c r="A23" s="1">
        <v>2014</v>
      </c>
      <c r="F23" s="29"/>
      <c r="M23" s="30">
        <v>0.87</v>
      </c>
    </row>
    <row r="24" spans="1:13">
      <c r="A24" s="1">
        <v>2015</v>
      </c>
      <c r="F24" s="29"/>
      <c r="M24" s="33"/>
    </row>
    <row r="25" spans="1:13">
      <c r="A25" s="1">
        <v>2016</v>
      </c>
      <c r="F25" s="29"/>
      <c r="M25" s="33"/>
    </row>
    <row r="26" spans="1:13">
      <c r="A26" s="1">
        <v>2017</v>
      </c>
      <c r="B26" s="21">
        <v>0.90800000000000003</v>
      </c>
      <c r="C26" s="21">
        <v>0.90300000000000002</v>
      </c>
      <c r="D26" s="15">
        <v>72</v>
      </c>
      <c r="F26" s="21">
        <v>0.90300000000000002</v>
      </c>
    </row>
    <row r="27" spans="1:13">
      <c r="A27" s="1">
        <v>2018</v>
      </c>
      <c r="B27" s="15">
        <f>692/751</f>
        <v>0.92143808255659121</v>
      </c>
      <c r="C27" s="15">
        <f>68/69</f>
        <v>0.98550724637681164</v>
      </c>
      <c r="D27" s="15">
        <v>69</v>
      </c>
      <c r="F27" s="15">
        <f>68/69</f>
        <v>0.98550724637681164</v>
      </c>
      <c r="G27">
        <v>246</v>
      </c>
      <c r="H27">
        <v>227</v>
      </c>
      <c r="I27">
        <f>H27/G27</f>
        <v>0.92276422764227639</v>
      </c>
      <c r="J27">
        <v>70</v>
      </c>
      <c r="M27" s="30">
        <v>0.89</v>
      </c>
    </row>
    <row r="28" spans="1:13">
      <c r="A28" s="1">
        <v>2019</v>
      </c>
      <c r="B28" s="15">
        <f>651/709</f>
        <v>0.91819464033850495</v>
      </c>
      <c r="C28" s="15">
        <f>65/69</f>
        <v>0.94202898550724634</v>
      </c>
      <c r="D28" s="15">
        <v>69</v>
      </c>
      <c r="F28" s="15">
        <f>65/69</f>
        <v>0.94202898550724634</v>
      </c>
      <c r="G28">
        <v>246</v>
      </c>
      <c r="H28">
        <v>228</v>
      </c>
      <c r="I28">
        <f t="shared" ref="I28:I31" si="0">H28/G28</f>
        <v>0.92682926829268297</v>
      </c>
      <c r="J28">
        <v>65</v>
      </c>
      <c r="M28" s="33"/>
    </row>
    <row r="29" spans="1:13">
      <c r="A29" s="1">
        <v>2020</v>
      </c>
      <c r="B29" s="21">
        <v>0.876</v>
      </c>
      <c r="C29" s="21">
        <v>0.90400000000000003</v>
      </c>
      <c r="D29" s="15">
        <v>73</v>
      </c>
      <c r="F29" s="21">
        <v>0.90400000000000003</v>
      </c>
      <c r="G29">
        <v>249</v>
      </c>
      <c r="H29">
        <v>229</v>
      </c>
      <c r="I29">
        <f t="shared" si="0"/>
        <v>0.91967871485943775</v>
      </c>
      <c r="J29">
        <v>74</v>
      </c>
      <c r="M29" s="33"/>
    </row>
    <row r="30" spans="1:13">
      <c r="A30" s="1">
        <v>2021</v>
      </c>
      <c r="B30" s="21">
        <v>0.85199999999999998</v>
      </c>
      <c r="C30" s="21">
        <v>0.85399999999999998</v>
      </c>
      <c r="D30" s="15">
        <v>71</v>
      </c>
      <c r="E30" s="1">
        <f t="shared" ref="E30:E31" si="1">D30*F30</f>
        <v>66.03</v>
      </c>
      <c r="F30" s="21">
        <v>0.93</v>
      </c>
      <c r="G30">
        <v>236</v>
      </c>
      <c r="H30">
        <v>217</v>
      </c>
      <c r="I30">
        <f t="shared" si="0"/>
        <v>0.91949152542372881</v>
      </c>
      <c r="J30">
        <v>72</v>
      </c>
      <c r="M30" s="33"/>
    </row>
    <row r="31" spans="1:13">
      <c r="A31" s="1">
        <v>2022</v>
      </c>
      <c r="B31" s="21">
        <v>0.85599999999999998</v>
      </c>
      <c r="C31" s="21">
        <v>0.88500000000000001</v>
      </c>
      <c r="D31" s="15">
        <v>70</v>
      </c>
      <c r="E31" s="1">
        <f t="shared" si="1"/>
        <v>63</v>
      </c>
      <c r="F31" s="21">
        <v>0.9</v>
      </c>
      <c r="G31">
        <v>240</v>
      </c>
      <c r="H31">
        <v>215</v>
      </c>
      <c r="I31">
        <f t="shared" si="0"/>
        <v>0.89583333333333337</v>
      </c>
      <c r="J31">
        <v>58</v>
      </c>
      <c r="M31" s="33"/>
    </row>
    <row r="32" spans="1:13">
      <c r="A32" s="1">
        <v>2023</v>
      </c>
      <c r="B32" s="21">
        <v>0.85699999999999998</v>
      </c>
      <c r="C32" s="21">
        <v>0.86</v>
      </c>
      <c r="D32" s="15">
        <v>70</v>
      </c>
      <c r="E32" s="1">
        <f>D32*F32</f>
        <v>60.97</v>
      </c>
      <c r="F32" s="21">
        <v>0.871</v>
      </c>
      <c r="M32" s="30">
        <v>0.93</v>
      </c>
    </row>
    <row r="33" spans="13:13">
      <c r="M33" s="33"/>
    </row>
  </sheetData>
  <mergeCells count="4">
    <mergeCell ref="D1:F1"/>
    <mergeCell ref="D2:F2"/>
    <mergeCell ref="G2:I2"/>
    <mergeCell ref="J2:L2"/>
  </mergeCells>
  <hyperlinks>
    <hyperlink ref="D2:F2" r:id="rId1" display="Entering Students" xr:uid="{00000000-0004-0000-0A00-000000000000}"/>
    <hyperlink ref="F31" r:id="rId2" display="https://www.helsinki.fi/assets/drupal/2022-09/Yhteishaussa kandiohjelmiin hakeneet%2C hyv%C3%A4ksytyt ja opiskelupaikan vastaanottaneet hakukohteittain ja tiedekunnittain 6.9.2022.pdf" xr:uid="{459471C6-6FDD-451B-A5C1-27FF18741DF4}"/>
    <hyperlink ref="B31" r:id="rId3" display="https://www.helsinki.fi/assets/drupal/2022-09/Yhteishaussa kandiohjelmiin hakeneet%2C hyv%C3%A4ksytyt ja opiskelupaikan vastaanottaneet hakukohteittain ja tiedekunnittain 6.9.2022.pdf" xr:uid="{E48DFC12-5622-486E-9AEF-BBBAFB5E8BCD}"/>
    <hyperlink ref="B32" r:id="rId4" display="https://www.helsinki.fi/assets/drupal/2023-09/Yhteishaussa kandiohjelmiin hakeneet%2C hyv%C3%A4ksytyt ja opiskelupaikan vastaanottaneet hakukohteittain ja tiedekunnittain 6.9.2023_1.pdf" xr:uid="{F4EC96F2-1BC7-4060-8733-E9E98350D6BB}"/>
    <hyperlink ref="F32" r:id="rId5" display="https://www.helsinki.fi/assets/drupal/2023-09/Yhteishaussa kandiohjelmiin hakeneet%2C hyv%C3%A4ksytyt ja opiskelupaikan vastaanottaneet hakukohteittain ja tiedekunnittain 6.9.2023_1.pdf" xr:uid="{7F212541-5568-447F-913E-CF3E478D46C1}"/>
    <hyperlink ref="B30" r:id="rId6" display="https://www.helsinki.fi/assets/drupal/2021-09/Yhteishaussa kandiohjelmiin hakeneet%2C hyv%C3%A4ksytyt ja opiskelupaikan vastaanottaneet hakukohteittain ja tiedekunnittain 6.9.2021.pdf" xr:uid="{AE1D228F-787A-4633-93C1-17E20A371F0C}"/>
    <hyperlink ref="C30" r:id="rId7" display="https://www.helsinki.fi/assets/drupal/2021-09/Yhteishaussa kandiohjelmiin hakeneet%2C hyv%C3%A4ksytyt ja opiskelupaikan vastaanottaneet hakukohteittain ja tiedekunnittain 6.9.2021.pdf" xr:uid="{66C8028E-0E63-4081-903B-1AB1CA1E3379}"/>
    <hyperlink ref="F30" r:id="rId8" display="https://www.helsinki.fi/assets/drupal/2021-09/Yhteishaussa kandiohjelmiin hakeneet%2C hyv%C3%A4ksytyt ja opiskelupaikan vastaanottaneet hakukohteittain ja tiedekunnittain 6.9.2021.pdf" xr:uid="{97599012-38B6-4559-8231-A3F1209B0D50}"/>
    <hyperlink ref="C31" r:id="rId9" display="https://www.helsinki.fi/assets/drupal/2022-09/Yhteishaussa kandiohjelmiin hakeneet%2C hyv%C3%A4ksytyt ja opiskelupaikan vastaanottaneet hakukohteittain ja tiedekunnittain 6.9.2022.pdf" xr:uid="{76430023-9546-4CA8-A641-A3CABABF7681}"/>
    <hyperlink ref="D32" r:id="rId10" display="https://www.helsinki.fi/assets/drupal/2023-06/University of Helsinki Statistical overview 2022_0.pdf" xr:uid="{7C9C7419-FE4B-4235-B447-6FFE21E84EF5}"/>
    <hyperlink ref="D31" r:id="rId11" display="https://www.helsinki.fi/assets/drupal/2023-06/University of Helsinki Statistical overview 2022_0.pdf" xr:uid="{1E9BB88D-1154-4AF7-86FD-61FB01559C0A}"/>
    <hyperlink ref="D30" r:id="rId12" display="https://www.helsinki.fi/assets/drupal/2023-06/University of Helsinki Statistical overview 2022_0.pdf" xr:uid="{EE62E83E-535F-446C-8DDF-6CD32ACBA2E5}"/>
    <hyperlink ref="D29" r:id="rId13" display="https://www.helsinki.fi/assets/drupal/2023-06/University of Helsinki Statistical overview 2022_0.pdf" xr:uid="{6A4851F9-F1CE-4D93-BDA9-8293E22D1D93}"/>
    <hyperlink ref="D28" r:id="rId14" display="https://www.helsinki.fi/assets/drupal/2023-06/University of Helsinki Statistical overview 2022_0.pdf" xr:uid="{6BDF4AE4-B2E3-4400-85CE-34FAC95B35E5}"/>
    <hyperlink ref="B29" r:id="rId15" display="https://www.helsinki.fi/assets/drupal/2021-01/Yhteishaussa hakeneet%2C hyv%C3%A4ksytyt ja opiskelupaikan vastaanottaneet hakukohteittain 15.9.2020.pdf" xr:uid="{0071B6A4-AAE6-4D01-9ADC-5DA5E9E809B8}"/>
    <hyperlink ref="B28" r:id="rId16" display="file://C:\Users\neilv\Downloads\Yhteishaussa kandiohjelmiin hakeneet, hyvÃ¤ksytyt ja opiskelupaikan vastaanottaneet hakukohteittain 2.9.2019.pdf" xr:uid="{114BC867-0C16-4448-B70D-1A9123975446}"/>
    <hyperlink ref="C28" r:id="rId17" display="C:\Users\neilv\Downloads\Yhteishaussa kandiohjelmiin hakeneet, hyvÃ¤ksytyt ja opiskelupaikan vastaanottaneet hakukohteittain 2.9.2019.pdf" xr:uid="{82DEE1D0-0E02-47F2-84D2-02432FCEF445}"/>
    <hyperlink ref="C29" r:id="rId18" display="https://www.helsinki.fi/assets/drupal/2021-01/Yhteishaussa hakeneet%2C hyv%C3%A4ksytyt ja opiskelupaikan vastaanottaneet hakukohteittain 15.9.2020.pdf" xr:uid="{B8CC2D26-486E-4A69-9C67-18CB5F809FFA}"/>
    <hyperlink ref="B27" r:id="rId19" display="https://www.helsinki.fi/assets/drupal/2021-03/Yhteishaussa kandiohjelmiin hakeneet%2C hyv%C3%A4ksytyt ja opiskelupaikan vastaanottaneet hakukohteittain 31.8.2018.pdf" xr:uid="{FCB256C5-0CD1-4916-A318-1F7133820ED5}"/>
    <hyperlink ref="C27" r:id="rId20" display="https://www.helsinki.fi/assets/drupal/2021-03/Yhteishaussa kandiohjelmiin hakeneet%2C hyv%C3%A4ksytyt ja opiskelupaikan vastaanottaneet hakukohteittain 31.8.2018.pdf" xr:uid="{70FCB2B3-21DE-42FA-AF94-63622A8F7F4F}"/>
    <hyperlink ref="D27" r:id="rId21" display="https://www.helsinki.fi/assets/drupal/2021-03/Yhteishaussa kandiohjelmiin hakeneet%2C hyv%C3%A4ksytyt ja opiskelupaikan vastaanottaneet hakukohteittain 31.8.2018.pdf" xr:uid="{19021601-7B3B-4792-AECD-701AF748D054}"/>
    <hyperlink ref="F27" r:id="rId22" display="https://www.helsinki.fi/assets/drupal/2021-03/Yhteishaussa kandiohjelmiin hakeneet%2C hyv%C3%A4ksytyt ja opiskelupaikan vastaanottaneet hakukohteittain 31.8.2018.pdf" xr:uid="{863AD5B2-7C7D-444F-A6CA-DE116B520FDE}"/>
    <hyperlink ref="F28" r:id="rId23" display="C:\Users\neilv\Downloads\Yhteishaussa kandiohjelmiin hakeneet, hyvÃ¤ksytyt ja opiskelupaikan vastaanottaneet hakukohteittain 2.9.2019.pdf" xr:uid="{8733F3A9-434E-40DE-9061-03034AADABD8}"/>
    <hyperlink ref="F29" r:id="rId24" display="https://www.helsinki.fi/assets/drupal/2021-01/Yhteishaussa hakeneet%2C hyv%C3%A4ksytyt ja opiskelupaikan vastaanottaneet hakukohteittain 15.9.2020.pdf" xr:uid="{6B8E8F40-F32F-4598-A040-6806EE7E673A}"/>
    <hyperlink ref="B26" r:id="rId25" display="https://www.helsinki.fi/assets/drupal/2021-03/Yhteishaussa kandiohjelmiin hakeneet%2C hyv%C3%A4ksytyt ja opiskelupaikan vastaanottaneet hakukohteittain 14.9.2017.pdf" xr:uid="{19DBA26D-5771-4469-88CA-344C32D44AFC}"/>
    <hyperlink ref="C26" r:id="rId26" display="https://www.helsinki.fi/assets/drupal/2021-03/Yhteishaussa kandiohjelmiin hakeneet%2C hyv%C3%A4ksytyt ja opiskelupaikan vastaanottaneet hakukohteittain 14.9.2017.pdf" xr:uid="{C4F74905-33C4-4C5E-968F-EEEC6E8C08A6}"/>
    <hyperlink ref="D26" r:id="rId27" display="https://www.helsinki.fi/assets/drupal/2021-03/Yhteishaussa kandiohjelmiin hakeneet%2C hyv%C3%A4ksytyt ja opiskelupaikan vastaanottaneet hakukohteittain 14.9.2017.pdf" xr:uid="{F5F9D9C8-F580-478E-B052-335DCF819CA2}"/>
    <hyperlink ref="F26" r:id="rId28" display="https://www.helsinki.fi/assets/drupal/2021-03/Yhteishaussa kandiohjelmiin hakeneet%2C hyv%C3%A4ksytyt ja opiskelupaikan vastaanottaneet hakukohteittain 14.9.2017.pdf" xr:uid="{717B323F-487D-445C-BE64-A5416A528BD8}"/>
    <hyperlink ref="M23" r:id="rId29" display="https://www.colvet.es/files/portalcontenidos/documentos/document-2022-02-09t112347.069.pdf" xr:uid="{835DBFA8-0775-46C7-9863-E73A1ED6198B}"/>
    <hyperlink ref="M27" r:id="rId30" display="https://www.fve.org/cms/wp-content/uploads/FVE_Survey_2018_WEB.pdf" xr:uid="{8F8910F4-E7E5-4DB4-AC89-4B455A0F8076}"/>
    <hyperlink ref="M32" r:id="rId31" display="https://fve.org/cms/wp-content/uploads/FVE-Survey-2023_updated-v3.pdf" xr:uid="{FC91ADB0-86DA-47D5-9E50-E710B5175476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92"/>
  <sheetViews>
    <sheetView workbookViewId="0">
      <pane xSplit="1" ySplit="3" topLeftCell="B16" activePane="bottomRight" state="frozen"/>
      <selection pane="topRight" activeCell="B1" sqref="B1"/>
      <selection pane="bottomLeft" activeCell="A4" sqref="A4"/>
      <selection pane="bottomRight" activeCell="D30" sqref="D30:D91"/>
    </sheetView>
  </sheetViews>
  <sheetFormatPr defaultRowHeight="14.4"/>
  <cols>
    <col min="1" max="1" width="6.88671875" customWidth="1"/>
    <col min="2" max="12" width="8.88671875" style="1"/>
  </cols>
  <sheetData>
    <row r="1" spans="1:12">
      <c r="A1" s="55" t="s">
        <v>0</v>
      </c>
      <c r="B1" s="54" t="s">
        <v>60</v>
      </c>
      <c r="C1" s="54"/>
      <c r="D1" s="54"/>
      <c r="E1" s="54"/>
      <c r="F1" s="54"/>
      <c r="G1" s="54"/>
      <c r="H1" s="54"/>
      <c r="I1" s="54"/>
      <c r="J1" s="54"/>
      <c r="K1" s="54"/>
      <c r="L1" s="54"/>
    </row>
    <row r="2" spans="1:12">
      <c r="A2" s="55"/>
      <c r="B2" s="56" t="s">
        <v>23</v>
      </c>
      <c r="C2" s="56"/>
      <c r="D2" s="56"/>
      <c r="E2" s="53" t="s">
        <v>61</v>
      </c>
      <c r="F2" s="53"/>
      <c r="G2" s="53"/>
      <c r="H2" s="53"/>
      <c r="I2" s="1" t="s">
        <v>62</v>
      </c>
      <c r="J2" s="53" t="s">
        <v>63</v>
      </c>
      <c r="K2" s="53"/>
      <c r="L2" s="53"/>
    </row>
    <row r="3" spans="1:12">
      <c r="A3" s="55"/>
      <c r="B3" s="1" t="s">
        <v>64</v>
      </c>
      <c r="C3" s="1" t="s">
        <v>43</v>
      </c>
      <c r="D3" s="1" t="s">
        <v>44</v>
      </c>
      <c r="E3" s="1" t="s">
        <v>64</v>
      </c>
      <c r="F3" s="1" t="s">
        <v>43</v>
      </c>
      <c r="G3" s="1" t="s">
        <v>44</v>
      </c>
      <c r="H3" s="1" t="s">
        <v>65</v>
      </c>
      <c r="I3" s="1" t="s">
        <v>44</v>
      </c>
      <c r="J3" s="1" t="s">
        <v>64</v>
      </c>
      <c r="K3" s="1" t="s">
        <v>43</v>
      </c>
      <c r="L3" s="1" t="s">
        <v>44</v>
      </c>
    </row>
    <row r="4" spans="1:12">
      <c r="A4" s="1">
        <v>1936</v>
      </c>
      <c r="C4" s="15">
        <v>1</v>
      </c>
      <c r="D4" s="29"/>
      <c r="K4" s="15">
        <v>1</v>
      </c>
    </row>
    <row r="5" spans="1:12">
      <c r="A5" s="1">
        <v>1937</v>
      </c>
      <c r="D5" s="29"/>
    </row>
    <row r="6" spans="1:12">
      <c r="A6" s="1">
        <v>1938</v>
      </c>
      <c r="D6" s="29"/>
    </row>
    <row r="7" spans="1:12">
      <c r="A7" s="1">
        <v>1939</v>
      </c>
      <c r="D7" s="29"/>
    </row>
    <row r="8" spans="1:12">
      <c r="A8" s="1">
        <v>1940</v>
      </c>
      <c r="D8" s="29"/>
    </row>
    <row r="9" spans="1:12">
      <c r="A9" s="1">
        <v>1941</v>
      </c>
      <c r="D9" s="29"/>
    </row>
    <row r="10" spans="1:12">
      <c r="A10" s="1">
        <v>1942</v>
      </c>
      <c r="D10" s="29"/>
    </row>
    <row r="11" spans="1:12">
      <c r="A11" s="1">
        <v>1943</v>
      </c>
      <c r="D11" s="29"/>
    </row>
    <row r="12" spans="1:12">
      <c r="A12" s="1">
        <v>1944</v>
      </c>
      <c r="D12" s="29"/>
    </row>
    <row r="13" spans="1:12">
      <c r="A13" s="1">
        <v>1945</v>
      </c>
      <c r="D13" s="29"/>
    </row>
    <row r="14" spans="1:12">
      <c r="A14" s="1">
        <v>1946</v>
      </c>
      <c r="D14" s="29"/>
    </row>
    <row r="15" spans="1:12">
      <c r="A15" s="1">
        <v>1947</v>
      </c>
      <c r="D15" s="29"/>
    </row>
    <row r="16" spans="1:12">
      <c r="A16" s="1">
        <v>1948</v>
      </c>
      <c r="D16" s="29"/>
    </row>
    <row r="17" spans="1:4">
      <c r="A17" s="1">
        <v>1949</v>
      </c>
      <c r="D17" s="29"/>
    </row>
    <row r="18" spans="1:4">
      <c r="A18" s="1">
        <v>1950</v>
      </c>
      <c r="D18" s="29"/>
    </row>
    <row r="19" spans="1:4">
      <c r="A19" s="1">
        <v>1951</v>
      </c>
      <c r="D19" s="29"/>
    </row>
    <row r="20" spans="1:4">
      <c r="A20" s="1">
        <v>1952</v>
      </c>
      <c r="D20" s="29"/>
    </row>
    <row r="21" spans="1:4">
      <c r="A21" s="1">
        <v>1953</v>
      </c>
      <c r="D21" s="29"/>
    </row>
    <row r="22" spans="1:4">
      <c r="A22" s="1">
        <v>1954</v>
      </c>
      <c r="D22" s="29"/>
    </row>
    <row r="23" spans="1:4">
      <c r="A23" s="1">
        <v>1955</v>
      </c>
      <c r="D23" s="29"/>
    </row>
    <row r="24" spans="1:4">
      <c r="A24" s="1">
        <v>1956</v>
      </c>
      <c r="D24" s="29"/>
    </row>
    <row r="25" spans="1:4">
      <c r="A25" s="1">
        <v>1957</v>
      </c>
      <c r="D25" s="29"/>
    </row>
    <row r="26" spans="1:4">
      <c r="A26" s="1">
        <v>1958</v>
      </c>
      <c r="D26" s="29"/>
    </row>
    <row r="27" spans="1:4">
      <c r="A27" s="1">
        <v>1959</v>
      </c>
      <c r="D27" s="29"/>
    </row>
    <row r="28" spans="1:4">
      <c r="A28" s="1">
        <v>1960</v>
      </c>
      <c r="D28" s="29"/>
    </row>
    <row r="29" spans="1:4">
      <c r="A29" s="1">
        <v>1961</v>
      </c>
      <c r="D29" s="29"/>
    </row>
    <row r="30" spans="1:4">
      <c r="A30" s="1">
        <v>1962</v>
      </c>
      <c r="D30" s="30">
        <v>4.3999999999999997E-2</v>
      </c>
    </row>
    <row r="31" spans="1:4">
      <c r="A31" s="1">
        <v>1963</v>
      </c>
      <c r="D31" s="30">
        <v>4.3999999999999997E-2</v>
      </c>
    </row>
    <row r="32" spans="1:4">
      <c r="A32" s="1">
        <v>1964</v>
      </c>
      <c r="D32" s="29"/>
    </row>
    <row r="33" spans="1:11">
      <c r="A33" s="1">
        <v>1965</v>
      </c>
      <c r="D33" s="30">
        <v>8.4000000000000005E-2</v>
      </c>
    </row>
    <row r="34" spans="1:11">
      <c r="A34" s="1">
        <v>1966</v>
      </c>
      <c r="C34" s="15">
        <v>86</v>
      </c>
      <c r="D34" s="29"/>
    </row>
    <row r="35" spans="1:11">
      <c r="A35" s="1">
        <v>1967</v>
      </c>
      <c r="D35" s="29"/>
    </row>
    <row r="36" spans="1:11">
      <c r="A36" s="1">
        <v>1968</v>
      </c>
      <c r="D36" s="29"/>
      <c r="K36" s="15"/>
    </row>
    <row r="37" spans="1:11">
      <c r="A37" s="1">
        <v>1969</v>
      </c>
      <c r="D37" s="29"/>
    </row>
    <row r="38" spans="1:11">
      <c r="A38" s="1">
        <v>1970</v>
      </c>
      <c r="D38" s="29"/>
      <c r="I38" s="15">
        <v>10</v>
      </c>
    </row>
    <row r="39" spans="1:11">
      <c r="A39" s="1">
        <v>1971</v>
      </c>
      <c r="D39" s="29"/>
    </row>
    <row r="40" spans="1:11">
      <c r="A40" s="1">
        <v>1972</v>
      </c>
      <c r="D40" s="29"/>
    </row>
    <row r="41" spans="1:11">
      <c r="A41" s="1">
        <v>1973</v>
      </c>
      <c r="D41" s="29"/>
    </row>
    <row r="42" spans="1:11">
      <c r="A42" s="1">
        <v>1974</v>
      </c>
      <c r="D42" s="29"/>
    </row>
    <row r="43" spans="1:11">
      <c r="A43" s="1">
        <v>1975</v>
      </c>
      <c r="D43" s="30">
        <v>5.6000000000000001E-2</v>
      </c>
    </row>
    <row r="44" spans="1:11">
      <c r="A44" s="1">
        <v>1976</v>
      </c>
      <c r="D44" s="29"/>
    </row>
    <row r="45" spans="1:11">
      <c r="A45" s="1">
        <v>1977</v>
      </c>
      <c r="D45" s="29"/>
    </row>
    <row r="46" spans="1:11">
      <c r="A46" s="11">
        <v>1978</v>
      </c>
      <c r="D46" s="29"/>
    </row>
    <row r="47" spans="1:11">
      <c r="A47" s="11">
        <v>1979</v>
      </c>
      <c r="D47" s="29"/>
    </row>
    <row r="48" spans="1:11">
      <c r="A48" s="11">
        <v>1980</v>
      </c>
      <c r="D48" s="29"/>
      <c r="I48" s="15">
        <v>30</v>
      </c>
    </row>
    <row r="49" spans="1:10">
      <c r="A49" s="11">
        <v>1981</v>
      </c>
      <c r="D49" s="29"/>
    </row>
    <row r="50" spans="1:10">
      <c r="A50" s="11">
        <v>1982</v>
      </c>
      <c r="D50" s="29"/>
    </row>
    <row r="51" spans="1:10">
      <c r="A51" s="11">
        <v>1983</v>
      </c>
      <c r="D51" s="29"/>
    </row>
    <row r="52" spans="1:10">
      <c r="A52" s="11">
        <v>1984</v>
      </c>
      <c r="D52" s="29"/>
    </row>
    <row r="53" spans="1:10">
      <c r="A53" s="11">
        <v>1985</v>
      </c>
      <c r="D53" s="29"/>
    </row>
    <row r="54" spans="1:10">
      <c r="A54" s="11">
        <v>1986</v>
      </c>
      <c r="D54" s="29"/>
    </row>
    <row r="55" spans="1:10">
      <c r="A55" s="11">
        <v>1987</v>
      </c>
      <c r="D55" s="29"/>
    </row>
    <row r="56" spans="1:10">
      <c r="A56" s="11">
        <v>1988</v>
      </c>
      <c r="D56" s="29"/>
    </row>
    <row r="57" spans="1:10">
      <c r="A57" s="11">
        <v>1989</v>
      </c>
      <c r="D57" s="29"/>
    </row>
    <row r="58" spans="1:10">
      <c r="A58" s="11">
        <v>1990</v>
      </c>
      <c r="D58" s="29"/>
      <c r="G58" s="15">
        <v>50</v>
      </c>
      <c r="I58" s="15">
        <v>50</v>
      </c>
      <c r="J58" s="15"/>
    </row>
    <row r="59" spans="1:10">
      <c r="A59" s="11">
        <v>1991</v>
      </c>
      <c r="D59" s="29"/>
    </row>
    <row r="60" spans="1:10">
      <c r="A60" s="11">
        <v>1992</v>
      </c>
      <c r="D60" s="29"/>
    </row>
    <row r="61" spans="1:10">
      <c r="A61" s="11">
        <v>1993</v>
      </c>
      <c r="D61" s="29"/>
    </row>
    <row r="62" spans="1:10">
      <c r="A62" s="11">
        <v>1994</v>
      </c>
      <c r="D62" s="29"/>
    </row>
    <row r="63" spans="1:10">
      <c r="A63" s="11">
        <v>1995</v>
      </c>
      <c r="D63" s="30">
        <v>0.12</v>
      </c>
    </row>
    <row r="64" spans="1:10">
      <c r="A64" s="11">
        <v>1996</v>
      </c>
      <c r="D64" s="29"/>
    </row>
    <row r="65" spans="1:12">
      <c r="A65" s="11">
        <v>1997</v>
      </c>
      <c r="D65" s="30">
        <v>0.214</v>
      </c>
    </row>
    <row r="66" spans="1:12">
      <c r="A66" s="11">
        <v>1998</v>
      </c>
      <c r="D66" s="29"/>
    </row>
    <row r="67" spans="1:12">
      <c r="A67" s="11">
        <v>1999</v>
      </c>
      <c r="D67" s="29"/>
    </row>
    <row r="68" spans="1:12">
      <c r="A68" s="11">
        <v>2000</v>
      </c>
      <c r="D68" s="29"/>
      <c r="I68" s="15">
        <v>60</v>
      </c>
    </row>
    <row r="69" spans="1:12">
      <c r="A69" s="11">
        <v>2001</v>
      </c>
      <c r="D69" s="29"/>
    </row>
    <row r="70" spans="1:12">
      <c r="A70" s="1">
        <v>2002</v>
      </c>
      <c r="D70" s="29"/>
    </row>
    <row r="71" spans="1:12">
      <c r="A71" s="1">
        <v>2003</v>
      </c>
      <c r="D71" s="29"/>
    </row>
    <row r="72" spans="1:12">
      <c r="A72" s="1">
        <v>2004</v>
      </c>
      <c r="D72" s="29"/>
    </row>
    <row r="73" spans="1:12">
      <c r="A73" s="1">
        <v>2005</v>
      </c>
      <c r="D73" s="29"/>
      <c r="I73" s="1">
        <v>70.3</v>
      </c>
    </row>
    <row r="74" spans="1:12">
      <c r="A74" s="1">
        <v>2006</v>
      </c>
      <c r="D74" s="29"/>
    </row>
    <row r="75" spans="1:12">
      <c r="A75" s="1">
        <v>2007</v>
      </c>
      <c r="B75" s="3">
        <v>16252</v>
      </c>
      <c r="C75" s="23">
        <v>5928</v>
      </c>
      <c r="D75" s="29">
        <f>(C75/B75)</f>
        <v>0.36475510706374598</v>
      </c>
    </row>
    <row r="76" spans="1:12">
      <c r="A76" s="1">
        <v>2008</v>
      </c>
      <c r="D76" s="29"/>
    </row>
    <row r="77" spans="1:12">
      <c r="A77" s="1">
        <v>2009</v>
      </c>
      <c r="D77" s="29"/>
      <c r="I77" s="15">
        <v>72.599999999999994</v>
      </c>
    </row>
    <row r="78" spans="1:12">
      <c r="A78" s="1">
        <v>2010</v>
      </c>
      <c r="B78" s="19">
        <v>16102</v>
      </c>
      <c r="C78" s="16">
        <v>6653</v>
      </c>
      <c r="D78" s="29">
        <f t="shared" ref="D78:D80" si="0">(C78/B78)</f>
        <v>0.4131784871444541</v>
      </c>
      <c r="I78" s="15">
        <v>75</v>
      </c>
      <c r="J78" s="20">
        <v>736</v>
      </c>
      <c r="K78" s="1">
        <f>(J78*L78)/100</f>
        <v>463.68</v>
      </c>
      <c r="L78" s="15">
        <v>63</v>
      </c>
    </row>
    <row r="79" spans="1:12">
      <c r="A79" s="1">
        <v>2011</v>
      </c>
      <c r="D79" s="29"/>
    </row>
    <row r="80" spans="1:12">
      <c r="A80" s="1">
        <v>2012</v>
      </c>
      <c r="B80" s="1">
        <v>16738</v>
      </c>
      <c r="C80" s="1">
        <v>7360</v>
      </c>
      <c r="D80" s="29">
        <f t="shared" si="0"/>
        <v>0.43971800693033813</v>
      </c>
    </row>
    <row r="81" spans="1:12">
      <c r="A81" s="1">
        <v>2013</v>
      </c>
      <c r="D81" s="29"/>
    </row>
    <row r="82" spans="1:12">
      <c r="A82" s="1">
        <v>2014</v>
      </c>
      <c r="D82" s="30">
        <v>0.49</v>
      </c>
    </row>
    <row r="83" spans="1:12">
      <c r="A83" s="1">
        <v>2015</v>
      </c>
      <c r="B83" s="1">
        <v>18084</v>
      </c>
      <c r="C83" s="1">
        <v>8782</v>
      </c>
      <c r="D83" s="29">
        <f>(C83/B83)</f>
        <v>0.4856226498562265</v>
      </c>
      <c r="J83" s="1">
        <f>K83+214</f>
        <v>778</v>
      </c>
      <c r="K83" s="1">
        <v>564</v>
      </c>
      <c r="L83" s="1">
        <f t="shared" ref="L83:L88" si="1">(K83/J83)*100</f>
        <v>72.493573264781489</v>
      </c>
    </row>
    <row r="84" spans="1:12">
      <c r="A84" s="1">
        <v>2016</v>
      </c>
      <c r="B84" s="1">
        <v>18149</v>
      </c>
      <c r="C84" s="1">
        <v>9033</v>
      </c>
      <c r="D84" s="29">
        <f t="shared" ref="D84:D90" si="2">(C84/B84)</f>
        <v>0.4977133726376109</v>
      </c>
      <c r="J84" s="1">
        <f>K84+212</f>
        <v>793</v>
      </c>
      <c r="K84" s="1">
        <v>581</v>
      </c>
      <c r="L84" s="1">
        <f t="shared" si="1"/>
        <v>73.266078184110967</v>
      </c>
    </row>
    <row r="85" spans="1:12">
      <c r="A85" s="1">
        <v>2017</v>
      </c>
      <c r="B85">
        <v>18341</v>
      </c>
      <c r="C85">
        <v>9431</v>
      </c>
      <c r="D85" s="29">
        <f t="shared" si="2"/>
        <v>0.51420315140941064</v>
      </c>
      <c r="G85" s="15">
        <v>75</v>
      </c>
      <c r="J85" s="20">
        <v>810</v>
      </c>
      <c r="K85" s="1">
        <v>615</v>
      </c>
      <c r="L85" s="1">
        <f t="shared" si="1"/>
        <v>75.925925925925924</v>
      </c>
    </row>
    <row r="86" spans="1:12">
      <c r="A86" s="1">
        <v>2018</v>
      </c>
      <c r="B86" s="1">
        <v>18548</v>
      </c>
      <c r="C86" s="1">
        <v>9765</v>
      </c>
      <c r="D86" s="29">
        <f t="shared" si="2"/>
        <v>0.52647185680396813</v>
      </c>
      <c r="J86" s="1">
        <f>K86+233</f>
        <v>868</v>
      </c>
      <c r="K86" s="1">
        <v>635</v>
      </c>
      <c r="L86" s="1">
        <f t="shared" si="1"/>
        <v>73.156682027649765</v>
      </c>
    </row>
    <row r="87" spans="1:12">
      <c r="A87" s="1">
        <v>2019</v>
      </c>
      <c r="B87" s="1">
        <v>18874</v>
      </c>
      <c r="C87" s="1">
        <v>10225</v>
      </c>
      <c r="D87" s="29">
        <f t="shared" si="2"/>
        <v>0.54175055632086466</v>
      </c>
      <c r="J87" s="1">
        <v>968</v>
      </c>
      <c r="K87" s="1">
        <v>731</v>
      </c>
      <c r="L87" s="1">
        <f t="shared" si="1"/>
        <v>75.516528925619824</v>
      </c>
    </row>
    <row r="88" spans="1:12">
      <c r="A88" s="1">
        <v>2020</v>
      </c>
      <c r="B88" s="3">
        <v>19530</v>
      </c>
      <c r="C88" s="1">
        <v>10862</v>
      </c>
      <c r="D88" s="29">
        <f t="shared" si="2"/>
        <v>0.55616999487967234</v>
      </c>
      <c r="E88" s="15">
        <v>3122</v>
      </c>
      <c r="F88" s="15">
        <v>2296</v>
      </c>
      <c r="G88" s="1">
        <f>(F88/E88)*100</f>
        <v>73.542600896860989</v>
      </c>
      <c r="H88" s="1">
        <f>E88-F88-773</f>
        <v>53</v>
      </c>
      <c r="J88" s="1">
        <v>1045</v>
      </c>
      <c r="K88" s="1">
        <v>790</v>
      </c>
      <c r="L88" s="1">
        <f t="shared" si="1"/>
        <v>75.598086124401902</v>
      </c>
    </row>
    <row r="89" spans="1:12">
      <c r="A89" s="1">
        <v>2021</v>
      </c>
      <c r="B89" s="1">
        <v>20197</v>
      </c>
      <c r="C89" s="1">
        <v>11540</v>
      </c>
      <c r="D89" s="29">
        <f t="shared" si="2"/>
        <v>0.57137198593850569</v>
      </c>
      <c r="J89" s="1">
        <v>1116</v>
      </c>
      <c r="K89" s="1">
        <v>828</v>
      </c>
      <c r="L89" s="1">
        <f>(K89/J89)*100</f>
        <v>74.193548387096769</v>
      </c>
    </row>
    <row r="90" spans="1:12">
      <c r="A90" s="1">
        <v>2022</v>
      </c>
      <c r="B90" s="1">
        <v>20844</v>
      </c>
      <c r="C90" s="1">
        <v>12207</v>
      </c>
      <c r="D90" s="29">
        <f t="shared" si="2"/>
        <v>0.58563615428900406</v>
      </c>
      <c r="J90" s="1">
        <v>1097</v>
      </c>
      <c r="K90" s="1">
        <v>847</v>
      </c>
      <c r="L90" s="1">
        <f>(K90/J90)*100</f>
        <v>77.210574293527799</v>
      </c>
    </row>
    <row r="91" spans="1:12">
      <c r="A91" s="1">
        <v>2023</v>
      </c>
      <c r="D91" s="30">
        <v>0.6</v>
      </c>
    </row>
    <row r="92" spans="1:12">
      <c r="A92" s="1">
        <v>2024</v>
      </c>
      <c r="D92" s="29"/>
    </row>
  </sheetData>
  <mergeCells count="5">
    <mergeCell ref="A1:A3"/>
    <mergeCell ref="B1:L1"/>
    <mergeCell ref="B2:D2"/>
    <mergeCell ref="E2:H2"/>
    <mergeCell ref="J2:L2"/>
  </mergeCells>
  <hyperlinks>
    <hyperlink ref="B1:K1" r:id="rId1" display="France" xr:uid="{00000000-0004-0000-0B00-000000000000}"/>
    <hyperlink ref="D63" r:id="rId2" display="https://www.cairn.info/revue-travail-genre-et-societes-2001-1-page-91.htm" xr:uid="{00000000-0004-0000-0B00-000001000000}"/>
    <hyperlink ref="L78" r:id="rId3" display="../../../../Zotero/storage/QZ4XRU23/paulet_5106_1.pdf" xr:uid="{00000000-0004-0000-0B00-000002000000}"/>
    <hyperlink ref="C78" r:id="rId4" display="../../../../Zotero/storage/QZ4XRU23/paulet_5106_1.pdf" xr:uid="{00000000-0004-0000-0B00-000003000000}"/>
    <hyperlink ref="G58" r:id="rId5" display="https://www.cairn.info/revue-formation-emploi-2020-3-page-93.htm" xr:uid="{00000000-0004-0000-0B00-000004000000}"/>
    <hyperlink ref="D30" r:id="rId6" display="https://www.cairn.info/revue-formation-emploi-2020-3-page-93.htm" xr:uid="{00000000-0004-0000-0B00-000005000000}"/>
    <hyperlink ref="D31" r:id="rId7" display="https://www.cairn.info/revue-formation-emploi-2020-3-page-93.htm" xr:uid="{00000000-0004-0000-0B00-000006000000}"/>
    <hyperlink ref="D33" r:id="rId8" display="https://www.cairn.info/revue-formation-emploi-2020-3-page-93.htm" xr:uid="{00000000-0004-0000-0B00-000007000000}"/>
    <hyperlink ref="C34" r:id="rId9" display="https://www.lepointveterinaire.fr/publications/la-semaine-veterinaire/article/n-1252/l-avenir-de-la-profession-est-marque-par-sa-feminisation.html" xr:uid="{00000000-0004-0000-0B00-000008000000}"/>
    <hyperlink ref="I38" r:id="rId10" display="https://oatao.univ-toulouse.fr/5106/1/paulet_5106_1.pdf" xr:uid="{00000000-0004-0000-0B00-000009000000}"/>
    <hyperlink ref="I48" r:id="rId11" display="https://d.docs.live.net/Zotero/storage/7MCSIUWU/veterinaire-une-profession-qui-se-feminise.html" xr:uid="{00000000-0004-0000-0B00-00000A000000}"/>
    <hyperlink ref="I58" r:id="rId12" display="https://d.docs.live.net/Zotero/storage/7MCSIUWU/veterinaire-une-profession-qui-se-feminise.html" xr:uid="{00000000-0004-0000-0B00-00000B000000}"/>
    <hyperlink ref="I68" r:id="rId13" display="https://d.docs.live.net/Zotero/storage/7MCSIUWU/veterinaire-une-profession-qui-se-feminise.html" xr:uid="{00000000-0004-0000-0B00-00000C000000}"/>
    <hyperlink ref="I78" r:id="rId14" display="https://d.docs.live.net/Zotero/storage/7MCSIUWU/veterinaire-une-profession-qui-se-feminise.html" xr:uid="{00000000-0004-0000-0B00-00000D000000}"/>
    <hyperlink ref="K4" r:id="rId15" display="https://www.lepointveterinaire.fr/publications/la-semaine-veterinaire/article/n-1252/l-avenir-de-la-profession-est-marque-par-sa-feminisation.html" xr:uid="{00000000-0004-0000-0B00-00000E000000}"/>
    <hyperlink ref="C4" r:id="rId16" display="https://d.docs.live.net/5141a47629328be6/F" xr:uid="{00000000-0004-0000-0B00-00000F000000}"/>
    <hyperlink ref="E88" r:id="rId17" display="https://www.veterinaire.fr/system/files/files/2021-11/ODV-ATLAS-NATIONAL-2021.pdf" xr:uid="{00000000-0004-0000-0B00-000010000000}"/>
    <hyperlink ref="F88" r:id="rId18" display="https://www.veterinaire.fr/system/files/files/2021-11/ODV-ATLAS-NATIONAL-2021.pdf" xr:uid="{00000000-0004-0000-0B00-000011000000}"/>
    <hyperlink ref="I77" r:id="rId19" display="https://plone.unige.ch/aref2010/communications-orales/premiers-auteurs-en-g/Veterinaire.pdf/view" xr:uid="{00000000-0004-0000-0B00-000012000000}"/>
    <hyperlink ref="G85" r:id="rId20" display="https://journals.openedition.org/formationemploi/8487?lang=fr" xr:uid="{00000000-0004-0000-0B00-000013000000}"/>
    <hyperlink ref="D43" r:id="rId21" display="https://www.crmv-pr.org.br/uploads/revista/arquivos/20160307140058.pdf" xr:uid="{00000000-0004-0000-0B00-000014000000}"/>
    <hyperlink ref="D65" r:id="rId22" display="https://www.crmv-pr.org.br/uploads/revista/arquivos/20160307140058.pdf" xr:uid="{00000000-0004-0000-0B00-000015000000}"/>
    <hyperlink ref="D82" r:id="rId23" display="https://www.colvet.es/files/portalcontenidos/documentos/document-2022-02-09t112347.069.pdf" xr:uid="{EDB8F6B2-22D8-463F-A127-903135C90792}"/>
    <hyperlink ref="D91" r:id="rId24" display="https://fve.org/cms/wp-content/uploads/FVE-Survey-2023_updated-v3.pdf" xr:uid="{92C18CBE-0E55-4F41-92DC-2BE9B717AD86}"/>
  </hyperlinks>
  <pageMargins left="0.7" right="0.7" top="0.75" bottom="0.75" header="0.3" footer="0.3"/>
  <legacyDrawing r:id="rId25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6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69" sqref="D10:D69"/>
    </sheetView>
  </sheetViews>
  <sheetFormatPr defaultRowHeight="14.4"/>
  <cols>
    <col min="1" max="1" width="6.88671875" customWidth="1"/>
    <col min="2" max="17" width="8.88671875" style="1"/>
  </cols>
  <sheetData>
    <row r="1" spans="1:17">
      <c r="A1" s="55" t="s">
        <v>0</v>
      </c>
      <c r="B1" s="54" t="s">
        <v>66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</row>
    <row r="2" spans="1:17">
      <c r="A2" s="55"/>
      <c r="B2" s="53" t="s">
        <v>23</v>
      </c>
      <c r="C2" s="53"/>
      <c r="D2" s="53"/>
      <c r="E2" s="53" t="s">
        <v>67</v>
      </c>
      <c r="F2" s="53"/>
      <c r="G2" s="53"/>
      <c r="H2" s="53"/>
      <c r="I2" s="53" t="s">
        <v>68</v>
      </c>
      <c r="J2" s="53"/>
      <c r="K2" s="53"/>
      <c r="L2" s="53" t="s">
        <v>16</v>
      </c>
      <c r="M2" s="53"/>
      <c r="N2" s="53"/>
      <c r="O2" s="53" t="s">
        <v>69</v>
      </c>
      <c r="P2" s="53"/>
      <c r="Q2" s="53"/>
    </row>
    <row r="3" spans="1:17">
      <c r="A3" s="55"/>
      <c r="B3" s="1" t="s">
        <v>70</v>
      </c>
      <c r="C3" s="1" t="s">
        <v>50</v>
      </c>
      <c r="D3" s="1" t="s">
        <v>3</v>
      </c>
      <c r="E3" s="1" t="s">
        <v>71</v>
      </c>
      <c r="F3" s="1" t="s">
        <v>72</v>
      </c>
      <c r="G3" s="1" t="s">
        <v>73</v>
      </c>
      <c r="H3" s="1" t="s">
        <v>74</v>
      </c>
      <c r="I3" s="1" t="s">
        <v>70</v>
      </c>
      <c r="J3" s="1" t="s">
        <v>50</v>
      </c>
      <c r="K3" s="1" t="s">
        <v>3</v>
      </c>
      <c r="L3" s="1" t="s">
        <v>70</v>
      </c>
      <c r="M3" s="1" t="s">
        <v>50</v>
      </c>
      <c r="N3" s="1" t="s">
        <v>3</v>
      </c>
      <c r="O3" s="1" t="s">
        <v>70</v>
      </c>
      <c r="P3" s="1" t="s">
        <v>50</v>
      </c>
      <c r="Q3" s="1" t="s">
        <v>3</v>
      </c>
    </row>
    <row r="4" spans="1:17">
      <c r="A4" s="1">
        <v>1958</v>
      </c>
      <c r="D4" s="29"/>
      <c r="F4" s="29"/>
      <c r="H4" s="29"/>
      <c r="I4">
        <v>233</v>
      </c>
      <c r="J4" s="1">
        <v>20</v>
      </c>
      <c r="K4" s="29">
        <f t="shared" ref="K4:K34" si="0">J4/I4</f>
        <v>8.5836909871244635E-2</v>
      </c>
      <c r="L4">
        <v>1548</v>
      </c>
      <c r="M4" s="1">
        <v>217</v>
      </c>
      <c r="N4" s="29">
        <f t="shared" ref="N4:N41" si="1">M4/L4</f>
        <v>0.14018087855297157</v>
      </c>
      <c r="O4">
        <v>358</v>
      </c>
      <c r="P4" s="1">
        <v>19</v>
      </c>
      <c r="Q4" s="29">
        <f t="shared" ref="Q4:Q43" si="2">P4/O4</f>
        <v>5.3072625698324022E-2</v>
      </c>
    </row>
    <row r="5" spans="1:17">
      <c r="A5" s="1">
        <v>1959</v>
      </c>
      <c r="D5" s="29"/>
      <c r="F5" s="29"/>
      <c r="H5" s="29"/>
      <c r="I5">
        <v>240</v>
      </c>
      <c r="J5" s="1">
        <v>25</v>
      </c>
      <c r="K5" s="29">
        <f t="shared" si="0"/>
        <v>0.10416666666666667</v>
      </c>
      <c r="L5">
        <v>1570</v>
      </c>
      <c r="M5" s="1">
        <v>226</v>
      </c>
      <c r="N5" s="29">
        <f t="shared" si="1"/>
        <v>0.14394904458598726</v>
      </c>
      <c r="O5">
        <v>291</v>
      </c>
      <c r="P5" s="1">
        <v>12</v>
      </c>
      <c r="Q5" s="29">
        <f t="shared" si="2"/>
        <v>4.1237113402061855E-2</v>
      </c>
    </row>
    <row r="6" spans="1:17">
      <c r="A6" s="1">
        <v>1960</v>
      </c>
      <c r="D6" s="29"/>
      <c r="F6" s="29"/>
      <c r="H6" s="29"/>
      <c r="I6">
        <v>291</v>
      </c>
      <c r="J6" s="1">
        <v>56</v>
      </c>
      <c r="K6" s="29">
        <f t="shared" si="0"/>
        <v>0.19243986254295534</v>
      </c>
      <c r="L6">
        <v>1624</v>
      </c>
      <c r="M6" s="1">
        <v>235</v>
      </c>
      <c r="N6" s="29">
        <f t="shared" si="1"/>
        <v>0.14470443349753695</v>
      </c>
      <c r="O6">
        <v>334</v>
      </c>
      <c r="P6" s="1">
        <v>17</v>
      </c>
      <c r="Q6" s="29">
        <f t="shared" si="2"/>
        <v>5.089820359281437E-2</v>
      </c>
    </row>
    <row r="7" spans="1:17">
      <c r="A7" s="1">
        <v>1961</v>
      </c>
      <c r="D7" s="29"/>
      <c r="F7" s="29"/>
      <c r="H7" s="29"/>
      <c r="I7">
        <v>276</v>
      </c>
      <c r="J7" s="1">
        <v>39</v>
      </c>
      <c r="K7" s="29">
        <f t="shared" si="0"/>
        <v>0.14130434782608695</v>
      </c>
      <c r="L7">
        <v>1641</v>
      </c>
      <c r="M7" s="1">
        <v>231</v>
      </c>
      <c r="N7" s="29">
        <f t="shared" si="1"/>
        <v>0.14076782449725778</v>
      </c>
      <c r="O7">
        <v>339</v>
      </c>
      <c r="P7" s="1">
        <v>26</v>
      </c>
      <c r="Q7" s="29">
        <f t="shared" si="2"/>
        <v>7.6696165191740412E-2</v>
      </c>
    </row>
    <row r="8" spans="1:17">
      <c r="A8" s="1">
        <v>1962</v>
      </c>
      <c r="D8" s="29"/>
      <c r="F8" s="29"/>
      <c r="H8" s="29"/>
      <c r="I8">
        <v>276</v>
      </c>
      <c r="J8" s="1">
        <v>39</v>
      </c>
      <c r="K8" s="29">
        <f t="shared" si="0"/>
        <v>0.14130434782608695</v>
      </c>
      <c r="L8">
        <v>1595</v>
      </c>
      <c r="M8" s="1">
        <v>250</v>
      </c>
      <c r="N8" s="29">
        <f t="shared" si="1"/>
        <v>0.15673981191222572</v>
      </c>
      <c r="O8">
        <v>307</v>
      </c>
      <c r="P8" s="1">
        <v>25</v>
      </c>
      <c r="Q8" s="29">
        <f t="shared" si="2"/>
        <v>8.143322475570032E-2</v>
      </c>
    </row>
    <row r="9" spans="1:17">
      <c r="A9" s="1">
        <v>1963</v>
      </c>
      <c r="D9" s="29"/>
      <c r="F9" s="29"/>
      <c r="H9" s="29"/>
      <c r="I9">
        <v>302</v>
      </c>
      <c r="J9" s="1">
        <v>35</v>
      </c>
      <c r="K9" s="29">
        <f t="shared" si="0"/>
        <v>0.11589403973509933</v>
      </c>
      <c r="L9">
        <v>1647</v>
      </c>
      <c r="M9" s="1">
        <v>309</v>
      </c>
      <c r="N9" s="29">
        <f t="shared" si="1"/>
        <v>0.18761384335154827</v>
      </c>
      <c r="O9">
        <v>406</v>
      </c>
      <c r="P9" s="1">
        <v>40</v>
      </c>
      <c r="Q9" s="29">
        <f t="shared" si="2"/>
        <v>9.8522167487684734E-2</v>
      </c>
    </row>
    <row r="10" spans="1:17">
      <c r="A10" s="1">
        <v>1964</v>
      </c>
      <c r="B10">
        <v>8863</v>
      </c>
      <c r="C10" s="1">
        <v>292</v>
      </c>
      <c r="D10" s="29">
        <f t="shared" ref="D10:D41" si="3">C10/B10</f>
        <v>3.2945955094211894E-2</v>
      </c>
      <c r="F10" s="29"/>
      <c r="H10" s="29"/>
      <c r="I10">
        <v>281</v>
      </c>
      <c r="J10" s="1">
        <v>46</v>
      </c>
      <c r="K10" s="29">
        <f t="shared" si="0"/>
        <v>0.16370106761565836</v>
      </c>
      <c r="L10">
        <v>1712</v>
      </c>
      <c r="M10" s="1">
        <v>331</v>
      </c>
      <c r="N10" s="29">
        <f t="shared" si="1"/>
        <v>0.19334112149532709</v>
      </c>
      <c r="O10">
        <v>531</v>
      </c>
      <c r="P10" s="1">
        <v>31</v>
      </c>
      <c r="Q10" s="29">
        <f t="shared" si="2"/>
        <v>5.8380414312617701E-2</v>
      </c>
    </row>
    <row r="11" spans="1:17">
      <c r="A11" s="1">
        <v>1965</v>
      </c>
      <c r="B11">
        <v>9054</v>
      </c>
      <c r="C11" s="1">
        <v>357</v>
      </c>
      <c r="D11" s="29">
        <f t="shared" si="3"/>
        <v>3.9430086149768055E-2</v>
      </c>
      <c r="F11" s="29"/>
      <c r="H11" s="29"/>
      <c r="I11">
        <v>289</v>
      </c>
      <c r="J11" s="1">
        <v>43</v>
      </c>
      <c r="K11" s="29">
        <f t="shared" si="0"/>
        <v>0.14878892733564014</v>
      </c>
      <c r="L11">
        <v>1748</v>
      </c>
      <c r="M11" s="1">
        <v>313</v>
      </c>
      <c r="N11" s="29">
        <f t="shared" si="1"/>
        <v>0.17906178489702518</v>
      </c>
      <c r="O11">
        <v>486</v>
      </c>
      <c r="P11" s="1">
        <v>33</v>
      </c>
      <c r="Q11" s="29">
        <f t="shared" si="2"/>
        <v>6.7901234567901231E-2</v>
      </c>
    </row>
    <row r="12" spans="1:17">
      <c r="A12" s="1">
        <v>1966</v>
      </c>
      <c r="B12">
        <v>9195</v>
      </c>
      <c r="C12" s="1">
        <v>364</v>
      </c>
      <c r="D12" s="29">
        <f t="shared" si="3"/>
        <v>3.958673191952148E-2</v>
      </c>
      <c r="F12" s="29"/>
      <c r="H12" s="29"/>
      <c r="I12">
        <v>223</v>
      </c>
      <c r="J12" s="1">
        <v>43</v>
      </c>
      <c r="K12" s="29">
        <f t="shared" si="0"/>
        <v>0.19282511210762332</v>
      </c>
      <c r="L12">
        <v>2096</v>
      </c>
      <c r="M12" s="1">
        <v>440</v>
      </c>
      <c r="N12" s="29">
        <f t="shared" si="1"/>
        <v>0.20992366412213739</v>
      </c>
      <c r="O12">
        <v>758</v>
      </c>
      <c r="P12" s="1">
        <v>107</v>
      </c>
      <c r="Q12" s="29">
        <f t="shared" si="2"/>
        <v>0.14116094986807387</v>
      </c>
    </row>
    <row r="13" spans="1:17">
      <c r="A13" s="1">
        <v>1967</v>
      </c>
      <c r="B13">
        <v>9370</v>
      </c>
      <c r="C13" s="1">
        <v>408</v>
      </c>
      <c r="D13" s="29">
        <f t="shared" si="3"/>
        <v>4.3543223052294557E-2</v>
      </c>
      <c r="F13" s="29"/>
      <c r="H13" s="29"/>
      <c r="I13">
        <v>231</v>
      </c>
      <c r="J13" s="1">
        <v>44</v>
      </c>
      <c r="K13" s="29">
        <f t="shared" si="0"/>
        <v>0.19047619047619047</v>
      </c>
      <c r="L13">
        <v>2596</v>
      </c>
      <c r="M13" s="1">
        <v>554</v>
      </c>
      <c r="N13" s="29">
        <f t="shared" si="1"/>
        <v>0.21340523882896764</v>
      </c>
      <c r="O13">
        <v>927</v>
      </c>
      <c r="P13" s="1">
        <v>81</v>
      </c>
      <c r="Q13" s="29">
        <f t="shared" si="2"/>
        <v>8.7378640776699032E-2</v>
      </c>
    </row>
    <row r="14" spans="1:17">
      <c r="A14" s="1">
        <v>1968</v>
      </c>
      <c r="B14">
        <v>9549</v>
      </c>
      <c r="C14" s="1">
        <v>447</v>
      </c>
      <c r="D14" s="29">
        <f t="shared" si="3"/>
        <v>4.6811184417216462E-2</v>
      </c>
      <c r="F14" s="29"/>
      <c r="H14" s="29"/>
      <c r="I14"/>
      <c r="K14" s="29"/>
      <c r="L14">
        <v>2519</v>
      </c>
      <c r="M14" s="1">
        <v>545</v>
      </c>
      <c r="N14" s="29">
        <f t="shared" si="1"/>
        <v>0.21635569670504168</v>
      </c>
      <c r="O14">
        <v>534</v>
      </c>
      <c r="P14" s="1">
        <v>72</v>
      </c>
      <c r="Q14" s="29">
        <f t="shared" si="2"/>
        <v>0.1348314606741573</v>
      </c>
    </row>
    <row r="15" spans="1:17">
      <c r="A15" s="1">
        <v>1969</v>
      </c>
      <c r="B15">
        <v>9518</v>
      </c>
      <c r="C15" s="1">
        <v>558</v>
      </c>
      <c r="D15" s="29">
        <f t="shared" si="3"/>
        <v>5.8625761714645931E-2</v>
      </c>
      <c r="F15" s="29"/>
      <c r="H15" s="29"/>
      <c r="K15" s="29"/>
      <c r="L15">
        <v>2529</v>
      </c>
      <c r="M15" s="1">
        <v>571</v>
      </c>
      <c r="N15" s="29">
        <f t="shared" si="1"/>
        <v>0.22578094108343219</v>
      </c>
      <c r="O15">
        <v>469</v>
      </c>
      <c r="P15" s="1">
        <v>92</v>
      </c>
      <c r="Q15" s="29">
        <f t="shared" si="2"/>
        <v>0.19616204690831557</v>
      </c>
    </row>
    <row r="16" spans="1:17">
      <c r="A16" s="1">
        <v>1970</v>
      </c>
      <c r="B16">
        <v>9908</v>
      </c>
      <c r="C16" s="1">
        <v>605</v>
      </c>
      <c r="D16" s="29">
        <f t="shared" si="3"/>
        <v>6.106176826806621E-2</v>
      </c>
      <c r="F16" s="29"/>
      <c r="H16" s="29"/>
      <c r="K16" s="29"/>
      <c r="L16">
        <v>2600</v>
      </c>
      <c r="M16" s="1">
        <v>637</v>
      </c>
      <c r="N16" s="29">
        <f t="shared" si="1"/>
        <v>0.245</v>
      </c>
      <c r="O16">
        <v>477</v>
      </c>
      <c r="P16" s="1">
        <v>120</v>
      </c>
      <c r="Q16" s="29">
        <f t="shared" si="2"/>
        <v>0.25157232704402516</v>
      </c>
    </row>
    <row r="17" spans="1:17">
      <c r="A17" s="1">
        <v>1971</v>
      </c>
      <c r="B17">
        <v>9960</v>
      </c>
      <c r="C17" s="1">
        <v>600</v>
      </c>
      <c r="D17" s="29">
        <f t="shared" si="3"/>
        <v>6.0240963855421686E-2</v>
      </c>
      <c r="F17" s="29"/>
      <c r="H17" s="29"/>
      <c r="I17">
        <v>397</v>
      </c>
      <c r="J17" s="1">
        <v>104</v>
      </c>
      <c r="K17" s="29">
        <f t="shared" si="0"/>
        <v>0.26196473551637278</v>
      </c>
      <c r="L17">
        <v>2736</v>
      </c>
      <c r="M17" s="1">
        <v>730</v>
      </c>
      <c r="N17" s="29">
        <f t="shared" si="1"/>
        <v>0.266812865497076</v>
      </c>
      <c r="O17">
        <v>380</v>
      </c>
      <c r="P17" s="1">
        <v>96</v>
      </c>
      <c r="Q17" s="29">
        <f t="shared" si="2"/>
        <v>0.25263157894736843</v>
      </c>
    </row>
    <row r="18" spans="1:17">
      <c r="A18" s="1">
        <v>1972</v>
      </c>
      <c r="B18">
        <v>9954</v>
      </c>
      <c r="C18" s="1">
        <v>667</v>
      </c>
      <c r="D18" s="29">
        <f t="shared" si="3"/>
        <v>6.7008237894313843E-2</v>
      </c>
      <c r="F18" s="29"/>
      <c r="H18" s="29"/>
      <c r="I18">
        <v>444</v>
      </c>
      <c r="J18" s="1">
        <v>112</v>
      </c>
      <c r="K18" s="29">
        <f t="shared" si="0"/>
        <v>0.25225225225225223</v>
      </c>
      <c r="L18">
        <v>2830</v>
      </c>
      <c r="M18" s="1">
        <v>851</v>
      </c>
      <c r="N18" s="29">
        <f t="shared" si="1"/>
        <v>0.30070671378091873</v>
      </c>
      <c r="O18">
        <v>642</v>
      </c>
      <c r="Q18" s="29"/>
    </row>
    <row r="19" spans="1:17">
      <c r="A19" s="1">
        <v>1973</v>
      </c>
      <c r="B19">
        <v>10264</v>
      </c>
      <c r="C19" s="1">
        <v>849</v>
      </c>
      <c r="D19" s="29">
        <f t="shared" si="3"/>
        <v>8.2716289945440377E-2</v>
      </c>
      <c r="F19" s="29"/>
      <c r="H19" s="29"/>
      <c r="I19">
        <v>188</v>
      </c>
      <c r="J19" s="1">
        <v>81</v>
      </c>
      <c r="K19" s="29">
        <f t="shared" si="0"/>
        <v>0.43085106382978722</v>
      </c>
      <c r="L19">
        <v>2953</v>
      </c>
      <c r="M19" s="1">
        <v>978</v>
      </c>
      <c r="N19" s="29">
        <f t="shared" si="1"/>
        <v>0.33118862174060276</v>
      </c>
      <c r="O19">
        <v>664</v>
      </c>
      <c r="P19" s="1">
        <v>228</v>
      </c>
      <c r="Q19" s="29">
        <f t="shared" si="2"/>
        <v>0.34337349397590361</v>
      </c>
    </row>
    <row r="20" spans="1:17">
      <c r="A20" s="1">
        <v>1974</v>
      </c>
      <c r="B20">
        <v>10612</v>
      </c>
      <c r="C20" s="1">
        <v>945</v>
      </c>
      <c r="D20" s="29">
        <f t="shared" si="3"/>
        <v>8.9050131926121379E-2</v>
      </c>
      <c r="F20" s="29"/>
      <c r="H20" s="29"/>
      <c r="I20">
        <v>347</v>
      </c>
      <c r="J20" s="1">
        <v>88</v>
      </c>
      <c r="K20" s="29">
        <f t="shared" si="0"/>
        <v>0.25360230547550433</v>
      </c>
      <c r="L20">
        <v>2991</v>
      </c>
      <c r="M20" s="1">
        <v>987</v>
      </c>
      <c r="N20" s="29">
        <f t="shared" si="1"/>
        <v>0.32998996990972917</v>
      </c>
      <c r="O20">
        <v>680</v>
      </c>
      <c r="P20" s="1">
        <v>143</v>
      </c>
      <c r="Q20" s="29">
        <f t="shared" si="2"/>
        <v>0.21029411764705883</v>
      </c>
    </row>
    <row r="21" spans="1:17">
      <c r="A21" s="1">
        <v>1975</v>
      </c>
      <c r="B21">
        <v>10812</v>
      </c>
      <c r="C21" s="1">
        <v>1022</v>
      </c>
      <c r="D21" s="29">
        <f t="shared" si="3"/>
        <v>9.4524602293747692E-2</v>
      </c>
      <c r="F21" s="29"/>
      <c r="H21" s="29"/>
      <c r="I21">
        <v>279</v>
      </c>
      <c r="J21" s="1">
        <v>83</v>
      </c>
      <c r="K21" s="29">
        <f t="shared" si="0"/>
        <v>0.29749103942652327</v>
      </c>
      <c r="L21">
        <v>3228</v>
      </c>
      <c r="M21" s="1">
        <v>1090</v>
      </c>
      <c r="N21" s="29">
        <f t="shared" si="1"/>
        <v>0.33767038413878564</v>
      </c>
      <c r="O21">
        <v>703</v>
      </c>
      <c r="P21" s="1">
        <v>220</v>
      </c>
      <c r="Q21" s="29">
        <f t="shared" si="2"/>
        <v>0.31294452347083929</v>
      </c>
    </row>
    <row r="22" spans="1:17">
      <c r="A22" s="1">
        <v>1976</v>
      </c>
      <c r="B22">
        <v>10978</v>
      </c>
      <c r="C22" s="1">
        <v>1114</v>
      </c>
      <c r="D22" s="29">
        <f t="shared" si="3"/>
        <v>0.10147567862998724</v>
      </c>
      <c r="F22" s="29"/>
      <c r="H22" s="29"/>
      <c r="I22">
        <v>314</v>
      </c>
      <c r="J22" s="1">
        <v>104</v>
      </c>
      <c r="K22" s="29">
        <f t="shared" si="0"/>
        <v>0.33121019108280253</v>
      </c>
      <c r="L22">
        <v>3493</v>
      </c>
      <c r="M22" s="1">
        <v>1145</v>
      </c>
      <c r="N22" s="29">
        <f t="shared" si="1"/>
        <v>0.32779845405095909</v>
      </c>
      <c r="O22">
        <v>807</v>
      </c>
      <c r="P22" s="1">
        <v>273</v>
      </c>
      <c r="Q22" s="29">
        <f t="shared" si="2"/>
        <v>0.33828996282527879</v>
      </c>
    </row>
    <row r="23" spans="1:17">
      <c r="A23" s="1">
        <v>1977</v>
      </c>
      <c r="B23">
        <v>11098</v>
      </c>
      <c r="C23" s="1">
        <v>1233</v>
      </c>
      <c r="D23" s="29">
        <f t="shared" si="3"/>
        <v>0.11110109929717066</v>
      </c>
      <c r="F23" s="29"/>
      <c r="H23" s="29"/>
      <c r="I23">
        <v>379</v>
      </c>
      <c r="J23" s="1">
        <v>153</v>
      </c>
      <c r="K23" s="29">
        <f t="shared" si="0"/>
        <v>0.40369393139841686</v>
      </c>
      <c r="L23">
        <v>3768</v>
      </c>
      <c r="M23" s="1">
        <v>1298</v>
      </c>
      <c r="N23" s="29">
        <f t="shared" si="1"/>
        <v>0.34447983014861994</v>
      </c>
      <c r="O23">
        <v>923</v>
      </c>
      <c r="P23" s="1">
        <v>381</v>
      </c>
      <c r="Q23" s="29">
        <f t="shared" si="2"/>
        <v>0.41278439869989164</v>
      </c>
    </row>
    <row r="24" spans="1:17">
      <c r="A24" s="11">
        <v>1978</v>
      </c>
      <c r="B24">
        <v>11446</v>
      </c>
      <c r="C24" s="1">
        <v>1388</v>
      </c>
      <c r="D24" s="29">
        <f t="shared" si="3"/>
        <v>0.12126507076708021</v>
      </c>
      <c r="F24" s="29"/>
      <c r="H24" s="29"/>
      <c r="I24">
        <v>439</v>
      </c>
      <c r="J24" s="1">
        <v>173</v>
      </c>
      <c r="K24" s="29">
        <f t="shared" si="0"/>
        <v>0.39407744874715261</v>
      </c>
      <c r="L24">
        <v>3931</v>
      </c>
      <c r="M24" s="1">
        <v>1555</v>
      </c>
      <c r="N24" s="29">
        <f t="shared" si="1"/>
        <v>0.39557364538285422</v>
      </c>
      <c r="O24">
        <v>872</v>
      </c>
      <c r="P24" s="1">
        <v>401</v>
      </c>
      <c r="Q24" s="29">
        <f t="shared" si="2"/>
        <v>0.45986238532110091</v>
      </c>
    </row>
    <row r="25" spans="1:17">
      <c r="A25" s="11">
        <v>1979</v>
      </c>
      <c r="B25">
        <v>11750</v>
      </c>
      <c r="C25" s="1">
        <v>1560</v>
      </c>
      <c r="D25" s="29">
        <f t="shared" si="3"/>
        <v>0.1327659574468085</v>
      </c>
      <c r="F25" s="29"/>
      <c r="H25" s="29"/>
      <c r="I25">
        <v>415</v>
      </c>
      <c r="J25" s="1">
        <v>147</v>
      </c>
      <c r="K25" s="29">
        <f t="shared" si="0"/>
        <v>0.35421686746987951</v>
      </c>
      <c r="L25">
        <v>4301</v>
      </c>
      <c r="M25" s="1">
        <v>1760</v>
      </c>
      <c r="N25" s="29">
        <f t="shared" si="1"/>
        <v>0.40920716112531969</v>
      </c>
      <c r="O25">
        <v>894</v>
      </c>
      <c r="P25" s="1">
        <v>408</v>
      </c>
      <c r="Q25" s="29">
        <f t="shared" si="2"/>
        <v>0.4563758389261745</v>
      </c>
    </row>
    <row r="26" spans="1:17">
      <c r="A26" s="11">
        <v>1980</v>
      </c>
      <c r="B26">
        <v>12141</v>
      </c>
      <c r="C26" s="1">
        <v>1722</v>
      </c>
      <c r="D26" s="29">
        <f t="shared" si="3"/>
        <v>0.14183345688164073</v>
      </c>
      <c r="F26" s="29"/>
      <c r="H26" s="29"/>
      <c r="I26">
        <v>426</v>
      </c>
      <c r="J26" s="1">
        <v>182</v>
      </c>
      <c r="K26" s="29">
        <f t="shared" si="0"/>
        <v>0.42723004694835681</v>
      </c>
      <c r="L26">
        <v>4838</v>
      </c>
      <c r="M26" s="1">
        <v>2136</v>
      </c>
      <c r="N26" s="29">
        <f t="shared" si="1"/>
        <v>0.44150475403059114</v>
      </c>
      <c r="O26">
        <v>1013</v>
      </c>
      <c r="P26" s="1">
        <v>527</v>
      </c>
      <c r="Q26" s="29">
        <f t="shared" si="2"/>
        <v>0.52023692003948663</v>
      </c>
    </row>
    <row r="27" spans="1:17">
      <c r="A27" s="11">
        <v>1981</v>
      </c>
      <c r="B27">
        <v>12478</v>
      </c>
      <c r="C27" s="1">
        <v>1908</v>
      </c>
      <c r="D27" s="29">
        <f t="shared" si="3"/>
        <v>0.15290912005129026</v>
      </c>
      <c r="F27" s="29"/>
      <c r="H27" s="29"/>
      <c r="I27">
        <v>531</v>
      </c>
      <c r="J27" s="1">
        <v>182</v>
      </c>
      <c r="K27" s="29">
        <f t="shared" si="0"/>
        <v>0.34274952919020718</v>
      </c>
      <c r="L27">
        <v>5251</v>
      </c>
      <c r="M27" s="1">
        <v>2461</v>
      </c>
      <c r="N27" s="29">
        <f t="shared" si="1"/>
        <v>0.46867263378404111</v>
      </c>
      <c r="O27">
        <v>929</v>
      </c>
      <c r="P27" s="1">
        <v>494</v>
      </c>
      <c r="Q27" s="29">
        <f t="shared" si="2"/>
        <v>0.53175457481162536</v>
      </c>
    </row>
    <row r="28" spans="1:17">
      <c r="A28" s="11">
        <v>1982</v>
      </c>
      <c r="B28">
        <v>12969</v>
      </c>
      <c r="C28" s="1">
        <v>2116</v>
      </c>
      <c r="D28" s="29">
        <f t="shared" si="3"/>
        <v>0.16315830056288072</v>
      </c>
      <c r="F28" s="29"/>
      <c r="H28" s="29"/>
      <c r="I28">
        <v>585</v>
      </c>
      <c r="J28" s="1">
        <v>243</v>
      </c>
      <c r="K28" s="29">
        <f t="shared" si="0"/>
        <v>0.41538461538461541</v>
      </c>
      <c r="L28">
        <v>5546</v>
      </c>
      <c r="M28" s="1">
        <v>2740</v>
      </c>
      <c r="N28" s="29">
        <f t="shared" si="1"/>
        <v>0.49404976559682656</v>
      </c>
      <c r="O28">
        <v>956</v>
      </c>
      <c r="P28" s="1">
        <v>541</v>
      </c>
      <c r="Q28" s="29">
        <f t="shared" si="2"/>
        <v>0.56589958158995812</v>
      </c>
    </row>
    <row r="29" spans="1:17">
      <c r="A29" s="11">
        <v>1983</v>
      </c>
      <c r="B29">
        <v>13423</v>
      </c>
      <c r="C29" s="1">
        <v>2341</v>
      </c>
      <c r="D29" s="29">
        <f t="shared" si="3"/>
        <v>0.17440214557103478</v>
      </c>
      <c r="F29" s="29"/>
      <c r="H29" s="29"/>
      <c r="I29">
        <v>683</v>
      </c>
      <c r="J29" s="1">
        <v>310</v>
      </c>
      <c r="K29" s="29">
        <f t="shared" si="0"/>
        <v>0.45387994143484628</v>
      </c>
      <c r="L29">
        <v>5653</v>
      </c>
      <c r="M29" s="1">
        <v>2910</v>
      </c>
      <c r="N29" s="29">
        <f t="shared" si="1"/>
        <v>0.51477091809658593</v>
      </c>
      <c r="O29">
        <v>897</v>
      </c>
      <c r="P29" s="1">
        <v>516</v>
      </c>
      <c r="Q29" s="29">
        <f t="shared" si="2"/>
        <v>0.57525083612040129</v>
      </c>
    </row>
    <row r="30" spans="1:17">
      <c r="A30" s="11">
        <v>1984</v>
      </c>
      <c r="B30">
        <v>14004</v>
      </c>
      <c r="C30" s="1">
        <v>2680</v>
      </c>
      <c r="D30" s="29">
        <f t="shared" si="3"/>
        <v>0.19137389317337902</v>
      </c>
      <c r="F30" s="29"/>
      <c r="H30" s="29"/>
      <c r="I30">
        <v>785</v>
      </c>
      <c r="J30" s="1">
        <v>361</v>
      </c>
      <c r="K30" s="29">
        <f t="shared" si="0"/>
        <v>0.45987261146496816</v>
      </c>
      <c r="L30">
        <v>5762</v>
      </c>
      <c r="M30" s="1">
        <v>3124</v>
      </c>
      <c r="N30" s="29">
        <f t="shared" si="1"/>
        <v>0.54217285664699755</v>
      </c>
      <c r="O30">
        <v>985</v>
      </c>
      <c r="P30" s="1">
        <v>610</v>
      </c>
      <c r="Q30" s="29">
        <f t="shared" si="2"/>
        <v>0.61928934010152281</v>
      </c>
    </row>
    <row r="31" spans="1:17">
      <c r="A31" s="11">
        <v>1985</v>
      </c>
      <c r="B31">
        <v>14621</v>
      </c>
      <c r="C31" s="1">
        <v>3055</v>
      </c>
      <c r="D31" s="29">
        <f t="shared" si="3"/>
        <v>0.20894603652280966</v>
      </c>
      <c r="F31" s="29"/>
      <c r="H31" s="29"/>
      <c r="I31">
        <v>805</v>
      </c>
      <c r="J31" s="1">
        <v>401</v>
      </c>
      <c r="K31" s="29">
        <f t="shared" si="0"/>
        <v>0.49813664596273294</v>
      </c>
      <c r="L31">
        <v>5806</v>
      </c>
      <c r="M31" s="1">
        <v>3289</v>
      </c>
      <c r="N31" s="29">
        <f t="shared" si="1"/>
        <v>0.56648294867378579</v>
      </c>
      <c r="O31">
        <v>964</v>
      </c>
      <c r="P31" s="1">
        <v>582</v>
      </c>
      <c r="Q31" s="29">
        <f t="shared" si="2"/>
        <v>0.60373443983402486</v>
      </c>
    </row>
    <row r="32" spans="1:17">
      <c r="A32" s="11">
        <v>1986</v>
      </c>
      <c r="B32">
        <v>15259</v>
      </c>
      <c r="C32" s="1">
        <v>3426</v>
      </c>
      <c r="D32" s="29">
        <f t="shared" si="3"/>
        <v>0.2245232321908382</v>
      </c>
      <c r="F32" s="29"/>
      <c r="H32" s="29"/>
      <c r="I32">
        <v>805</v>
      </c>
      <c r="J32" s="1">
        <v>397</v>
      </c>
      <c r="K32" s="29">
        <f t="shared" si="0"/>
        <v>0.49316770186335401</v>
      </c>
      <c r="L32">
        <v>5815</v>
      </c>
      <c r="M32" s="1">
        <v>3373</v>
      </c>
      <c r="N32" s="29">
        <f t="shared" si="1"/>
        <v>0.58005159071367152</v>
      </c>
      <c r="O32">
        <v>893</v>
      </c>
      <c r="P32" s="1">
        <v>547</v>
      </c>
      <c r="Q32" s="29">
        <f t="shared" si="2"/>
        <v>0.61254199328107506</v>
      </c>
    </row>
    <row r="33" spans="1:17">
      <c r="A33" s="11">
        <v>1987</v>
      </c>
      <c r="B33">
        <v>15954</v>
      </c>
      <c r="C33" s="1">
        <v>3858</v>
      </c>
      <c r="D33" s="29">
        <f t="shared" si="3"/>
        <v>0.2418202331703648</v>
      </c>
      <c r="F33" s="29"/>
      <c r="H33" s="29"/>
      <c r="I33">
        <v>824</v>
      </c>
      <c r="J33" s="1">
        <v>457</v>
      </c>
      <c r="K33" s="29">
        <f t="shared" si="0"/>
        <v>0.55461165048543692</v>
      </c>
      <c r="L33">
        <v>5895</v>
      </c>
      <c r="M33" s="1">
        <v>3569</v>
      </c>
      <c r="N33" s="29">
        <f t="shared" si="1"/>
        <v>0.60542832909245126</v>
      </c>
      <c r="O33">
        <v>875</v>
      </c>
      <c r="P33" s="1">
        <v>559</v>
      </c>
      <c r="Q33" s="29">
        <f t="shared" si="2"/>
        <v>0.6388571428571429</v>
      </c>
    </row>
    <row r="34" spans="1:17">
      <c r="A34" s="11">
        <v>1988</v>
      </c>
      <c r="B34">
        <v>16551</v>
      </c>
      <c r="C34" s="1">
        <v>4281</v>
      </c>
      <c r="D34" s="29">
        <f t="shared" si="3"/>
        <v>0.25865506615914446</v>
      </c>
      <c r="F34" s="29"/>
      <c r="H34" s="29"/>
      <c r="I34">
        <v>849</v>
      </c>
      <c r="J34" s="1">
        <v>461</v>
      </c>
      <c r="K34" s="29">
        <f t="shared" si="0"/>
        <v>0.54299175500588925</v>
      </c>
      <c r="L34">
        <v>5960</v>
      </c>
      <c r="M34" s="1">
        <v>3644</v>
      </c>
      <c r="N34" s="29">
        <f t="shared" si="1"/>
        <v>0.61140939597315436</v>
      </c>
      <c r="O34">
        <v>895</v>
      </c>
      <c r="P34" s="1">
        <v>608</v>
      </c>
      <c r="Q34" s="29">
        <f t="shared" si="2"/>
        <v>0.67932960893854744</v>
      </c>
    </row>
    <row r="35" spans="1:17">
      <c r="A35" s="11">
        <v>1989</v>
      </c>
      <c r="B35">
        <v>17224</v>
      </c>
      <c r="C35" s="1">
        <v>4699</v>
      </c>
      <c r="D35" s="29">
        <f t="shared" si="3"/>
        <v>0.27281699953553179</v>
      </c>
      <c r="F35" s="29"/>
      <c r="H35" s="29"/>
      <c r="I35">
        <v>779</v>
      </c>
      <c r="J35" s="1">
        <v>464</v>
      </c>
      <c r="K35" s="29">
        <f>J35/I35</f>
        <v>0.59563543003851094</v>
      </c>
      <c r="L35">
        <v>5873</v>
      </c>
      <c r="M35" s="1">
        <v>3689</v>
      </c>
      <c r="N35" s="29">
        <f t="shared" si="1"/>
        <v>0.6281287246722288</v>
      </c>
      <c r="O35">
        <v>904</v>
      </c>
      <c r="P35" s="1">
        <v>600</v>
      </c>
      <c r="Q35" s="29">
        <f t="shared" si="2"/>
        <v>0.66371681415929207</v>
      </c>
    </row>
    <row r="36" spans="1:17">
      <c r="A36" s="11">
        <v>1990</v>
      </c>
      <c r="B36">
        <v>18163</v>
      </c>
      <c r="C36" s="1">
        <v>5259</v>
      </c>
      <c r="D36" s="29">
        <f t="shared" si="3"/>
        <v>0.28954467874249851</v>
      </c>
      <c r="F36" s="29"/>
      <c r="H36" s="29"/>
      <c r="I36">
        <v>761</v>
      </c>
      <c r="J36" s="1">
        <v>450</v>
      </c>
      <c r="K36" s="29">
        <f>J36/I36</f>
        <v>0.59132720105124836</v>
      </c>
      <c r="L36">
        <v>5704</v>
      </c>
      <c r="M36" s="1">
        <v>3728</v>
      </c>
      <c r="N36" s="29">
        <f t="shared" si="1"/>
        <v>0.65357643758765782</v>
      </c>
      <c r="O36">
        <v>906</v>
      </c>
      <c r="P36" s="1">
        <v>674</v>
      </c>
      <c r="Q36" s="29">
        <f t="shared" si="2"/>
        <v>0.74392935982339958</v>
      </c>
    </row>
    <row r="37" spans="1:17">
      <c r="A37" s="11">
        <v>1991</v>
      </c>
      <c r="B37">
        <v>23844</v>
      </c>
      <c r="C37" s="1">
        <v>6939</v>
      </c>
      <c r="D37" s="29">
        <f t="shared" si="3"/>
        <v>0.29101660795168593</v>
      </c>
      <c r="F37" s="29"/>
      <c r="H37" s="29"/>
      <c r="I37">
        <v>796</v>
      </c>
      <c r="J37" s="1">
        <v>473</v>
      </c>
      <c r="K37" s="29">
        <f t="shared" ref="K37:K69" si="4">J37/I37</f>
        <v>0.59422110552763818</v>
      </c>
      <c r="L37">
        <v>6890</v>
      </c>
      <c r="M37" s="1">
        <v>4368</v>
      </c>
      <c r="N37" s="29">
        <f t="shared" si="1"/>
        <v>0.63396226415094337</v>
      </c>
      <c r="O37">
        <v>1201</v>
      </c>
      <c r="P37" s="1">
        <v>853</v>
      </c>
      <c r="Q37" s="29">
        <f t="shared" si="2"/>
        <v>0.71024146544546207</v>
      </c>
    </row>
    <row r="38" spans="1:17">
      <c r="A38" s="11">
        <v>1992</v>
      </c>
      <c r="B38" s="1">
        <v>24558</v>
      </c>
      <c r="C38" s="1">
        <v>7438</v>
      </c>
      <c r="D38" s="29">
        <f t="shared" si="3"/>
        <v>0.3028748269403046</v>
      </c>
      <c r="F38" s="29"/>
      <c r="H38" s="29"/>
      <c r="I38">
        <v>972</v>
      </c>
      <c r="J38" s="1">
        <v>583</v>
      </c>
      <c r="K38" s="29">
        <f t="shared" si="4"/>
        <v>0.59979423868312753</v>
      </c>
      <c r="L38">
        <v>6893</v>
      </c>
      <c r="M38" s="1">
        <v>4552</v>
      </c>
      <c r="N38" s="29">
        <f t="shared" si="1"/>
        <v>0.66038009574931089</v>
      </c>
      <c r="O38">
        <v>1060</v>
      </c>
      <c r="P38" s="1">
        <v>810</v>
      </c>
      <c r="Q38" s="29">
        <f t="shared" si="2"/>
        <v>0.76415094339622647</v>
      </c>
    </row>
    <row r="39" spans="1:17">
      <c r="A39" s="11">
        <v>1993</v>
      </c>
      <c r="B39">
        <v>25389</v>
      </c>
      <c r="C39" s="1">
        <v>8062</v>
      </c>
      <c r="D39" s="29">
        <f t="shared" si="3"/>
        <v>0.31753909173264011</v>
      </c>
      <c r="F39" s="29"/>
      <c r="H39" s="29"/>
      <c r="I39">
        <v>1007</v>
      </c>
      <c r="J39" s="1">
        <v>636</v>
      </c>
      <c r="K39" s="29">
        <f t="shared" si="4"/>
        <v>0.63157894736842102</v>
      </c>
      <c r="L39">
        <v>6892</v>
      </c>
      <c r="M39" s="1">
        <v>4735</v>
      </c>
      <c r="N39" s="29">
        <f t="shared" si="1"/>
        <v>0.68702843876958797</v>
      </c>
      <c r="O39">
        <v>1076</v>
      </c>
      <c r="P39" s="1">
        <v>855</v>
      </c>
      <c r="Q39" s="29">
        <f t="shared" si="2"/>
        <v>0.79460966542750933</v>
      </c>
    </row>
    <row r="40" spans="1:17">
      <c r="A40" s="11">
        <v>1994</v>
      </c>
      <c r="B40">
        <v>26118</v>
      </c>
      <c r="C40" s="1">
        <v>8622</v>
      </c>
      <c r="D40" s="29">
        <f t="shared" si="3"/>
        <v>0.33011716057891111</v>
      </c>
      <c r="F40" s="29"/>
      <c r="H40" s="29"/>
      <c r="I40">
        <v>922</v>
      </c>
      <c r="J40" s="1">
        <v>566</v>
      </c>
      <c r="K40" s="29">
        <f t="shared" si="4"/>
        <v>0.61388286334056397</v>
      </c>
      <c r="L40">
        <v>6759</v>
      </c>
      <c r="M40" s="1">
        <v>4840</v>
      </c>
      <c r="N40" s="29">
        <f t="shared" si="1"/>
        <v>0.71608226068945113</v>
      </c>
      <c r="O40" s="1">
        <v>1034</v>
      </c>
      <c r="P40" s="1">
        <v>803</v>
      </c>
      <c r="Q40" s="29">
        <f t="shared" si="2"/>
        <v>0.77659574468085102</v>
      </c>
    </row>
    <row r="41" spans="1:17">
      <c r="A41" s="11">
        <v>1995</v>
      </c>
      <c r="B41">
        <v>26932</v>
      </c>
      <c r="C41" s="1">
        <v>9216</v>
      </c>
      <c r="D41" s="29">
        <f t="shared" si="3"/>
        <v>0.34219515817614732</v>
      </c>
      <c r="F41" s="29"/>
      <c r="H41" s="29"/>
      <c r="I41">
        <v>1011</v>
      </c>
      <c r="J41" s="1">
        <f>619+25</f>
        <v>644</v>
      </c>
      <c r="K41" s="29">
        <f t="shared" si="4"/>
        <v>0.63699307616221568</v>
      </c>
      <c r="L41">
        <v>6743</v>
      </c>
      <c r="M41" s="1">
        <v>5010</v>
      </c>
      <c r="N41" s="29">
        <f t="shared" si="1"/>
        <v>0.74299273320480497</v>
      </c>
      <c r="O41" s="1">
        <v>1090</v>
      </c>
      <c r="P41" s="20">
        <v>876</v>
      </c>
      <c r="Q41" s="29">
        <f t="shared" si="2"/>
        <v>0.80366972477064225</v>
      </c>
    </row>
    <row r="42" spans="1:17">
      <c r="A42" s="11">
        <v>1996</v>
      </c>
      <c r="D42" s="29"/>
      <c r="F42" s="29"/>
      <c r="H42" s="29"/>
      <c r="I42" s="1">
        <f>1040+70</f>
        <v>1110</v>
      </c>
      <c r="J42" s="1">
        <f>671+18</f>
        <v>689</v>
      </c>
      <c r="K42" s="29">
        <f t="shared" si="4"/>
        <v>0.62072072072072071</v>
      </c>
      <c r="L42">
        <v>6617</v>
      </c>
      <c r="M42" s="1">
        <f>4932+154</f>
        <v>5086</v>
      </c>
      <c r="N42" s="29">
        <f>M42/L42</f>
        <v>0.76862626567931092</v>
      </c>
      <c r="O42">
        <v>1113</v>
      </c>
      <c r="P42" s="1">
        <v>874</v>
      </c>
      <c r="Q42" s="29">
        <f t="shared" si="2"/>
        <v>0.78526504941599284</v>
      </c>
    </row>
    <row r="43" spans="1:17">
      <c r="A43" s="11">
        <v>1997</v>
      </c>
      <c r="D43" s="29"/>
      <c r="F43" s="29"/>
      <c r="H43" s="29"/>
      <c r="I43" s="1">
        <f>946+22</f>
        <v>968</v>
      </c>
      <c r="J43" s="1">
        <f>684+6</f>
        <v>690</v>
      </c>
      <c r="K43" s="29">
        <f t="shared" si="4"/>
        <v>0.71280991735537191</v>
      </c>
      <c r="L43">
        <v>6541</v>
      </c>
      <c r="M43" s="1">
        <f>5001+164</f>
        <v>5165</v>
      </c>
      <c r="N43" s="29">
        <f>M43/L43</f>
        <v>0.78963461244458033</v>
      </c>
      <c r="O43" s="1">
        <v>1108</v>
      </c>
      <c r="P43" s="1">
        <v>893</v>
      </c>
      <c r="Q43" s="29">
        <f t="shared" si="2"/>
        <v>0.80595667870036103</v>
      </c>
    </row>
    <row r="44" spans="1:17">
      <c r="A44" s="11">
        <v>1998</v>
      </c>
      <c r="D44" s="29"/>
      <c r="F44" s="29"/>
      <c r="H44" s="29"/>
      <c r="I44" s="1">
        <v>854</v>
      </c>
      <c r="J44" s="1">
        <f>672+8</f>
        <v>680</v>
      </c>
      <c r="K44" s="29">
        <f t="shared" si="4"/>
        <v>0.79625292740046838</v>
      </c>
      <c r="L44">
        <v>6502</v>
      </c>
      <c r="M44" s="1">
        <f>4968+185</f>
        <v>5153</v>
      </c>
      <c r="N44" s="29">
        <f>M44/L44</f>
        <v>0.79252537680713631</v>
      </c>
      <c r="O44" s="1">
        <v>1074</v>
      </c>
      <c r="P44" s="1">
        <v>878</v>
      </c>
      <c r="Q44" s="29">
        <f>P44/O44</f>
        <v>0.81750465549348228</v>
      </c>
    </row>
    <row r="45" spans="1:17">
      <c r="A45" s="11">
        <v>1999</v>
      </c>
      <c r="D45" s="29"/>
      <c r="F45" s="29"/>
      <c r="H45" s="29"/>
      <c r="I45" s="1">
        <f>944+29</f>
        <v>973</v>
      </c>
      <c r="J45" s="1">
        <f>773+20</f>
        <v>793</v>
      </c>
      <c r="K45" s="29">
        <f t="shared" si="4"/>
        <v>0.81500513874614589</v>
      </c>
      <c r="L45">
        <v>6539</v>
      </c>
      <c r="M45" s="1">
        <f>5073+188</f>
        <v>5261</v>
      </c>
      <c r="N45" s="29">
        <f t="shared" ref="N45:N69" si="5">M45/L45</f>
        <v>0.80455727175409086</v>
      </c>
      <c r="O45" s="1">
        <v>1052</v>
      </c>
      <c r="P45" s="1">
        <v>923</v>
      </c>
      <c r="Q45" s="29">
        <f t="shared" ref="Q45:Q69" si="6">P45/O45</f>
        <v>0.87737642585551334</v>
      </c>
    </row>
    <row r="46" spans="1:17">
      <c r="A46" s="11">
        <v>2000</v>
      </c>
      <c r="D46" s="29"/>
      <c r="F46" s="29"/>
      <c r="H46" s="29"/>
      <c r="I46" s="1">
        <f>857+24</f>
        <v>881</v>
      </c>
      <c r="J46" s="1">
        <f>690+13</f>
        <v>703</v>
      </c>
      <c r="K46" s="29">
        <f t="shared" si="4"/>
        <v>0.79795686719636771</v>
      </c>
      <c r="L46">
        <v>6548</v>
      </c>
      <c r="M46" s="1">
        <f>5118+213</f>
        <v>5331</v>
      </c>
      <c r="N46" s="29">
        <f t="shared" si="5"/>
        <v>0.81414172266340867</v>
      </c>
      <c r="O46" s="1">
        <v>1010</v>
      </c>
      <c r="P46" s="1">
        <v>871</v>
      </c>
      <c r="Q46" s="29">
        <f t="shared" si="6"/>
        <v>0.86237623762376237</v>
      </c>
    </row>
    <row r="47" spans="1:17">
      <c r="A47" s="11">
        <v>2001</v>
      </c>
      <c r="B47" s="1">
        <v>30897</v>
      </c>
      <c r="C47" s="1">
        <v>13070</v>
      </c>
      <c r="D47" s="29">
        <f t="shared" ref="D47:D65" si="7">C47/B47</f>
        <v>0.42301841602744605</v>
      </c>
      <c r="F47" s="29"/>
      <c r="H47" s="29"/>
      <c r="I47" s="1">
        <v>930</v>
      </c>
      <c r="J47" s="1">
        <f>712+29</f>
        <v>741</v>
      </c>
      <c r="K47" s="29">
        <f t="shared" si="4"/>
        <v>0.79677419354838708</v>
      </c>
      <c r="L47">
        <v>6393</v>
      </c>
      <c r="M47" s="1">
        <f>5072+215</f>
        <v>5287</v>
      </c>
      <c r="N47" s="29">
        <f t="shared" si="5"/>
        <v>0.82699827936805881</v>
      </c>
      <c r="O47" s="1">
        <v>999</v>
      </c>
      <c r="P47" s="1">
        <v>878</v>
      </c>
      <c r="Q47" s="29">
        <f t="shared" si="6"/>
        <v>0.87887887887887883</v>
      </c>
    </row>
    <row r="48" spans="1:17">
      <c r="A48" s="1">
        <v>2002</v>
      </c>
      <c r="B48" s="1">
        <v>31461</v>
      </c>
      <c r="C48" s="1">
        <v>13717</v>
      </c>
      <c r="D48" s="29">
        <f t="shared" si="7"/>
        <v>0.43600012714154029</v>
      </c>
      <c r="F48" s="29"/>
      <c r="H48" s="29"/>
      <c r="I48" s="1">
        <f>873+24</f>
        <v>897</v>
      </c>
      <c r="J48" s="1">
        <f>687+11</f>
        <v>698</v>
      </c>
      <c r="K48" s="29">
        <f t="shared" si="4"/>
        <v>0.77814938684503898</v>
      </c>
      <c r="L48">
        <v>6383</v>
      </c>
      <c r="M48" s="1">
        <f>5114+217</f>
        <v>5331</v>
      </c>
      <c r="N48" s="29">
        <f t="shared" si="5"/>
        <v>0.83518721604261315</v>
      </c>
      <c r="O48" s="1">
        <v>1016</v>
      </c>
      <c r="P48" s="1">
        <v>876</v>
      </c>
      <c r="Q48" s="29">
        <f t="shared" si="6"/>
        <v>0.86220472440944884</v>
      </c>
    </row>
    <row r="49" spans="1:17">
      <c r="A49" s="1">
        <v>2003</v>
      </c>
      <c r="B49" s="1">
        <v>32116</v>
      </c>
      <c r="C49" s="1">
        <v>14425</v>
      </c>
      <c r="D49" s="29">
        <f>C49/B49</f>
        <v>0.44915307012081207</v>
      </c>
      <c r="F49" s="29"/>
      <c r="H49" s="29"/>
      <c r="I49" s="1">
        <f>805+15</f>
        <v>820</v>
      </c>
      <c r="J49" s="1">
        <f>660+14</f>
        <v>674</v>
      </c>
      <c r="K49" s="29">
        <f t="shared" si="4"/>
        <v>0.82195121951219507</v>
      </c>
      <c r="L49">
        <v>6270</v>
      </c>
      <c r="M49" s="1">
        <f>5033+237</f>
        <v>5270</v>
      </c>
      <c r="N49" s="29">
        <f t="shared" si="5"/>
        <v>0.84051036682615632</v>
      </c>
      <c r="O49" s="1">
        <v>1049</v>
      </c>
      <c r="P49" s="1">
        <v>913</v>
      </c>
      <c r="Q49" s="29">
        <f t="shared" si="6"/>
        <v>0.87035271687321258</v>
      </c>
    </row>
    <row r="50" spans="1:17">
      <c r="A50" s="1">
        <v>2004</v>
      </c>
      <c r="B50" s="1">
        <v>32680</v>
      </c>
      <c r="C50" s="1">
        <v>15048</v>
      </c>
      <c r="D50" s="29">
        <f>C50/B50</f>
        <v>0.46046511627906977</v>
      </c>
      <c r="F50" s="29"/>
      <c r="H50" s="29"/>
      <c r="I50" s="1">
        <f>851+33</f>
        <v>884</v>
      </c>
      <c r="J50" s="1">
        <f>686+28</f>
        <v>714</v>
      </c>
      <c r="K50" s="29">
        <f t="shared" si="4"/>
        <v>0.80769230769230771</v>
      </c>
      <c r="L50">
        <v>6473</v>
      </c>
      <c r="M50" s="1">
        <f>5224+216</f>
        <v>5440</v>
      </c>
      <c r="N50" s="29">
        <f t="shared" si="5"/>
        <v>0.84041402749884131</v>
      </c>
      <c r="O50" s="1">
        <v>1163</v>
      </c>
      <c r="P50" s="1">
        <v>985</v>
      </c>
      <c r="Q50" s="29">
        <f t="shared" si="6"/>
        <v>0.84694754944110062</v>
      </c>
    </row>
    <row r="51" spans="1:17">
      <c r="A51" s="1">
        <v>2005</v>
      </c>
      <c r="B51" s="1">
        <v>33522</v>
      </c>
      <c r="C51" s="1">
        <v>15869</v>
      </c>
      <c r="D51" s="29">
        <f>C51/B51</f>
        <v>0.47339060915219855</v>
      </c>
      <c r="F51" s="29"/>
      <c r="H51" s="29"/>
      <c r="I51" s="1">
        <f>828+34</f>
        <v>862</v>
      </c>
      <c r="J51" s="1">
        <f>719+19</f>
        <v>738</v>
      </c>
      <c r="K51" s="29">
        <f t="shared" si="4"/>
        <v>0.85614849187935038</v>
      </c>
      <c r="L51">
        <v>6401</v>
      </c>
      <c r="M51" s="1">
        <f>5260+219</f>
        <v>5479</v>
      </c>
      <c r="N51" s="29">
        <f t="shared" si="5"/>
        <v>0.85596000624902358</v>
      </c>
      <c r="O51" s="1">
        <v>1086</v>
      </c>
      <c r="P51" s="1">
        <v>957</v>
      </c>
      <c r="Q51" s="29">
        <f t="shared" si="6"/>
        <v>0.88121546961325969</v>
      </c>
    </row>
    <row r="52" spans="1:17">
      <c r="A52" s="1">
        <v>2006</v>
      </c>
      <c r="B52" s="1">
        <v>34259</v>
      </c>
      <c r="C52" s="1">
        <v>16532</v>
      </c>
      <c r="D52" s="29">
        <f t="shared" si="7"/>
        <v>0.48255932747599173</v>
      </c>
      <c r="F52" s="29"/>
      <c r="H52" s="29"/>
      <c r="I52" s="1">
        <f>857+31</f>
        <v>888</v>
      </c>
      <c r="J52" s="1">
        <f>743+21</f>
        <v>764</v>
      </c>
      <c r="K52" s="29">
        <f t="shared" si="4"/>
        <v>0.86036036036036034</v>
      </c>
      <c r="L52">
        <v>6522</v>
      </c>
      <c r="M52" s="1">
        <f>5394+238</f>
        <v>5632</v>
      </c>
      <c r="N52" s="29">
        <f t="shared" si="5"/>
        <v>0.86353879178166204</v>
      </c>
      <c r="O52" s="1">
        <v>1120</v>
      </c>
      <c r="P52" s="1">
        <v>975</v>
      </c>
      <c r="Q52" s="29">
        <f t="shared" si="6"/>
        <v>0.8705357142857143</v>
      </c>
    </row>
    <row r="53" spans="1:17">
      <c r="A53" s="1">
        <v>2007</v>
      </c>
      <c r="B53" s="1">
        <v>34518</v>
      </c>
      <c r="C53" s="1">
        <v>17092</v>
      </c>
      <c r="D53" s="29">
        <f t="shared" si="7"/>
        <v>0.49516194449272843</v>
      </c>
      <c r="F53" s="29"/>
      <c r="H53" s="29"/>
      <c r="I53" s="1">
        <f>876+21</f>
        <v>897</v>
      </c>
      <c r="J53" s="1">
        <f>754+11</f>
        <v>765</v>
      </c>
      <c r="K53" s="29">
        <f t="shared" si="4"/>
        <v>0.85284280936454848</v>
      </c>
      <c r="L53" s="1">
        <v>6170</v>
      </c>
      <c r="M53" s="1">
        <f>5101+205</f>
        <v>5306</v>
      </c>
      <c r="N53" s="29">
        <f t="shared" si="5"/>
        <v>0.85996758508914095</v>
      </c>
      <c r="O53" s="1">
        <v>1027</v>
      </c>
      <c r="P53" s="1">
        <v>878</v>
      </c>
      <c r="Q53" s="29">
        <f t="shared" si="6"/>
        <v>0.8549172346640701</v>
      </c>
    </row>
    <row r="54" spans="1:17">
      <c r="A54" s="1">
        <v>2008</v>
      </c>
      <c r="B54">
        <v>35098</v>
      </c>
      <c r="C54" s="1">
        <v>17777</v>
      </c>
      <c r="D54" s="29">
        <f t="shared" si="7"/>
        <v>0.50649609664368345</v>
      </c>
      <c r="F54" s="29"/>
      <c r="H54" s="29"/>
      <c r="I54" s="1">
        <f>841+22</f>
        <v>863</v>
      </c>
      <c r="J54" s="1">
        <f>727+20</f>
        <v>747</v>
      </c>
      <c r="K54" s="29">
        <f t="shared" si="4"/>
        <v>0.86558516801854002</v>
      </c>
      <c r="L54" s="1">
        <v>6396</v>
      </c>
      <c r="M54" s="1">
        <f>5315+208</f>
        <v>5523</v>
      </c>
      <c r="N54" s="29">
        <f t="shared" si="5"/>
        <v>0.86350844277673544</v>
      </c>
      <c r="O54" s="1">
        <v>1088</v>
      </c>
      <c r="P54" s="1">
        <v>988</v>
      </c>
      <c r="Q54" s="29">
        <f t="shared" si="6"/>
        <v>0.90808823529411764</v>
      </c>
    </row>
    <row r="55" spans="1:17">
      <c r="A55" s="1">
        <v>2009</v>
      </c>
      <c r="B55" s="1">
        <v>35780</v>
      </c>
      <c r="C55" s="1">
        <v>18544</v>
      </c>
      <c r="D55" s="29">
        <f t="shared" si="7"/>
        <v>0.51827836780324199</v>
      </c>
      <c r="F55" s="29"/>
      <c r="H55" s="29"/>
      <c r="I55" s="1">
        <v>919</v>
      </c>
      <c r="J55" s="1">
        <f>786+32</f>
        <v>818</v>
      </c>
      <c r="K55" s="29">
        <f t="shared" si="4"/>
        <v>0.89009793253536451</v>
      </c>
      <c r="L55">
        <v>6364</v>
      </c>
      <c r="M55" s="1">
        <f>5305+214</f>
        <v>5519</v>
      </c>
      <c r="N55" s="29">
        <f t="shared" si="5"/>
        <v>0.86722187303582654</v>
      </c>
      <c r="O55" s="1">
        <v>1082</v>
      </c>
      <c r="P55" s="1">
        <v>925</v>
      </c>
      <c r="Q55" s="29">
        <f t="shared" si="6"/>
        <v>0.85489833641404811</v>
      </c>
    </row>
    <row r="56" spans="1:17">
      <c r="A56" s="1">
        <v>2010</v>
      </c>
      <c r="B56" s="1">
        <v>36531</v>
      </c>
      <c r="C56" s="1">
        <v>19366</v>
      </c>
      <c r="D56" s="29">
        <f t="shared" si="7"/>
        <v>0.53012509923079032</v>
      </c>
      <c r="F56" s="29"/>
      <c r="H56" s="29"/>
      <c r="I56" s="1">
        <f>915+29</f>
        <v>944</v>
      </c>
      <c r="J56" s="1">
        <f>805+20</f>
        <v>825</v>
      </c>
      <c r="K56" s="29">
        <f t="shared" si="4"/>
        <v>0.87394067796610164</v>
      </c>
      <c r="L56">
        <v>6417</v>
      </c>
      <c r="M56" s="1">
        <f>5243+219</f>
        <v>5462</v>
      </c>
      <c r="N56" s="29">
        <f t="shared" si="5"/>
        <v>0.85117656225650618</v>
      </c>
      <c r="O56" s="1">
        <v>1083</v>
      </c>
      <c r="P56" s="1">
        <v>932</v>
      </c>
      <c r="Q56" s="29">
        <f t="shared" si="6"/>
        <v>0.8605724838411819</v>
      </c>
    </row>
    <row r="57" spans="1:17">
      <c r="A57" s="1">
        <v>2011</v>
      </c>
      <c r="B57" s="1">
        <v>37265</v>
      </c>
      <c r="C57" s="1">
        <v>20243</v>
      </c>
      <c r="D57" s="29">
        <f t="shared" si="7"/>
        <v>0.54321749631021066</v>
      </c>
      <c r="F57" s="29"/>
      <c r="H57" s="29"/>
      <c r="I57" s="1">
        <v>984</v>
      </c>
      <c r="J57" s="1">
        <f>837+36</f>
        <v>873</v>
      </c>
      <c r="K57" s="29">
        <f t="shared" si="4"/>
        <v>0.88719512195121952</v>
      </c>
      <c r="L57">
        <v>6497</v>
      </c>
      <c r="M57" s="1">
        <f>5328+208</f>
        <v>5536</v>
      </c>
      <c r="N57" s="29">
        <f t="shared" si="5"/>
        <v>0.85208557795905804</v>
      </c>
      <c r="O57" s="1">
        <v>1102</v>
      </c>
      <c r="P57" s="1">
        <v>933</v>
      </c>
      <c r="Q57" s="29">
        <f t="shared" si="6"/>
        <v>0.84664246823956446</v>
      </c>
    </row>
    <row r="58" spans="1:17">
      <c r="A58" s="1">
        <v>2012</v>
      </c>
      <c r="B58">
        <v>38077</v>
      </c>
      <c r="C58" s="1">
        <v>21144</v>
      </c>
      <c r="D58" s="29">
        <f t="shared" si="7"/>
        <v>0.55529584788717601</v>
      </c>
      <c r="E58" s="1">
        <f>211+65+1051+909</f>
        <v>2236</v>
      </c>
      <c r="F58" s="29">
        <f t="shared" ref="F58:F65" si="8">E58/B58</f>
        <v>5.872311369067941E-2</v>
      </c>
      <c r="G58" s="1">
        <f>65+17+815+556</f>
        <v>1453</v>
      </c>
      <c r="H58" s="29">
        <f t="shared" ref="H58:H65" si="9">G58/E58</f>
        <v>0.64982110912343471</v>
      </c>
      <c r="I58" s="1">
        <f>943</f>
        <v>943</v>
      </c>
      <c r="J58" s="1">
        <v>838</v>
      </c>
      <c r="K58" s="29">
        <f t="shared" si="4"/>
        <v>0.88865323435843058</v>
      </c>
      <c r="L58">
        <v>6238</v>
      </c>
      <c r="M58" s="1">
        <f>4222+220</f>
        <v>4442</v>
      </c>
      <c r="N58" s="29">
        <f t="shared" si="5"/>
        <v>0.71208720743828147</v>
      </c>
      <c r="O58" s="1">
        <v>1184</v>
      </c>
      <c r="P58" s="1">
        <v>963</v>
      </c>
      <c r="Q58" s="29">
        <f t="shared" si="6"/>
        <v>0.81334459459459463</v>
      </c>
    </row>
    <row r="59" spans="1:17">
      <c r="A59" s="1">
        <v>2013</v>
      </c>
      <c r="B59" s="1">
        <v>38775</v>
      </c>
      <c r="C59" s="1">
        <v>21950</v>
      </c>
      <c r="D59" s="29">
        <f t="shared" si="7"/>
        <v>0.56608639587362997</v>
      </c>
      <c r="F59" s="29"/>
      <c r="H59" s="29"/>
      <c r="I59" s="1">
        <v>953</v>
      </c>
      <c r="J59" s="1">
        <v>814</v>
      </c>
      <c r="K59" s="29">
        <f t="shared" si="4"/>
        <v>0.85414480587618047</v>
      </c>
      <c r="L59" s="1">
        <v>6420</v>
      </c>
      <c r="M59" s="1">
        <f>5266+220</f>
        <v>5486</v>
      </c>
      <c r="N59" s="29">
        <f t="shared" si="5"/>
        <v>0.85451713395638629</v>
      </c>
      <c r="O59" s="1">
        <v>1070</v>
      </c>
      <c r="P59" s="1">
        <v>923</v>
      </c>
      <c r="Q59" s="29">
        <f t="shared" si="6"/>
        <v>0.86261682242990656</v>
      </c>
    </row>
    <row r="60" spans="1:17">
      <c r="A60" s="1">
        <v>2014</v>
      </c>
      <c r="B60" s="1">
        <v>39447</v>
      </c>
      <c r="C60" s="1">
        <v>22719</v>
      </c>
      <c r="D60" s="29">
        <f t="shared" si="7"/>
        <v>0.57593733363753896</v>
      </c>
      <c r="E60" s="1">
        <f>197+59+1082+915</f>
        <v>2253</v>
      </c>
      <c r="F60" s="29">
        <f t="shared" si="8"/>
        <v>5.711460947600578E-2</v>
      </c>
      <c r="G60" s="1">
        <f>65+18+817+585</f>
        <v>1485</v>
      </c>
      <c r="H60" s="29">
        <f t="shared" si="9"/>
        <v>0.65912117177097207</v>
      </c>
      <c r="I60" s="1">
        <v>955</v>
      </c>
      <c r="J60" s="1">
        <v>804</v>
      </c>
      <c r="K60" s="29">
        <f t="shared" si="4"/>
        <v>0.84188481675392668</v>
      </c>
      <c r="L60" s="1">
        <v>6426</v>
      </c>
      <c r="M60" s="1">
        <f>5296+252</f>
        <v>5548</v>
      </c>
      <c r="N60" s="29">
        <f t="shared" si="5"/>
        <v>0.8633675692499222</v>
      </c>
      <c r="O60" s="1">
        <v>1070</v>
      </c>
      <c r="P60" s="1">
        <v>914</v>
      </c>
      <c r="Q60" s="29">
        <f t="shared" si="6"/>
        <v>0.85420560747663554</v>
      </c>
    </row>
    <row r="61" spans="1:17">
      <c r="A61" s="1">
        <v>2015</v>
      </c>
      <c r="B61" s="1">
        <v>40035</v>
      </c>
      <c r="C61" s="1">
        <v>23453</v>
      </c>
      <c r="D61" s="29">
        <f t="shared" si="7"/>
        <v>0.58581241413762952</v>
      </c>
      <c r="E61" s="1">
        <f>196+60+1141+952</f>
        <v>2349</v>
      </c>
      <c r="F61" s="29">
        <f t="shared" si="8"/>
        <v>5.8673660547021354E-2</v>
      </c>
      <c r="G61" s="1">
        <f>66+19+991+609</f>
        <v>1685</v>
      </c>
      <c r="H61" s="29">
        <f t="shared" si="9"/>
        <v>0.71732652192422308</v>
      </c>
      <c r="I61" s="1">
        <v>955</v>
      </c>
      <c r="J61" s="1">
        <v>820</v>
      </c>
      <c r="K61" s="29">
        <f t="shared" si="4"/>
        <v>0.8586387434554974</v>
      </c>
      <c r="L61" s="1">
        <v>6348</v>
      </c>
      <c r="M61" s="1">
        <f>5216+278</f>
        <v>5494</v>
      </c>
      <c r="N61" s="29">
        <f t="shared" si="5"/>
        <v>0.86546943919344677</v>
      </c>
      <c r="O61" s="1">
        <v>1069</v>
      </c>
      <c r="P61" s="1">
        <v>921</v>
      </c>
      <c r="Q61" s="29">
        <f t="shared" si="6"/>
        <v>0.86155285313376984</v>
      </c>
    </row>
    <row r="62" spans="1:17">
      <c r="A62" s="1">
        <v>2016</v>
      </c>
      <c r="B62" s="1">
        <v>40540</v>
      </c>
      <c r="C62" s="1">
        <v>24184</v>
      </c>
      <c r="D62" s="29">
        <f t="shared" si="7"/>
        <v>0.59654662062160824</v>
      </c>
      <c r="E62" s="1">
        <f>191+56+1165+865</f>
        <v>2277</v>
      </c>
      <c r="F62" s="29">
        <f t="shared" si="8"/>
        <v>5.6166748889985199E-2</v>
      </c>
      <c r="G62" s="1">
        <f>66+22+890+567</f>
        <v>1545</v>
      </c>
      <c r="H62" s="29">
        <f t="shared" si="9"/>
        <v>0.6785243741765481</v>
      </c>
      <c r="I62" s="1">
        <v>902</v>
      </c>
      <c r="J62" s="1">
        <v>779</v>
      </c>
      <c r="K62" s="29">
        <f t="shared" si="4"/>
        <v>0.86363636363636365</v>
      </c>
      <c r="L62" s="1">
        <v>6351</v>
      </c>
      <c r="M62" s="1">
        <f>5147+292</f>
        <v>5439</v>
      </c>
      <c r="N62" s="29">
        <f t="shared" si="5"/>
        <v>0.85640056683986776</v>
      </c>
      <c r="O62" s="1">
        <v>1078</v>
      </c>
      <c r="P62" s="1">
        <v>938</v>
      </c>
      <c r="Q62" s="29">
        <f t="shared" si="6"/>
        <v>0.87012987012987009</v>
      </c>
    </row>
    <row r="63" spans="1:17">
      <c r="A63" s="1">
        <v>2017</v>
      </c>
      <c r="B63" s="1">
        <v>41431</v>
      </c>
      <c r="C63" s="1">
        <v>25110</v>
      </c>
      <c r="D63" s="29">
        <f t="shared" si="7"/>
        <v>0.60606792015640465</v>
      </c>
      <c r="E63" s="1">
        <f>194+56+1194+867</f>
        <v>2311</v>
      </c>
      <c r="F63" s="29">
        <f t="shared" si="8"/>
        <v>5.5779488788588252E-2</v>
      </c>
      <c r="G63" s="1">
        <f>73+24+922+568</f>
        <v>1587</v>
      </c>
      <c r="H63" s="29">
        <f t="shared" si="9"/>
        <v>0.6867157074859368</v>
      </c>
      <c r="I63" s="1">
        <v>934</v>
      </c>
      <c r="J63" s="1">
        <v>798</v>
      </c>
      <c r="K63" s="29">
        <f t="shared" si="4"/>
        <v>0.854389721627409</v>
      </c>
      <c r="L63" s="1">
        <v>6345</v>
      </c>
      <c r="M63" s="1">
        <f>5195+331</f>
        <v>5526</v>
      </c>
      <c r="N63" s="29">
        <f t="shared" si="5"/>
        <v>0.87092198581560287</v>
      </c>
      <c r="O63" s="1">
        <v>1072</v>
      </c>
      <c r="P63" s="1">
        <v>961</v>
      </c>
      <c r="Q63" s="29">
        <f t="shared" si="6"/>
        <v>0.89645522388059706</v>
      </c>
    </row>
    <row r="64" spans="1:17">
      <c r="A64" s="1">
        <v>2018</v>
      </c>
      <c r="B64" s="1">
        <v>42147</v>
      </c>
      <c r="C64" s="1">
        <v>25880</v>
      </c>
      <c r="D64" s="29">
        <f t="shared" si="7"/>
        <v>0.61404133153012075</v>
      </c>
      <c r="E64" s="1">
        <f>186+56+1234+894</f>
        <v>2370</v>
      </c>
      <c r="F64" s="29">
        <f t="shared" si="8"/>
        <v>5.6231760267634705E-2</v>
      </c>
      <c r="G64" s="1">
        <f>73+25+940+604</f>
        <v>1642</v>
      </c>
      <c r="H64" s="29">
        <f t="shared" si="9"/>
        <v>0.69282700421940924</v>
      </c>
      <c r="I64" s="1">
        <v>883</v>
      </c>
      <c r="J64" s="1">
        <v>767</v>
      </c>
      <c r="K64" s="29">
        <f t="shared" si="4"/>
        <v>0.86862967157417892</v>
      </c>
      <c r="L64" s="1">
        <v>6367</v>
      </c>
      <c r="M64" s="1">
        <f>5063+377</f>
        <v>5440</v>
      </c>
      <c r="N64" s="29">
        <f t="shared" si="5"/>
        <v>0.85440552850636098</v>
      </c>
      <c r="O64" s="1">
        <v>1108</v>
      </c>
      <c r="P64" s="1">
        <v>945</v>
      </c>
      <c r="Q64" s="29">
        <f t="shared" si="6"/>
        <v>0.8528880866425993</v>
      </c>
    </row>
    <row r="65" spans="1:17">
      <c r="A65" s="1">
        <v>2019</v>
      </c>
      <c r="B65" s="1">
        <v>42709</v>
      </c>
      <c r="C65" s="1">
        <v>26544</v>
      </c>
      <c r="D65" s="29">
        <f t="shared" si="7"/>
        <v>0.62150834718677561</v>
      </c>
      <c r="E65" s="1">
        <f>193+49+1302+716</f>
        <v>2260</v>
      </c>
      <c r="F65" s="29">
        <f t="shared" si="8"/>
        <v>5.2916247161019926E-2</v>
      </c>
      <c r="G65" s="1">
        <f>80+29+999+509</f>
        <v>1617</v>
      </c>
      <c r="H65" s="29">
        <f t="shared" si="9"/>
        <v>0.71548672566371685</v>
      </c>
      <c r="I65" s="1">
        <v>891</v>
      </c>
      <c r="J65" s="1">
        <v>752</v>
      </c>
      <c r="K65" s="29">
        <f t="shared" si="4"/>
        <v>0.84399551066217737</v>
      </c>
      <c r="L65" s="1">
        <v>6375</v>
      </c>
      <c r="M65" s="1">
        <f>5090+369</f>
        <v>5459</v>
      </c>
      <c r="N65" s="29">
        <f t="shared" si="5"/>
        <v>0.85631372549019613</v>
      </c>
      <c r="O65" s="1">
        <v>1129</v>
      </c>
      <c r="P65" s="1">
        <v>963</v>
      </c>
      <c r="Q65" s="29">
        <f t="shared" si="6"/>
        <v>0.85296722763507526</v>
      </c>
    </row>
    <row r="66" spans="1:17">
      <c r="A66" s="1">
        <v>2020</v>
      </c>
      <c r="B66" s="1">
        <v>43461</v>
      </c>
      <c r="C66" s="1">
        <v>27500</v>
      </c>
      <c r="D66" s="29">
        <f>C66/B66</f>
        <v>0.6327512022272842</v>
      </c>
      <c r="E66" s="1">
        <f>173+53+1314+714</f>
        <v>2254</v>
      </c>
      <c r="F66" s="29">
        <f>E66/B66</f>
        <v>5.1862589448010858E-2</v>
      </c>
      <c r="G66" s="1">
        <f>74+31+1021+501</f>
        <v>1627</v>
      </c>
      <c r="H66" s="29">
        <f>G66/E66</f>
        <v>0.72182786157941436</v>
      </c>
      <c r="I66" s="1">
        <v>881</v>
      </c>
      <c r="J66" s="1">
        <v>765</v>
      </c>
      <c r="K66" s="29">
        <f t="shared" si="4"/>
        <v>0.86833144154370034</v>
      </c>
      <c r="L66" s="1">
        <v>6385</v>
      </c>
      <c r="M66" s="1">
        <f>5125+370</f>
        <v>5495</v>
      </c>
      <c r="N66" s="29">
        <f t="shared" si="5"/>
        <v>0.860610806577917</v>
      </c>
      <c r="O66" s="1">
        <v>1119</v>
      </c>
      <c r="P66" s="1">
        <v>1001</v>
      </c>
      <c r="Q66" s="29">
        <f t="shared" si="6"/>
        <v>0.89454870420017873</v>
      </c>
    </row>
    <row r="67" spans="1:17">
      <c r="A67" s="1">
        <v>2021</v>
      </c>
      <c r="B67" s="1">
        <v>44049</v>
      </c>
      <c r="C67" s="1">
        <v>28193</v>
      </c>
      <c r="D67" s="29">
        <f>C67/B67</f>
        <v>0.64003723126518197</v>
      </c>
      <c r="F67" s="29"/>
      <c r="H67" s="29"/>
      <c r="I67" s="1">
        <v>872</v>
      </c>
      <c r="J67" s="1">
        <v>748</v>
      </c>
      <c r="K67" s="29">
        <f t="shared" si="4"/>
        <v>0.85779816513761464</v>
      </c>
      <c r="L67" s="1">
        <v>6434</v>
      </c>
      <c r="M67" s="1">
        <f>5177+389</f>
        <v>5566</v>
      </c>
      <c r="N67" s="29">
        <f>M67/L67</f>
        <v>0.8650917003419335</v>
      </c>
      <c r="O67" s="1">
        <v>1108</v>
      </c>
      <c r="P67" s="1">
        <v>991</v>
      </c>
      <c r="Q67" s="29">
        <f t="shared" si="6"/>
        <v>0.89440433212996395</v>
      </c>
    </row>
    <row r="68" spans="1:17">
      <c r="A68" s="1">
        <v>2022</v>
      </c>
      <c r="B68" s="1">
        <v>44618</v>
      </c>
      <c r="C68" s="1">
        <v>28901</v>
      </c>
      <c r="D68" s="29">
        <f>C68/B68</f>
        <v>0.6477430633376664</v>
      </c>
      <c r="F68" s="29"/>
      <c r="H68" s="29"/>
      <c r="I68" s="1">
        <v>841</v>
      </c>
      <c r="J68" s="1">
        <v>740</v>
      </c>
      <c r="K68" s="29">
        <f t="shared" si="4"/>
        <v>0.87990487514863258</v>
      </c>
      <c r="L68" s="1">
        <v>6407</v>
      </c>
      <c r="M68" s="1">
        <f>5177+398</f>
        <v>5575</v>
      </c>
      <c r="N68" s="29">
        <f t="shared" si="5"/>
        <v>0.87014203215233343</v>
      </c>
      <c r="O68" s="1">
        <v>1118</v>
      </c>
      <c r="P68" s="1">
        <v>989</v>
      </c>
      <c r="Q68" s="29">
        <f t="shared" si="6"/>
        <v>0.88461538461538458</v>
      </c>
    </row>
    <row r="69" spans="1:17">
      <c r="A69" s="1">
        <v>2023</v>
      </c>
      <c r="B69" s="1">
        <v>45163</v>
      </c>
      <c r="C69" s="1">
        <v>29693</v>
      </c>
      <c r="D69" s="29">
        <f>C69/B69</f>
        <v>0.65746296747337418</v>
      </c>
      <c r="F69" s="29"/>
      <c r="H69" s="29"/>
      <c r="I69" s="1">
        <v>872</v>
      </c>
      <c r="J69" s="1">
        <v>752</v>
      </c>
      <c r="K69" s="29">
        <f t="shared" si="4"/>
        <v>0.86238532110091748</v>
      </c>
      <c r="L69" s="1">
        <v>6418</v>
      </c>
      <c r="M69" s="1">
        <f>5215+379</f>
        <v>5594</v>
      </c>
      <c r="N69" s="29">
        <f t="shared" si="5"/>
        <v>0.87161109379869117</v>
      </c>
      <c r="O69" s="1">
        <v>1147</v>
      </c>
      <c r="P69" s="1">
        <v>1003</v>
      </c>
      <c r="Q69" s="29">
        <f t="shared" si="6"/>
        <v>0.87445510026155182</v>
      </c>
    </row>
  </sheetData>
  <mergeCells count="7">
    <mergeCell ref="A1:A3"/>
    <mergeCell ref="B1:Q1"/>
    <mergeCell ref="B2:D2"/>
    <mergeCell ref="E2:H2"/>
    <mergeCell ref="I2:K2"/>
    <mergeCell ref="L2:N2"/>
    <mergeCell ref="O2:Q2"/>
  </mergeCells>
  <hyperlinks>
    <hyperlink ref="B1" r:id="rId1" xr:uid="{00000000-0004-0000-0C00-000000000000}"/>
  </hyperlinks>
  <pageMargins left="0.7" right="0.7" top="0.75" bottom="0.75" header="0.3" footer="0.3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D6B64-1B34-456F-A747-28D78D205189}">
  <dimension ref="A1:E28"/>
  <sheetViews>
    <sheetView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B1" sqref="B1:E1"/>
    </sheetView>
  </sheetViews>
  <sheetFormatPr defaultRowHeight="14.4"/>
  <cols>
    <col min="3" max="4" width="8.88671875" customWidth="1"/>
  </cols>
  <sheetData>
    <row r="1" spans="1:5">
      <c r="B1" s="52" t="s">
        <v>193</v>
      </c>
      <c r="C1" s="52"/>
      <c r="D1" s="52"/>
      <c r="E1" s="52"/>
    </row>
    <row r="2" spans="1:5">
      <c r="A2" t="s">
        <v>0</v>
      </c>
      <c r="B2" s="54" t="s">
        <v>155</v>
      </c>
      <c r="C2" s="54"/>
      <c r="D2" s="54"/>
      <c r="E2" s="54"/>
    </row>
    <row r="3" spans="1:5">
      <c r="B3" t="s">
        <v>49</v>
      </c>
      <c r="C3" t="s">
        <v>156</v>
      </c>
      <c r="D3" t="s">
        <v>157</v>
      </c>
      <c r="E3" t="s">
        <v>3</v>
      </c>
    </row>
    <row r="4" spans="1:5">
      <c r="A4">
        <v>2000</v>
      </c>
      <c r="B4">
        <f>SUM(C4:D4)</f>
        <v>23</v>
      </c>
      <c r="C4">
        <v>6</v>
      </c>
      <c r="D4">
        <v>17</v>
      </c>
      <c r="E4" s="33">
        <f>C4/B4</f>
        <v>0.2608695652173913</v>
      </c>
    </row>
    <row r="5" spans="1:5">
      <c r="A5">
        <v>2001</v>
      </c>
      <c r="B5">
        <f t="shared" ref="B5:B21" si="0">SUM(C5:D5)</f>
        <v>29</v>
      </c>
      <c r="C5">
        <v>11</v>
      </c>
      <c r="D5">
        <v>18</v>
      </c>
      <c r="E5" s="33">
        <f t="shared" ref="E5:E21" si="1">C5/B5</f>
        <v>0.37931034482758619</v>
      </c>
    </row>
    <row r="6" spans="1:5">
      <c r="A6">
        <v>2002</v>
      </c>
      <c r="B6">
        <f t="shared" si="0"/>
        <v>19</v>
      </c>
      <c r="C6">
        <v>6</v>
      </c>
      <c r="D6">
        <v>13</v>
      </c>
      <c r="E6" s="33">
        <f t="shared" si="1"/>
        <v>0.31578947368421051</v>
      </c>
    </row>
    <row r="7" spans="1:5">
      <c r="A7">
        <v>2003</v>
      </c>
      <c r="B7">
        <f t="shared" si="0"/>
        <v>35</v>
      </c>
      <c r="C7">
        <v>13</v>
      </c>
      <c r="D7">
        <v>22</v>
      </c>
      <c r="E7" s="33">
        <f t="shared" si="1"/>
        <v>0.37142857142857144</v>
      </c>
    </row>
    <row r="8" spans="1:5">
      <c r="A8">
        <v>2004</v>
      </c>
      <c r="B8">
        <f t="shared" si="0"/>
        <v>41</v>
      </c>
      <c r="C8">
        <v>11</v>
      </c>
      <c r="D8">
        <v>30</v>
      </c>
      <c r="E8" s="33">
        <f t="shared" si="1"/>
        <v>0.26829268292682928</v>
      </c>
    </row>
    <row r="9" spans="1:5">
      <c r="A9">
        <v>2005</v>
      </c>
      <c r="B9">
        <f t="shared" si="0"/>
        <v>33</v>
      </c>
      <c r="C9">
        <v>15</v>
      </c>
      <c r="D9">
        <v>18</v>
      </c>
      <c r="E9" s="33">
        <f t="shared" si="1"/>
        <v>0.45454545454545453</v>
      </c>
    </row>
    <row r="10" spans="1:5">
      <c r="A10">
        <v>2006</v>
      </c>
      <c r="B10">
        <f t="shared" si="0"/>
        <v>34</v>
      </c>
      <c r="C10">
        <v>14</v>
      </c>
      <c r="D10">
        <v>20</v>
      </c>
      <c r="E10" s="33">
        <f t="shared" si="1"/>
        <v>0.41176470588235292</v>
      </c>
    </row>
    <row r="11" spans="1:5">
      <c r="A11">
        <v>2007</v>
      </c>
      <c r="B11">
        <f t="shared" si="0"/>
        <v>44</v>
      </c>
      <c r="C11">
        <v>17</v>
      </c>
      <c r="D11">
        <v>27</v>
      </c>
      <c r="E11" s="33">
        <f t="shared" si="1"/>
        <v>0.38636363636363635</v>
      </c>
    </row>
    <row r="12" spans="1:5">
      <c r="A12">
        <v>2008</v>
      </c>
      <c r="B12">
        <f t="shared" si="0"/>
        <v>27</v>
      </c>
      <c r="C12">
        <v>12</v>
      </c>
      <c r="D12">
        <v>15</v>
      </c>
      <c r="E12" s="33">
        <f t="shared" si="1"/>
        <v>0.44444444444444442</v>
      </c>
    </row>
    <row r="13" spans="1:5">
      <c r="A13">
        <v>2009</v>
      </c>
      <c r="B13">
        <f t="shared" si="0"/>
        <v>49</v>
      </c>
      <c r="C13">
        <v>21</v>
      </c>
      <c r="D13">
        <v>28</v>
      </c>
      <c r="E13" s="33">
        <f t="shared" si="1"/>
        <v>0.42857142857142855</v>
      </c>
    </row>
    <row r="14" spans="1:5">
      <c r="A14">
        <v>2010</v>
      </c>
      <c r="B14">
        <f t="shared" si="0"/>
        <v>46</v>
      </c>
      <c r="C14">
        <v>16</v>
      </c>
      <c r="D14">
        <v>30</v>
      </c>
      <c r="E14" s="33">
        <f t="shared" si="1"/>
        <v>0.34782608695652173</v>
      </c>
    </row>
    <row r="15" spans="1:5">
      <c r="A15">
        <v>2011</v>
      </c>
      <c r="B15">
        <f t="shared" si="0"/>
        <v>68</v>
      </c>
      <c r="C15">
        <v>32</v>
      </c>
      <c r="D15">
        <v>36</v>
      </c>
      <c r="E15" s="33">
        <f t="shared" si="1"/>
        <v>0.47058823529411764</v>
      </c>
    </row>
    <row r="16" spans="1:5">
      <c r="A16">
        <v>2012</v>
      </c>
      <c r="B16">
        <f t="shared" si="0"/>
        <v>38</v>
      </c>
      <c r="C16">
        <v>20</v>
      </c>
      <c r="D16">
        <v>18</v>
      </c>
      <c r="E16" s="33">
        <f t="shared" si="1"/>
        <v>0.52631578947368418</v>
      </c>
    </row>
    <row r="17" spans="1:5">
      <c r="A17">
        <v>2013</v>
      </c>
      <c r="B17">
        <f t="shared" si="0"/>
        <v>48</v>
      </c>
      <c r="C17">
        <v>25</v>
      </c>
      <c r="D17">
        <v>23</v>
      </c>
      <c r="E17" s="33">
        <f t="shared" si="1"/>
        <v>0.52083333333333337</v>
      </c>
    </row>
    <row r="18" spans="1:5">
      <c r="A18">
        <v>2014</v>
      </c>
      <c r="B18">
        <f t="shared" si="0"/>
        <v>70</v>
      </c>
      <c r="C18">
        <v>32</v>
      </c>
      <c r="D18">
        <v>38</v>
      </c>
      <c r="E18" s="33">
        <f t="shared" si="1"/>
        <v>0.45714285714285713</v>
      </c>
    </row>
    <row r="19" spans="1:5">
      <c r="A19">
        <v>2015</v>
      </c>
      <c r="B19">
        <f t="shared" si="0"/>
        <v>64</v>
      </c>
      <c r="C19">
        <v>20</v>
      </c>
      <c r="D19">
        <v>44</v>
      </c>
      <c r="E19" s="33">
        <f t="shared" si="1"/>
        <v>0.3125</v>
      </c>
    </row>
    <row r="20" spans="1:5">
      <c r="A20">
        <v>2016</v>
      </c>
      <c r="B20">
        <f t="shared" si="0"/>
        <v>55</v>
      </c>
      <c r="C20">
        <v>28</v>
      </c>
      <c r="D20">
        <v>27</v>
      </c>
      <c r="E20" s="33">
        <f t="shared" si="1"/>
        <v>0.50909090909090904</v>
      </c>
    </row>
    <row r="21" spans="1:5">
      <c r="A21">
        <v>2017</v>
      </c>
      <c r="B21">
        <f t="shared" si="0"/>
        <v>48</v>
      </c>
      <c r="C21">
        <v>26</v>
      </c>
      <c r="D21">
        <v>22</v>
      </c>
      <c r="E21" s="33">
        <f t="shared" si="1"/>
        <v>0.54166666666666663</v>
      </c>
    </row>
    <row r="22" spans="1:5">
      <c r="A22">
        <v>2018</v>
      </c>
    </row>
    <row r="23" spans="1:5">
      <c r="A23">
        <v>2019</v>
      </c>
    </row>
    <row r="24" spans="1:5">
      <c r="A24">
        <v>2020</v>
      </c>
    </row>
    <row r="25" spans="1:5">
      <c r="A25">
        <v>2021</v>
      </c>
    </row>
    <row r="26" spans="1:5">
      <c r="A26">
        <v>2022</v>
      </c>
    </row>
    <row r="27" spans="1:5">
      <c r="A27">
        <v>2023</v>
      </c>
    </row>
    <row r="28" spans="1:5">
      <c r="A28">
        <v>2024</v>
      </c>
    </row>
  </sheetData>
  <mergeCells count="2">
    <mergeCell ref="B2:E2"/>
    <mergeCell ref="B1:E1"/>
  </mergeCells>
  <hyperlinks>
    <hyperlink ref="B2:E2" r:id="rId1" display="Veterinary Graduates" xr:uid="{A435C99D-A131-47E6-9877-B7F9F023ACE1}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97C0A-8DDA-4C87-AAA5-DBB5C2147C84}">
  <dimension ref="A1:AP97"/>
  <sheetViews>
    <sheetView workbookViewId="0">
      <pane xSplit="1" ySplit="2" topLeftCell="AB77" activePane="bottomRight" state="frozen"/>
      <selection pane="topRight" activeCell="B1" sqref="B1"/>
      <selection pane="bottomLeft" activeCell="A2" sqref="A2"/>
      <selection pane="bottomRight" activeCell="AM12" sqref="AM12"/>
    </sheetView>
  </sheetViews>
  <sheetFormatPr defaultRowHeight="14.4"/>
  <cols>
    <col min="1" max="1" width="6" customWidth="1"/>
    <col min="7" max="7" width="9" customWidth="1"/>
    <col min="8" max="10" width="6" customWidth="1"/>
    <col min="17" max="18" width="7.33203125" customWidth="1"/>
    <col min="19" max="21" width="6" customWidth="1"/>
    <col min="22" max="22" width="7.109375" customWidth="1"/>
    <col min="23" max="23" width="6" customWidth="1"/>
    <col min="24" max="24" width="7.5546875" customWidth="1"/>
  </cols>
  <sheetData>
    <row r="1" spans="1:42">
      <c r="B1" s="52" t="s">
        <v>195</v>
      </c>
      <c r="C1" s="52"/>
      <c r="D1" s="52"/>
      <c r="E1" s="52"/>
      <c r="F1" s="52" t="s">
        <v>196</v>
      </c>
      <c r="G1" s="52"/>
      <c r="H1" s="52"/>
      <c r="I1" s="52"/>
      <c r="J1" s="52"/>
      <c r="K1" s="52"/>
      <c r="L1" s="52"/>
      <c r="M1" s="52"/>
      <c r="N1" s="52" t="s">
        <v>198</v>
      </c>
      <c r="O1" s="52"/>
      <c r="P1" s="52"/>
      <c r="Q1" s="52" t="s">
        <v>199</v>
      </c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 t="s">
        <v>210</v>
      </c>
      <c r="AJ1" s="52"/>
    </row>
    <row r="2" spans="1:42">
      <c r="B2" t="s">
        <v>139</v>
      </c>
      <c r="C2" t="s">
        <v>123</v>
      </c>
      <c r="D2" t="s">
        <v>106</v>
      </c>
      <c r="E2" t="s">
        <v>197</v>
      </c>
      <c r="F2" t="s">
        <v>209</v>
      </c>
      <c r="G2" t="s">
        <v>39</v>
      </c>
      <c r="H2" t="s">
        <v>45</v>
      </c>
      <c r="I2" t="s">
        <v>54</v>
      </c>
      <c r="J2" t="s">
        <v>193</v>
      </c>
      <c r="K2" t="s">
        <v>105</v>
      </c>
      <c r="L2" t="s">
        <v>154</v>
      </c>
      <c r="M2" t="s">
        <v>197</v>
      </c>
      <c r="N2" t="s">
        <v>80</v>
      </c>
      <c r="O2" t="s">
        <v>124</v>
      </c>
      <c r="P2" t="s">
        <v>197</v>
      </c>
      <c r="Q2" t="s">
        <v>30</v>
      </c>
      <c r="R2" t="s">
        <v>36</v>
      </c>
      <c r="S2" t="s">
        <v>55</v>
      </c>
      <c r="T2" t="s">
        <v>57</v>
      </c>
      <c r="U2" t="s">
        <v>59</v>
      </c>
      <c r="V2" t="s">
        <v>60</v>
      </c>
      <c r="W2" t="s">
        <v>66</v>
      </c>
      <c r="X2" t="s">
        <v>75</v>
      </c>
      <c r="Y2" t="s">
        <v>107</v>
      </c>
      <c r="Z2" t="s">
        <v>114</v>
      </c>
      <c r="AA2" t="s">
        <v>117</v>
      </c>
      <c r="AB2" t="s">
        <v>121</v>
      </c>
      <c r="AC2" t="s">
        <v>122</v>
      </c>
      <c r="AD2" t="s">
        <v>126</v>
      </c>
      <c r="AE2" t="s">
        <v>127</v>
      </c>
      <c r="AF2" t="s">
        <v>129</v>
      </c>
      <c r="AG2" t="s">
        <v>140</v>
      </c>
      <c r="AH2" t="s">
        <v>197</v>
      </c>
      <c r="AI2" t="s">
        <v>192</v>
      </c>
      <c r="AJ2" t="s">
        <v>197</v>
      </c>
      <c r="AL2" t="s">
        <v>213</v>
      </c>
      <c r="AM2" t="s">
        <v>196</v>
      </c>
      <c r="AN2" t="s">
        <v>212</v>
      </c>
      <c r="AO2" t="s">
        <v>199</v>
      </c>
      <c r="AP2" t="s">
        <v>214</v>
      </c>
    </row>
    <row r="3" spans="1:42">
      <c r="A3">
        <v>1933</v>
      </c>
      <c r="B3" s="33"/>
      <c r="C3" s="33"/>
      <c r="D3" s="33"/>
      <c r="E3" s="33" t="e">
        <f>AVERAGE(B3:D3)</f>
        <v>#DIV/0!</v>
      </c>
      <c r="F3" s="33"/>
      <c r="G3" s="33"/>
      <c r="H3" s="33"/>
      <c r="I3" s="33"/>
      <c r="J3" s="33"/>
      <c r="K3" s="33"/>
      <c r="L3" s="33"/>
      <c r="M3" s="33" t="e">
        <f>AVERAGE(F3:L3)</f>
        <v>#DIV/0!</v>
      </c>
      <c r="N3" s="33"/>
      <c r="O3" s="33"/>
      <c r="P3" s="33" t="e">
        <f>AVERAGE(N3:O3)</f>
        <v>#DIV/0!</v>
      </c>
      <c r="Q3" s="33"/>
      <c r="R3" s="33">
        <v>0</v>
      </c>
      <c r="S3" s="33">
        <v>0</v>
      </c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>
        <f>AVERAGE(Q3:AG3)</f>
        <v>0</v>
      </c>
      <c r="AI3" s="33"/>
      <c r="AL3" s="37"/>
      <c r="AM3" s="37"/>
      <c r="AN3" s="37"/>
      <c r="AO3" s="37">
        <v>0</v>
      </c>
      <c r="AP3" s="37"/>
    </row>
    <row r="4" spans="1:42">
      <c r="A4">
        <v>1934</v>
      </c>
      <c r="B4" s="33"/>
      <c r="C4" s="33"/>
      <c r="D4" s="33"/>
      <c r="E4" s="33" t="e">
        <f t="shared" ref="E4:E67" si="0">AVERAGE(B4:D4)</f>
        <v>#DIV/0!</v>
      </c>
      <c r="F4" s="33"/>
      <c r="G4" s="33"/>
      <c r="H4" s="33"/>
      <c r="I4" s="33"/>
      <c r="J4" s="33"/>
      <c r="K4" s="33"/>
      <c r="L4" s="33"/>
      <c r="M4" s="33" t="e">
        <f t="shared" ref="M4:M67" si="1">AVERAGE(F4:L4)</f>
        <v>#DIV/0!</v>
      </c>
      <c r="N4" s="33"/>
      <c r="O4" s="33"/>
      <c r="P4" s="33" t="e">
        <f t="shared" ref="P4:P67" si="2">AVERAGE(N4:O4)</f>
        <v>#DIV/0!</v>
      </c>
      <c r="Q4" s="33"/>
      <c r="R4" s="33">
        <v>0</v>
      </c>
      <c r="S4" s="33">
        <v>0</v>
      </c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>
        <f t="shared" ref="AH4:AH67" si="3">AVERAGE(Q4:AG4)</f>
        <v>0</v>
      </c>
      <c r="AI4" s="33"/>
      <c r="AL4" s="37"/>
      <c r="AM4" s="37"/>
      <c r="AN4" s="37"/>
      <c r="AO4" s="37">
        <v>0</v>
      </c>
      <c r="AP4" s="37"/>
    </row>
    <row r="5" spans="1:42">
      <c r="A5">
        <v>1935</v>
      </c>
      <c r="B5" s="33"/>
      <c r="C5" s="33"/>
      <c r="D5" s="33"/>
      <c r="E5" s="33" t="e">
        <f t="shared" si="0"/>
        <v>#DIV/0!</v>
      </c>
      <c r="F5" s="33"/>
      <c r="G5" s="33"/>
      <c r="H5" s="33"/>
      <c r="I5" s="33"/>
      <c r="J5" s="33"/>
      <c r="K5" s="33"/>
      <c r="L5" s="33"/>
      <c r="M5" s="33" t="e">
        <f t="shared" si="1"/>
        <v>#DIV/0!</v>
      </c>
      <c r="N5" s="33"/>
      <c r="O5" s="33"/>
      <c r="P5" s="33" t="e">
        <f t="shared" si="2"/>
        <v>#DIV/0!</v>
      </c>
      <c r="Q5" s="33"/>
      <c r="R5" s="33">
        <v>0</v>
      </c>
      <c r="S5" s="33"/>
      <c r="T5" s="33"/>
      <c r="U5" s="33"/>
      <c r="V5" s="33"/>
      <c r="W5" s="33"/>
      <c r="X5" s="33"/>
      <c r="Y5" s="33"/>
      <c r="Z5" s="29">
        <v>0</v>
      </c>
      <c r="AA5" s="33"/>
      <c r="AB5" s="33"/>
      <c r="AC5" s="33"/>
      <c r="AD5" s="33"/>
      <c r="AE5" s="33"/>
      <c r="AF5" s="33"/>
      <c r="AG5" s="33"/>
      <c r="AH5" s="33">
        <f t="shared" si="3"/>
        <v>0</v>
      </c>
      <c r="AI5" s="33"/>
      <c r="AL5" s="37"/>
      <c r="AM5" s="37"/>
      <c r="AN5" s="37"/>
      <c r="AO5" s="37">
        <v>0</v>
      </c>
      <c r="AP5" s="37"/>
    </row>
    <row r="6" spans="1:42">
      <c r="A6">
        <v>1936</v>
      </c>
      <c r="B6" s="33"/>
      <c r="C6" s="33"/>
      <c r="D6" s="33"/>
      <c r="E6" s="33" t="e">
        <f t="shared" si="0"/>
        <v>#DIV/0!</v>
      </c>
      <c r="F6" s="33"/>
      <c r="G6" s="33"/>
      <c r="H6" s="33"/>
      <c r="I6" s="33"/>
      <c r="J6" s="33"/>
      <c r="K6" s="33"/>
      <c r="L6" s="33"/>
      <c r="M6" s="33" t="e">
        <f t="shared" si="1"/>
        <v>#DIV/0!</v>
      </c>
      <c r="N6" s="33"/>
      <c r="O6" s="33"/>
      <c r="P6" s="33" t="e">
        <f t="shared" si="2"/>
        <v>#DIV/0!</v>
      </c>
      <c r="Q6" s="33"/>
      <c r="R6" s="33">
        <v>1.8867924528301886E-2</v>
      </c>
      <c r="S6" s="33">
        <v>0</v>
      </c>
      <c r="T6" s="33"/>
      <c r="U6" s="33"/>
      <c r="V6" s="33"/>
      <c r="W6" s="33"/>
      <c r="X6" s="33"/>
      <c r="Y6" s="33"/>
      <c r="Z6" s="29">
        <v>6.5295461965393403E-2</v>
      </c>
      <c r="AA6" s="33"/>
      <c r="AB6" s="33"/>
      <c r="AC6" s="33"/>
      <c r="AD6" s="33"/>
      <c r="AE6" s="33"/>
      <c r="AF6" s="33"/>
      <c r="AG6" s="33"/>
      <c r="AH6" s="33">
        <f t="shared" si="3"/>
        <v>2.8054462164565096E-2</v>
      </c>
      <c r="AI6" s="33"/>
      <c r="AL6" s="37"/>
      <c r="AM6" s="37"/>
      <c r="AN6" s="37"/>
      <c r="AO6" s="37">
        <v>2.8054462164565096E-2</v>
      </c>
      <c r="AP6" s="37"/>
    </row>
    <row r="7" spans="1:42">
      <c r="A7">
        <v>1937</v>
      </c>
      <c r="B7" s="33"/>
      <c r="C7" s="33"/>
      <c r="D7" s="33"/>
      <c r="E7" s="33" t="e">
        <f t="shared" si="0"/>
        <v>#DIV/0!</v>
      </c>
      <c r="F7" s="33"/>
      <c r="G7" s="33"/>
      <c r="H7" s="33"/>
      <c r="I7" s="33"/>
      <c r="J7" s="33"/>
      <c r="K7" s="33"/>
      <c r="L7" s="33"/>
      <c r="M7" s="33" t="e">
        <f t="shared" si="1"/>
        <v>#DIV/0!</v>
      </c>
      <c r="N7" s="33"/>
      <c r="O7" s="33"/>
      <c r="P7" s="33" t="e">
        <f t="shared" si="2"/>
        <v>#DIV/0!</v>
      </c>
      <c r="Q7" s="33"/>
      <c r="R7" s="33">
        <v>0</v>
      </c>
      <c r="S7" s="33">
        <v>0</v>
      </c>
      <c r="T7" s="33"/>
      <c r="U7" s="33"/>
      <c r="V7" s="33"/>
      <c r="W7" s="33"/>
      <c r="X7" s="33"/>
      <c r="Y7" s="33"/>
      <c r="Z7" s="29">
        <v>0</v>
      </c>
      <c r="AA7" s="33"/>
      <c r="AB7" s="33"/>
      <c r="AC7" s="33"/>
      <c r="AD7" s="33"/>
      <c r="AE7" s="33"/>
      <c r="AF7" s="33"/>
      <c r="AG7" s="33"/>
      <c r="AH7" s="33">
        <f t="shared" si="3"/>
        <v>0</v>
      </c>
      <c r="AI7" s="33"/>
      <c r="AL7" s="37"/>
      <c r="AM7" s="37"/>
      <c r="AN7" s="37"/>
      <c r="AO7" s="37">
        <v>0</v>
      </c>
      <c r="AP7" s="37"/>
    </row>
    <row r="8" spans="1:42">
      <c r="A8">
        <v>1938</v>
      </c>
      <c r="B8" s="33"/>
      <c r="C8" s="33"/>
      <c r="D8" s="33"/>
      <c r="E8" s="33" t="e">
        <f t="shared" si="0"/>
        <v>#DIV/0!</v>
      </c>
      <c r="F8" s="33"/>
      <c r="G8" s="33"/>
      <c r="H8" s="33"/>
      <c r="I8" s="33"/>
      <c r="J8" s="33"/>
      <c r="K8" s="33"/>
      <c r="L8" s="33"/>
      <c r="M8" s="33" t="e">
        <f t="shared" si="1"/>
        <v>#DIV/0!</v>
      </c>
      <c r="N8" s="33"/>
      <c r="O8" s="33"/>
      <c r="P8" s="33" t="e">
        <f t="shared" si="2"/>
        <v>#DIV/0!</v>
      </c>
      <c r="Q8" s="33"/>
      <c r="R8" s="33">
        <v>0</v>
      </c>
      <c r="S8" s="33">
        <v>0</v>
      </c>
      <c r="T8" s="33"/>
      <c r="U8" s="33"/>
      <c r="V8" s="33"/>
      <c r="W8" s="33"/>
      <c r="X8" s="33"/>
      <c r="Y8" s="33"/>
      <c r="Z8" s="29">
        <v>0</v>
      </c>
      <c r="AA8" s="33"/>
      <c r="AB8" s="33"/>
      <c r="AC8" s="33"/>
      <c r="AD8" s="33"/>
      <c r="AE8" s="33"/>
      <c r="AF8" s="33"/>
      <c r="AG8" s="33"/>
      <c r="AH8" s="33">
        <f t="shared" si="3"/>
        <v>0</v>
      </c>
      <c r="AI8" s="33"/>
      <c r="AL8" s="37"/>
      <c r="AM8" s="37"/>
      <c r="AN8" s="37"/>
      <c r="AO8" s="37">
        <v>0</v>
      </c>
      <c r="AP8" s="37"/>
    </row>
    <row r="9" spans="1:42">
      <c r="A9">
        <v>1939</v>
      </c>
      <c r="B9" s="33"/>
      <c r="C9" s="33"/>
      <c r="D9" s="33"/>
      <c r="E9" s="33" t="e">
        <f t="shared" si="0"/>
        <v>#DIV/0!</v>
      </c>
      <c r="F9" s="33"/>
      <c r="G9" s="33"/>
      <c r="H9" s="33"/>
      <c r="I9" s="33"/>
      <c r="J9" s="33"/>
      <c r="K9" s="33"/>
      <c r="L9" s="33"/>
      <c r="M9" s="33" t="e">
        <f t="shared" si="1"/>
        <v>#DIV/0!</v>
      </c>
      <c r="N9" s="33"/>
      <c r="O9" s="33"/>
      <c r="P9" s="33" t="e">
        <f t="shared" si="2"/>
        <v>#DIV/0!</v>
      </c>
      <c r="Q9" s="33"/>
      <c r="R9" s="33">
        <v>0</v>
      </c>
      <c r="S9" s="33"/>
      <c r="T9" s="33"/>
      <c r="U9" s="33"/>
      <c r="V9" s="33"/>
      <c r="W9" s="33"/>
      <c r="X9" s="33"/>
      <c r="Y9" s="33"/>
      <c r="Z9" s="29">
        <v>0</v>
      </c>
      <c r="AA9" s="33"/>
      <c r="AB9" s="33"/>
      <c r="AC9" s="33"/>
      <c r="AD9" s="33"/>
      <c r="AE9" s="33"/>
      <c r="AF9" s="33"/>
      <c r="AG9" s="33"/>
      <c r="AH9" s="33">
        <f t="shared" si="3"/>
        <v>0</v>
      </c>
      <c r="AI9" s="33">
        <v>6.9000000000000006E-2</v>
      </c>
      <c r="AL9" s="37"/>
      <c r="AM9" s="37"/>
      <c r="AN9" s="37"/>
      <c r="AO9" s="37">
        <v>0</v>
      </c>
      <c r="AP9" s="37">
        <v>6.9000000000000006E-2</v>
      </c>
    </row>
    <row r="10" spans="1:42">
      <c r="A10">
        <v>1940</v>
      </c>
      <c r="B10" s="33"/>
      <c r="C10" s="33"/>
      <c r="D10" s="33"/>
      <c r="E10" s="33" t="e">
        <f t="shared" si="0"/>
        <v>#DIV/0!</v>
      </c>
      <c r="F10" s="33"/>
      <c r="G10" s="33"/>
      <c r="H10" s="33"/>
      <c r="I10" s="33"/>
      <c r="J10" s="33"/>
      <c r="K10" s="33"/>
      <c r="L10" s="33"/>
      <c r="M10" s="33" t="e">
        <f t="shared" si="1"/>
        <v>#DIV/0!</v>
      </c>
      <c r="N10" s="33"/>
      <c r="O10" s="33"/>
      <c r="P10" s="33" t="e">
        <f t="shared" si="2"/>
        <v>#DIV/0!</v>
      </c>
      <c r="Q10" s="33"/>
      <c r="R10" s="33">
        <v>0</v>
      </c>
      <c r="S10" s="33"/>
      <c r="T10" s="33"/>
      <c r="U10" s="33"/>
      <c r="V10" s="33"/>
      <c r="W10" s="33"/>
      <c r="X10" s="33"/>
      <c r="Y10" s="33"/>
      <c r="Z10" s="29">
        <v>0.15136607886172709</v>
      </c>
      <c r="AA10" s="33"/>
      <c r="AB10" s="33"/>
      <c r="AC10" s="33"/>
      <c r="AD10" s="33"/>
      <c r="AE10" s="33"/>
      <c r="AF10" s="33"/>
      <c r="AG10" s="33"/>
      <c r="AH10" s="33">
        <f t="shared" si="3"/>
        <v>7.5683039430863547E-2</v>
      </c>
      <c r="AI10" s="33"/>
      <c r="AL10" s="37"/>
      <c r="AM10" s="37"/>
      <c r="AN10" s="37"/>
      <c r="AO10" s="37">
        <v>7.5683039430863547E-2</v>
      </c>
      <c r="AP10" s="37"/>
    </row>
    <row r="11" spans="1:42">
      <c r="A11">
        <v>1941</v>
      </c>
      <c r="B11" s="33"/>
      <c r="C11" s="33"/>
      <c r="D11" s="33"/>
      <c r="E11" s="33" t="e">
        <f t="shared" si="0"/>
        <v>#DIV/0!</v>
      </c>
      <c r="F11" s="33"/>
      <c r="G11" s="33"/>
      <c r="H11" s="33"/>
      <c r="I11" s="33"/>
      <c r="J11" s="33"/>
      <c r="K11" s="33"/>
      <c r="L11" s="33"/>
      <c r="M11" s="33" t="e">
        <f t="shared" si="1"/>
        <v>#DIV/0!</v>
      </c>
      <c r="N11" s="33"/>
      <c r="O11" s="33"/>
      <c r="P11" s="33" t="e">
        <f t="shared" si="2"/>
        <v>#DIV/0!</v>
      </c>
      <c r="Q11" s="33"/>
      <c r="R11" s="33">
        <v>0</v>
      </c>
      <c r="S11" s="33">
        <v>0</v>
      </c>
      <c r="T11" s="33"/>
      <c r="U11" s="33"/>
      <c r="V11" s="33"/>
      <c r="W11" s="33"/>
      <c r="X11" s="33"/>
      <c r="Y11" s="33"/>
      <c r="Z11" s="29">
        <v>6.1667488899851991E-2</v>
      </c>
      <c r="AA11" s="33"/>
      <c r="AB11" s="33"/>
      <c r="AC11" s="33"/>
      <c r="AD11" s="33"/>
      <c r="AE11" s="33"/>
      <c r="AF11" s="33"/>
      <c r="AG11" s="33"/>
      <c r="AH11" s="33">
        <f t="shared" si="3"/>
        <v>2.0555829633283996E-2</v>
      </c>
      <c r="AI11" s="33"/>
      <c r="AL11" s="37"/>
      <c r="AM11" s="37"/>
      <c r="AN11" s="37"/>
      <c r="AO11" s="37">
        <v>2.0555829633283996E-2</v>
      </c>
      <c r="AP11" s="37"/>
    </row>
    <row r="12" spans="1:42">
      <c r="A12">
        <v>1942</v>
      </c>
      <c r="B12" s="33"/>
      <c r="C12" s="33"/>
      <c r="D12" s="33"/>
      <c r="E12" s="33" t="e">
        <f t="shared" si="0"/>
        <v>#DIV/0!</v>
      </c>
      <c r="F12" s="33"/>
      <c r="G12" s="33"/>
      <c r="H12" s="33"/>
      <c r="I12" s="33"/>
      <c r="J12" s="33"/>
      <c r="K12" s="33"/>
      <c r="L12" s="33"/>
      <c r="M12" s="33" t="e">
        <f t="shared" si="1"/>
        <v>#DIV/0!</v>
      </c>
      <c r="N12" s="33"/>
      <c r="O12" s="33"/>
      <c r="P12" s="33" t="e">
        <f t="shared" si="2"/>
        <v>#DIV/0!</v>
      </c>
      <c r="Q12" s="33"/>
      <c r="R12" s="33">
        <v>0</v>
      </c>
      <c r="S12" s="33">
        <v>0</v>
      </c>
      <c r="T12" s="33"/>
      <c r="U12" s="33"/>
      <c r="V12" s="33"/>
      <c r="W12" s="33"/>
      <c r="X12" s="33"/>
      <c r="Y12" s="33"/>
      <c r="Z12" s="29">
        <v>9.7943192948090105E-2</v>
      </c>
      <c r="AA12" s="33"/>
      <c r="AB12" s="33"/>
      <c r="AC12" s="33"/>
      <c r="AD12" s="33"/>
      <c r="AE12" s="33"/>
      <c r="AF12" s="33"/>
      <c r="AG12" s="33"/>
      <c r="AH12" s="33">
        <f t="shared" si="3"/>
        <v>3.2647730982696702E-2</v>
      </c>
      <c r="AI12" s="33"/>
      <c r="AL12" s="37"/>
      <c r="AM12" s="37"/>
      <c r="AN12" s="37"/>
      <c r="AO12" s="37">
        <v>3.2647730982696702E-2</v>
      </c>
      <c r="AP12" s="37"/>
    </row>
    <row r="13" spans="1:42">
      <c r="A13">
        <v>1943</v>
      </c>
      <c r="B13" s="33"/>
      <c r="C13" s="33"/>
      <c r="D13" s="33"/>
      <c r="E13" s="33" t="e">
        <f t="shared" si="0"/>
        <v>#DIV/0!</v>
      </c>
      <c r="F13" s="33"/>
      <c r="G13" s="33"/>
      <c r="H13" s="33"/>
      <c r="I13" s="33"/>
      <c r="J13" s="33"/>
      <c r="K13" s="33"/>
      <c r="L13" s="33"/>
      <c r="M13" s="33" t="e">
        <f t="shared" si="1"/>
        <v>#DIV/0!</v>
      </c>
      <c r="N13" s="33"/>
      <c r="O13" s="33"/>
      <c r="P13" s="33" t="e">
        <f t="shared" si="2"/>
        <v>#DIV/0!</v>
      </c>
      <c r="Q13" s="33"/>
      <c r="R13" s="33">
        <v>0</v>
      </c>
      <c r="S13" s="33">
        <v>0</v>
      </c>
      <c r="T13" s="33"/>
      <c r="U13" s="33"/>
      <c r="V13" s="33"/>
      <c r="W13" s="33"/>
      <c r="X13" s="33"/>
      <c r="Y13" s="33"/>
      <c r="Z13" s="29">
        <v>0</v>
      </c>
      <c r="AA13" s="33"/>
      <c r="AB13" s="33"/>
      <c r="AC13" s="33"/>
      <c r="AD13" s="33"/>
      <c r="AE13" s="33"/>
      <c r="AF13" s="33"/>
      <c r="AG13" s="33"/>
      <c r="AH13" s="33">
        <f t="shared" si="3"/>
        <v>0</v>
      </c>
      <c r="AI13" s="33"/>
      <c r="AL13" s="37"/>
      <c r="AM13" s="37"/>
      <c r="AN13" s="37"/>
      <c r="AO13" s="37">
        <v>0</v>
      </c>
      <c r="AP13" s="37"/>
    </row>
    <row r="14" spans="1:42">
      <c r="A14">
        <v>1944</v>
      </c>
      <c r="B14" s="33"/>
      <c r="C14" s="33"/>
      <c r="D14" s="33"/>
      <c r="E14" s="33" t="e">
        <f t="shared" si="0"/>
        <v>#DIV/0!</v>
      </c>
      <c r="F14" s="33"/>
      <c r="G14" s="33"/>
      <c r="H14" s="33"/>
      <c r="I14" s="33"/>
      <c r="J14" s="33"/>
      <c r="K14" s="33"/>
      <c r="L14" s="33"/>
      <c r="M14" s="33" t="e">
        <f t="shared" si="1"/>
        <v>#DIV/0!</v>
      </c>
      <c r="N14" s="33"/>
      <c r="O14" s="33"/>
      <c r="P14" s="33" t="e">
        <f t="shared" si="2"/>
        <v>#DIV/0!</v>
      </c>
      <c r="Q14" s="33"/>
      <c r="R14" s="33">
        <v>1.0526315789473684E-2</v>
      </c>
      <c r="S14" s="33">
        <v>0</v>
      </c>
      <c r="T14" s="33"/>
      <c r="U14" s="33"/>
      <c r="V14" s="33"/>
      <c r="W14" s="33"/>
      <c r="X14" s="33"/>
      <c r="Y14" s="33"/>
      <c r="Z14" s="29">
        <v>4.9701789264413515E-2</v>
      </c>
      <c r="AA14" s="33"/>
      <c r="AB14" s="33"/>
      <c r="AC14" s="33"/>
      <c r="AD14" s="33"/>
      <c r="AE14" s="33"/>
      <c r="AF14" s="33"/>
      <c r="AG14" s="33"/>
      <c r="AH14" s="33">
        <f t="shared" si="3"/>
        <v>2.0076035017962398E-2</v>
      </c>
      <c r="AI14" s="33">
        <v>7.5999999999999998E-2</v>
      </c>
      <c r="AL14" s="37"/>
      <c r="AM14" s="37"/>
      <c r="AN14" s="37"/>
      <c r="AO14" s="37">
        <v>2.0076035017962398E-2</v>
      </c>
      <c r="AP14" s="37">
        <v>7.5999999999999998E-2</v>
      </c>
    </row>
    <row r="15" spans="1:42">
      <c r="A15">
        <v>1945</v>
      </c>
      <c r="B15" s="33"/>
      <c r="C15" s="33"/>
      <c r="D15" s="33"/>
      <c r="E15" s="33" t="e">
        <f t="shared" si="0"/>
        <v>#DIV/0!</v>
      </c>
      <c r="F15" s="33"/>
      <c r="G15" s="33"/>
      <c r="H15" s="33"/>
      <c r="I15" s="33"/>
      <c r="J15" s="33"/>
      <c r="K15" s="33"/>
      <c r="L15" s="33"/>
      <c r="M15" s="33" t="e">
        <f t="shared" si="1"/>
        <v>#DIV/0!</v>
      </c>
      <c r="N15" s="33"/>
      <c r="O15" s="33"/>
      <c r="P15" s="33" t="e">
        <f t="shared" si="2"/>
        <v>#DIV/0!</v>
      </c>
      <c r="Q15" s="33"/>
      <c r="R15" s="33">
        <v>0</v>
      </c>
      <c r="S15" s="33">
        <v>0</v>
      </c>
      <c r="T15" s="33"/>
      <c r="U15" s="33"/>
      <c r="V15" s="33"/>
      <c r="W15" s="33"/>
      <c r="X15" s="33"/>
      <c r="Y15" s="33"/>
      <c r="Z15" s="29">
        <v>3.1121623303871533E-2</v>
      </c>
      <c r="AA15" s="33"/>
      <c r="AB15" s="33"/>
      <c r="AC15" s="33"/>
      <c r="AD15" s="33"/>
      <c r="AE15" s="33"/>
      <c r="AF15" s="33"/>
      <c r="AG15" s="33"/>
      <c r="AH15" s="33">
        <f t="shared" si="3"/>
        <v>1.0373874434623844E-2</v>
      </c>
      <c r="AI15" s="33"/>
      <c r="AL15" s="37"/>
      <c r="AM15" s="37"/>
      <c r="AN15" s="37"/>
      <c r="AO15" s="37">
        <v>1.0373874434623844E-2</v>
      </c>
      <c r="AP15" s="37"/>
    </row>
    <row r="16" spans="1:42">
      <c r="A16">
        <v>1946</v>
      </c>
      <c r="B16" s="33"/>
      <c r="C16" s="33"/>
      <c r="D16" s="33"/>
      <c r="E16" s="33" t="e">
        <f t="shared" si="0"/>
        <v>#DIV/0!</v>
      </c>
      <c r="F16" s="33"/>
      <c r="G16" s="33"/>
      <c r="H16" s="33"/>
      <c r="I16" s="33"/>
      <c r="J16" s="33"/>
      <c r="K16" s="33"/>
      <c r="L16" s="33"/>
      <c r="M16" s="33" t="e">
        <f t="shared" si="1"/>
        <v>#DIV/0!</v>
      </c>
      <c r="N16" s="33"/>
      <c r="O16" s="33"/>
      <c r="P16" s="33" t="e">
        <f t="shared" si="2"/>
        <v>#DIV/0!</v>
      </c>
      <c r="Q16" s="33"/>
      <c r="R16" s="33">
        <v>0</v>
      </c>
      <c r="S16" s="33">
        <v>0</v>
      </c>
      <c r="T16" s="33"/>
      <c r="U16" s="33"/>
      <c r="V16" s="33"/>
      <c r="W16" s="33"/>
      <c r="X16" s="33"/>
      <c r="Y16" s="33"/>
      <c r="Z16" s="29">
        <v>0</v>
      </c>
      <c r="AA16" s="33"/>
      <c r="AB16" s="33"/>
      <c r="AC16" s="33"/>
      <c r="AD16" s="33"/>
      <c r="AE16" s="33"/>
      <c r="AF16" s="33"/>
      <c r="AG16" s="33"/>
      <c r="AH16" s="33">
        <f t="shared" si="3"/>
        <v>0</v>
      </c>
      <c r="AI16" s="33"/>
      <c r="AL16" s="37"/>
      <c r="AM16" s="37"/>
      <c r="AN16" s="37"/>
      <c r="AO16" s="37">
        <v>0</v>
      </c>
      <c r="AP16" s="37"/>
    </row>
    <row r="17" spans="1:42">
      <c r="A17">
        <v>1947</v>
      </c>
      <c r="B17" s="33"/>
      <c r="C17" s="33"/>
      <c r="D17" s="33"/>
      <c r="E17" s="33" t="e">
        <f t="shared" si="0"/>
        <v>#DIV/0!</v>
      </c>
      <c r="F17" s="33"/>
      <c r="G17" s="33"/>
      <c r="H17" s="33"/>
      <c r="I17" s="33"/>
      <c r="J17" s="33"/>
      <c r="K17" s="33"/>
      <c r="L17" s="33"/>
      <c r="M17" s="33" t="e">
        <f t="shared" si="1"/>
        <v>#DIV/0!</v>
      </c>
      <c r="N17" s="33"/>
      <c r="O17" s="33"/>
      <c r="P17" s="33" t="e">
        <f t="shared" si="2"/>
        <v>#DIV/0!</v>
      </c>
      <c r="Q17" s="33"/>
      <c r="R17" s="33">
        <v>0</v>
      </c>
      <c r="S17" s="33">
        <v>0</v>
      </c>
      <c r="T17" s="33"/>
      <c r="U17" s="33"/>
      <c r="V17" s="33"/>
      <c r="W17" s="33"/>
      <c r="X17" s="33"/>
      <c r="Y17" s="33"/>
      <c r="Z17" s="29">
        <v>0</v>
      </c>
      <c r="AA17" s="33"/>
      <c r="AB17" s="33"/>
      <c r="AC17" s="33"/>
      <c r="AD17" s="33"/>
      <c r="AE17" s="33"/>
      <c r="AF17" s="33"/>
      <c r="AG17" s="33"/>
      <c r="AH17" s="33">
        <f t="shared" si="3"/>
        <v>0</v>
      </c>
      <c r="AI17" s="33"/>
      <c r="AL17" s="37"/>
      <c r="AM17" s="37"/>
      <c r="AN17" s="37"/>
      <c r="AO17" s="37">
        <v>0</v>
      </c>
      <c r="AP17" s="37"/>
    </row>
    <row r="18" spans="1:42">
      <c r="A18">
        <v>1948</v>
      </c>
      <c r="B18" s="33"/>
      <c r="C18" s="33"/>
      <c r="D18" s="33"/>
      <c r="E18" s="33" t="e">
        <f t="shared" si="0"/>
        <v>#DIV/0!</v>
      </c>
      <c r="F18" s="33"/>
      <c r="G18" s="33"/>
      <c r="H18" s="33"/>
      <c r="I18" s="33"/>
      <c r="J18" s="33"/>
      <c r="K18" s="33"/>
      <c r="L18" s="33"/>
      <c r="M18" s="33" t="e">
        <f t="shared" si="1"/>
        <v>#DIV/0!</v>
      </c>
      <c r="N18" s="33"/>
      <c r="O18" s="33"/>
      <c r="P18" s="33" t="e">
        <f t="shared" si="2"/>
        <v>#DIV/0!</v>
      </c>
      <c r="Q18" s="33"/>
      <c r="R18" s="33">
        <v>1.3333333333333334E-2</v>
      </c>
      <c r="S18" s="33">
        <v>0</v>
      </c>
      <c r="T18" s="33"/>
      <c r="U18" s="33"/>
      <c r="V18" s="33"/>
      <c r="W18" s="33"/>
      <c r="X18" s="33"/>
      <c r="Y18" s="33"/>
      <c r="Z18" s="29">
        <v>0</v>
      </c>
      <c r="AA18" s="33"/>
      <c r="AB18" s="33"/>
      <c r="AC18" s="33"/>
      <c r="AD18" s="33"/>
      <c r="AE18" s="33"/>
      <c r="AF18" s="33"/>
      <c r="AG18" s="33"/>
      <c r="AH18" s="33">
        <f t="shared" si="3"/>
        <v>4.4444444444444444E-3</v>
      </c>
      <c r="AI18" s="33"/>
      <c r="AL18" s="37"/>
      <c r="AM18" s="37"/>
      <c r="AN18" s="37"/>
      <c r="AO18" s="37">
        <v>4.4444444444444444E-3</v>
      </c>
      <c r="AP18" s="37"/>
    </row>
    <row r="19" spans="1:42">
      <c r="A19">
        <v>1949</v>
      </c>
      <c r="B19" s="33"/>
      <c r="C19" s="33"/>
      <c r="D19" s="33"/>
      <c r="E19" s="33" t="e">
        <f t="shared" si="0"/>
        <v>#DIV/0!</v>
      </c>
      <c r="F19" s="33"/>
      <c r="G19" s="33"/>
      <c r="H19" s="33"/>
      <c r="I19" s="33"/>
      <c r="J19" s="33"/>
      <c r="K19" s="33"/>
      <c r="L19" s="33"/>
      <c r="M19" s="33" t="e">
        <f t="shared" si="1"/>
        <v>#DIV/0!</v>
      </c>
      <c r="N19" s="33"/>
      <c r="O19" s="33"/>
      <c r="P19" s="33" t="e">
        <f t="shared" si="2"/>
        <v>#DIV/0!</v>
      </c>
      <c r="Q19" s="33"/>
      <c r="R19" s="33">
        <v>0</v>
      </c>
      <c r="S19" s="33">
        <v>0</v>
      </c>
      <c r="T19" s="33"/>
      <c r="U19" s="33"/>
      <c r="V19" s="33"/>
      <c r="W19" s="33"/>
      <c r="X19" s="33"/>
      <c r="Y19" s="33"/>
      <c r="Z19" s="29">
        <v>0</v>
      </c>
      <c r="AA19" s="33"/>
      <c r="AB19" s="33"/>
      <c r="AC19" s="33"/>
      <c r="AD19" s="33"/>
      <c r="AE19" s="33"/>
      <c r="AF19" s="33"/>
      <c r="AG19" s="33"/>
      <c r="AH19" s="33">
        <f t="shared" si="3"/>
        <v>0</v>
      </c>
      <c r="AI19" s="33">
        <v>5.5E-2</v>
      </c>
      <c r="AL19" s="37"/>
      <c r="AM19" s="37"/>
      <c r="AN19" s="37"/>
      <c r="AO19" s="37">
        <v>0</v>
      </c>
      <c r="AP19" s="37">
        <v>5.5E-2</v>
      </c>
    </row>
    <row r="20" spans="1:42">
      <c r="A20">
        <v>1950</v>
      </c>
      <c r="B20" s="33"/>
      <c r="C20" s="33"/>
      <c r="D20" s="33"/>
      <c r="E20" s="33" t="e">
        <f t="shared" si="0"/>
        <v>#DIV/0!</v>
      </c>
      <c r="F20" s="33"/>
      <c r="G20" s="33"/>
      <c r="H20" s="33"/>
      <c r="I20" s="33"/>
      <c r="J20" s="33"/>
      <c r="K20" s="33"/>
      <c r="L20" s="33"/>
      <c r="M20" s="33" t="e">
        <f t="shared" si="1"/>
        <v>#DIV/0!</v>
      </c>
      <c r="N20" s="33"/>
      <c r="O20" s="33"/>
      <c r="P20" s="33" t="e">
        <f t="shared" si="2"/>
        <v>#DIV/0!</v>
      </c>
      <c r="Q20" s="33"/>
      <c r="R20" s="33">
        <v>1.2500000000000001E-2</v>
      </c>
      <c r="S20" s="33"/>
      <c r="T20" s="33"/>
      <c r="U20" s="33"/>
      <c r="V20" s="33"/>
      <c r="W20" s="33"/>
      <c r="X20" s="33"/>
      <c r="Y20" s="33"/>
      <c r="Z20" s="29">
        <v>0</v>
      </c>
      <c r="AA20" s="33"/>
      <c r="AB20" s="33"/>
      <c r="AC20" s="33"/>
      <c r="AD20" s="33"/>
      <c r="AE20" s="33"/>
      <c r="AF20" s="33">
        <v>1.953125E-2</v>
      </c>
      <c r="AG20" s="33"/>
      <c r="AH20" s="33">
        <f t="shared" si="3"/>
        <v>1.0677083333333332E-2</v>
      </c>
      <c r="AI20" s="33"/>
      <c r="AL20" s="37"/>
      <c r="AM20" s="37"/>
      <c r="AN20" s="37"/>
      <c r="AO20" s="37">
        <v>1.0677083333333332E-2</v>
      </c>
      <c r="AP20" s="37"/>
    </row>
    <row r="21" spans="1:42">
      <c r="A21">
        <v>1951</v>
      </c>
      <c r="B21" s="33"/>
      <c r="C21" s="33"/>
      <c r="D21" s="33"/>
      <c r="E21" s="33" t="e">
        <f t="shared" si="0"/>
        <v>#DIV/0!</v>
      </c>
      <c r="F21" s="33"/>
      <c r="G21" s="33"/>
      <c r="H21" s="33"/>
      <c r="I21" s="33"/>
      <c r="J21" s="33"/>
      <c r="K21" s="33"/>
      <c r="L21" s="33"/>
      <c r="M21" s="33" t="e">
        <f t="shared" si="1"/>
        <v>#DIV/0!</v>
      </c>
      <c r="N21" s="33"/>
      <c r="O21" s="33"/>
      <c r="P21" s="33" t="e">
        <f t="shared" si="2"/>
        <v>#DIV/0!</v>
      </c>
      <c r="Q21" s="33"/>
      <c r="R21" s="33">
        <v>1.2658227848101266E-2</v>
      </c>
      <c r="S21" s="33"/>
      <c r="T21" s="33"/>
      <c r="U21" s="33"/>
      <c r="V21" s="33"/>
      <c r="W21" s="33"/>
      <c r="X21" s="33"/>
      <c r="Y21" s="33"/>
      <c r="Z21" s="29">
        <v>0.10406368697642956</v>
      </c>
      <c r="AA21" s="33"/>
      <c r="AB21" s="33"/>
      <c r="AC21" s="33"/>
      <c r="AD21" s="33"/>
      <c r="AE21" s="33"/>
      <c r="AF21" s="33"/>
      <c r="AG21" s="33"/>
      <c r="AH21" s="33">
        <f t="shared" si="3"/>
        <v>5.8360957412265414E-2</v>
      </c>
      <c r="AI21" s="33"/>
      <c r="AL21" s="37"/>
      <c r="AM21" s="37"/>
      <c r="AN21" s="37"/>
      <c r="AO21" s="37">
        <v>5.8360957412265414E-2</v>
      </c>
      <c r="AP21" s="37"/>
    </row>
    <row r="22" spans="1:42">
      <c r="A22">
        <v>1952</v>
      </c>
      <c r="B22" s="33"/>
      <c r="C22" s="33"/>
      <c r="D22" s="33"/>
      <c r="E22" s="33" t="e">
        <f t="shared" si="0"/>
        <v>#DIV/0!</v>
      </c>
      <c r="F22" s="33"/>
      <c r="G22" s="33"/>
      <c r="H22" s="33"/>
      <c r="I22" s="33"/>
      <c r="J22" s="33"/>
      <c r="K22" s="33"/>
      <c r="L22" s="33"/>
      <c r="M22" s="33" t="e">
        <f t="shared" si="1"/>
        <v>#DIV/0!</v>
      </c>
      <c r="N22" s="33"/>
      <c r="O22" s="33"/>
      <c r="P22" s="33" t="e">
        <f t="shared" si="2"/>
        <v>#DIV/0!</v>
      </c>
      <c r="Q22" s="33"/>
      <c r="R22" s="33">
        <v>1.2987012987012988E-2</v>
      </c>
      <c r="S22" s="33"/>
      <c r="T22" s="33"/>
      <c r="U22" s="33"/>
      <c r="V22" s="33"/>
      <c r="W22" s="33"/>
      <c r="X22" s="33"/>
      <c r="Y22" s="33"/>
      <c r="Z22" s="29">
        <v>4.9701789264413515E-2</v>
      </c>
      <c r="AA22" s="33"/>
      <c r="AB22" s="33"/>
      <c r="AC22" s="33"/>
      <c r="AD22" s="33"/>
      <c r="AE22" s="33"/>
      <c r="AF22" s="33"/>
      <c r="AG22" s="33"/>
      <c r="AH22" s="33">
        <f t="shared" si="3"/>
        <v>3.1344401125713253E-2</v>
      </c>
      <c r="AI22" s="33"/>
      <c r="AL22" s="37"/>
      <c r="AM22" s="37"/>
      <c r="AN22" s="37"/>
      <c r="AO22" s="37">
        <v>3.1344401125713253E-2</v>
      </c>
      <c r="AP22" s="37"/>
    </row>
    <row r="23" spans="1:42">
      <c r="A23">
        <v>1953</v>
      </c>
      <c r="B23" s="33"/>
      <c r="C23" s="33"/>
      <c r="D23" s="33"/>
      <c r="E23" s="33" t="e">
        <f t="shared" si="0"/>
        <v>#DIV/0!</v>
      </c>
      <c r="F23" s="33"/>
      <c r="G23" s="33"/>
      <c r="H23" s="33"/>
      <c r="I23" s="33"/>
      <c r="J23" s="33"/>
      <c r="K23" s="33"/>
      <c r="L23" s="33"/>
      <c r="M23" s="33" t="e">
        <f t="shared" si="1"/>
        <v>#DIV/0!</v>
      </c>
      <c r="N23" s="33"/>
      <c r="O23" s="33"/>
      <c r="P23" s="33" t="e">
        <f t="shared" si="2"/>
        <v>#DIV/0!</v>
      </c>
      <c r="Q23" s="33"/>
      <c r="R23" s="33">
        <v>1.2195121951219513E-2</v>
      </c>
      <c r="S23" s="33"/>
      <c r="T23" s="33"/>
      <c r="U23" s="33"/>
      <c r="V23" s="33"/>
      <c r="W23" s="33"/>
      <c r="X23" s="33"/>
      <c r="Y23" s="33"/>
      <c r="Z23" s="29">
        <v>9.0000900009000087E-2</v>
      </c>
      <c r="AA23" s="33"/>
      <c r="AB23" s="33"/>
      <c r="AC23" s="33"/>
      <c r="AD23" s="33"/>
      <c r="AE23" s="33"/>
      <c r="AF23" s="33"/>
      <c r="AG23" s="33"/>
      <c r="AH23" s="33">
        <f t="shared" si="3"/>
        <v>5.1098010980109798E-2</v>
      </c>
      <c r="AI23" s="33"/>
      <c r="AL23" s="37"/>
      <c r="AM23" s="37"/>
      <c r="AN23" s="37"/>
      <c r="AO23" s="37">
        <v>5.1098010980109798E-2</v>
      </c>
      <c r="AP23" s="37"/>
    </row>
    <row r="24" spans="1:42">
      <c r="A24">
        <v>1954</v>
      </c>
      <c r="B24" s="33"/>
      <c r="C24" s="33"/>
      <c r="D24" s="33"/>
      <c r="E24" s="33" t="e">
        <f t="shared" si="0"/>
        <v>#DIV/0!</v>
      </c>
      <c r="F24" s="33"/>
      <c r="G24" s="33"/>
      <c r="H24" s="33"/>
      <c r="I24" s="33"/>
      <c r="J24" s="33"/>
      <c r="K24" s="33"/>
      <c r="L24" s="33"/>
      <c r="M24" s="33" t="e">
        <f t="shared" si="1"/>
        <v>#DIV/0!</v>
      </c>
      <c r="N24" s="33"/>
      <c r="O24" s="30"/>
      <c r="P24" s="33" t="e">
        <f t="shared" si="2"/>
        <v>#DIV/0!</v>
      </c>
      <c r="Q24" s="33"/>
      <c r="R24" s="33">
        <v>1.2048192771084338E-2</v>
      </c>
      <c r="S24" s="33"/>
      <c r="T24" s="33"/>
      <c r="U24" s="33"/>
      <c r="V24" s="33"/>
      <c r="W24" s="33"/>
      <c r="X24" s="33"/>
      <c r="Y24" s="33"/>
      <c r="Z24" s="29">
        <v>0.20812737395285913</v>
      </c>
      <c r="AA24" s="33"/>
      <c r="AB24" s="33"/>
      <c r="AC24" s="30">
        <v>1.6500000000000001E-2</v>
      </c>
      <c r="AD24" s="33"/>
      <c r="AE24" s="33"/>
      <c r="AF24" s="33"/>
      <c r="AG24" s="33"/>
      <c r="AH24" s="33">
        <f t="shared" si="3"/>
        <v>7.8891855574647826E-2</v>
      </c>
      <c r="AI24" s="33">
        <v>1.6E-2</v>
      </c>
      <c r="AL24" s="37"/>
      <c r="AM24" s="37"/>
      <c r="AN24" s="37"/>
      <c r="AO24" s="37">
        <v>7.8891855574647826E-2</v>
      </c>
      <c r="AP24" s="37">
        <v>1.6E-2</v>
      </c>
    </row>
    <row r="25" spans="1:42">
      <c r="A25">
        <v>1955</v>
      </c>
      <c r="B25" s="33"/>
      <c r="C25" s="33"/>
      <c r="D25" s="33"/>
      <c r="E25" s="33" t="e">
        <f t="shared" si="0"/>
        <v>#DIV/0!</v>
      </c>
      <c r="F25" s="33"/>
      <c r="G25" s="33"/>
      <c r="H25" s="33"/>
      <c r="I25" s="33"/>
      <c r="J25" s="33"/>
      <c r="K25" s="33"/>
      <c r="L25" s="33"/>
      <c r="M25" s="33" t="e">
        <f t="shared" si="1"/>
        <v>#DIV/0!</v>
      </c>
      <c r="N25" s="33"/>
      <c r="O25" s="29"/>
      <c r="P25" s="33" t="e">
        <f t="shared" si="2"/>
        <v>#DIV/0!</v>
      </c>
      <c r="Q25" s="33"/>
      <c r="R25" s="33">
        <v>1.0526315789473684E-2</v>
      </c>
      <c r="S25" s="33"/>
      <c r="T25" s="33"/>
      <c r="U25" s="33"/>
      <c r="V25" s="33"/>
      <c r="W25" s="33"/>
      <c r="X25" s="33"/>
      <c r="Y25" s="33"/>
      <c r="Z25" s="29">
        <v>8.0456250478450578E-2</v>
      </c>
      <c r="AA25" s="33"/>
      <c r="AB25" s="33"/>
      <c r="AC25" s="29"/>
      <c r="AD25" s="33"/>
      <c r="AE25" s="33"/>
      <c r="AF25" s="33"/>
      <c r="AG25" s="33"/>
      <c r="AH25" s="33">
        <f t="shared" si="3"/>
        <v>4.5491283133962133E-2</v>
      </c>
      <c r="AI25" s="33"/>
      <c r="AL25" s="37"/>
      <c r="AM25" s="37"/>
      <c r="AN25" s="37"/>
      <c r="AO25" s="37">
        <v>4.5491283133962133E-2</v>
      </c>
      <c r="AP25" s="37"/>
    </row>
    <row r="26" spans="1:42">
      <c r="A26">
        <v>1956</v>
      </c>
      <c r="B26" s="33"/>
      <c r="C26" s="33"/>
      <c r="D26" s="33"/>
      <c r="E26" s="33" t="e">
        <f t="shared" si="0"/>
        <v>#DIV/0!</v>
      </c>
      <c r="F26" s="33"/>
      <c r="G26" s="33"/>
      <c r="H26" s="33"/>
      <c r="I26" s="33"/>
      <c r="J26" s="33"/>
      <c r="K26" s="33"/>
      <c r="L26" s="33"/>
      <c r="M26" s="33" t="e">
        <f t="shared" si="1"/>
        <v>#DIV/0!</v>
      </c>
      <c r="N26" s="33"/>
      <c r="O26" s="29"/>
      <c r="P26" s="33" t="e">
        <f t="shared" si="2"/>
        <v>#DIV/0!</v>
      </c>
      <c r="Q26" s="33"/>
      <c r="R26" s="33">
        <v>1.020408163265306E-2</v>
      </c>
      <c r="S26" s="33"/>
      <c r="T26" s="33"/>
      <c r="U26" s="33"/>
      <c r="V26" s="33"/>
      <c r="W26" s="33"/>
      <c r="X26" s="33"/>
      <c r="Y26" s="33"/>
      <c r="Z26" s="29">
        <v>0.13094152626362734</v>
      </c>
      <c r="AA26" s="33"/>
      <c r="AB26" s="33"/>
      <c r="AC26" s="29"/>
      <c r="AD26" s="33"/>
      <c r="AE26" s="33"/>
      <c r="AF26" s="33"/>
      <c r="AG26" s="33"/>
      <c r="AH26" s="33">
        <f t="shared" si="3"/>
        <v>7.0572803948140209E-2</v>
      </c>
      <c r="AI26" s="33"/>
      <c r="AL26" s="37"/>
      <c r="AM26" s="37"/>
      <c r="AN26" s="37"/>
      <c r="AO26" s="37">
        <v>7.0572803948140209E-2</v>
      </c>
      <c r="AP26" s="37"/>
    </row>
    <row r="27" spans="1:42">
      <c r="A27">
        <v>1957</v>
      </c>
      <c r="B27" s="33"/>
      <c r="C27" s="33"/>
      <c r="D27" s="33"/>
      <c r="E27" s="33" t="e">
        <f t="shared" si="0"/>
        <v>#DIV/0!</v>
      </c>
      <c r="F27" s="33"/>
      <c r="G27" s="33"/>
      <c r="H27" s="33"/>
      <c r="I27" s="33"/>
      <c r="J27" s="33"/>
      <c r="K27" s="33"/>
      <c r="L27" s="33"/>
      <c r="M27" s="33" t="e">
        <f t="shared" si="1"/>
        <v>#DIV/0!</v>
      </c>
      <c r="N27" s="33"/>
      <c r="O27" s="29"/>
      <c r="P27" s="33" t="e">
        <f t="shared" si="2"/>
        <v>#DIV/0!</v>
      </c>
      <c r="Q27" s="33"/>
      <c r="R27" s="33">
        <v>9.3457943925233638E-3</v>
      </c>
      <c r="S27" s="33"/>
      <c r="T27" s="33"/>
      <c r="U27" s="33"/>
      <c r="V27" s="33"/>
      <c r="W27" s="33"/>
      <c r="X27" s="33"/>
      <c r="Y27" s="33"/>
      <c r="Z27" s="29">
        <v>0</v>
      </c>
      <c r="AA27" s="33"/>
      <c r="AB27" s="33"/>
      <c r="AC27" s="29"/>
      <c r="AD27" s="33"/>
      <c r="AE27" s="33"/>
      <c r="AF27" s="33"/>
      <c r="AG27" s="33"/>
      <c r="AH27" s="33">
        <f t="shared" si="3"/>
        <v>4.6728971962616819E-3</v>
      </c>
      <c r="AI27" s="33"/>
      <c r="AL27" s="37"/>
      <c r="AM27" s="37"/>
      <c r="AN27" s="37"/>
      <c r="AO27" s="37">
        <v>4.6728971962616819E-3</v>
      </c>
      <c r="AP27" s="37"/>
    </row>
    <row r="28" spans="1:42">
      <c r="A28">
        <v>1958</v>
      </c>
      <c r="B28" s="33"/>
      <c r="C28" s="33"/>
      <c r="D28" s="33"/>
      <c r="E28" s="33" t="e">
        <f t="shared" si="0"/>
        <v>#DIV/0!</v>
      </c>
      <c r="F28" s="33"/>
      <c r="G28" s="33"/>
      <c r="H28" s="33"/>
      <c r="I28" s="33"/>
      <c r="J28" s="33"/>
      <c r="K28" s="33"/>
      <c r="L28" s="33"/>
      <c r="M28" s="33" t="e">
        <f t="shared" si="1"/>
        <v>#DIV/0!</v>
      </c>
      <c r="N28" s="33"/>
      <c r="O28" s="29"/>
      <c r="P28" s="33" t="e">
        <f t="shared" si="2"/>
        <v>#DIV/0!</v>
      </c>
      <c r="Q28" s="33"/>
      <c r="R28" s="33">
        <v>0</v>
      </c>
      <c r="S28" s="33"/>
      <c r="T28" s="33"/>
      <c r="U28" s="33"/>
      <c r="V28" s="33"/>
      <c r="W28" s="33">
        <v>0.14018087855297157</v>
      </c>
      <c r="X28" s="33"/>
      <c r="Y28" s="33"/>
      <c r="Z28" s="29">
        <v>4.8971596474045052E-2</v>
      </c>
      <c r="AA28" s="33"/>
      <c r="AB28" s="33"/>
      <c r="AC28" s="29"/>
      <c r="AD28" s="33"/>
      <c r="AE28" s="33"/>
      <c r="AF28" s="33"/>
      <c r="AG28" s="33"/>
      <c r="AH28" s="33">
        <f t="shared" si="3"/>
        <v>6.3050825009005537E-2</v>
      </c>
      <c r="AI28" s="33"/>
      <c r="AL28" s="37"/>
      <c r="AM28" s="37"/>
      <c r="AN28" s="37"/>
      <c r="AO28" s="37">
        <v>6.3050825009005537E-2</v>
      </c>
      <c r="AP28" s="37"/>
    </row>
    <row r="29" spans="1:42">
      <c r="A29">
        <v>1959</v>
      </c>
      <c r="B29" s="33"/>
      <c r="C29" s="33"/>
      <c r="D29" s="33"/>
      <c r="E29" s="33" t="e">
        <f t="shared" si="0"/>
        <v>#DIV/0!</v>
      </c>
      <c r="F29" s="33"/>
      <c r="G29" s="33"/>
      <c r="H29" s="33"/>
      <c r="I29" s="33"/>
      <c r="J29" s="33"/>
      <c r="K29" s="33"/>
      <c r="L29" s="33"/>
      <c r="M29" s="33" t="e">
        <f t="shared" si="1"/>
        <v>#DIV/0!</v>
      </c>
      <c r="N29" s="33"/>
      <c r="O29" s="29"/>
      <c r="P29" s="33" t="e">
        <f t="shared" si="2"/>
        <v>#DIV/0!</v>
      </c>
      <c r="Q29" s="33"/>
      <c r="R29" s="33">
        <v>0</v>
      </c>
      <c r="S29" s="33"/>
      <c r="T29" s="33"/>
      <c r="U29" s="33"/>
      <c r="V29" s="33"/>
      <c r="W29" s="33">
        <v>0.14394904458598726</v>
      </c>
      <c r="X29" s="33"/>
      <c r="Y29" s="33"/>
      <c r="Z29" s="29">
        <v>4.9701789264413515E-2</v>
      </c>
      <c r="AA29" s="33"/>
      <c r="AB29" s="33"/>
      <c r="AC29" s="29"/>
      <c r="AD29" s="33"/>
      <c r="AE29" s="33"/>
      <c r="AF29" s="33"/>
      <c r="AG29" s="33"/>
      <c r="AH29" s="33">
        <f t="shared" si="3"/>
        <v>6.4550277950133586E-2</v>
      </c>
      <c r="AI29" s="33">
        <v>1.6E-2</v>
      </c>
      <c r="AL29" s="37"/>
      <c r="AM29" s="37"/>
      <c r="AN29" s="37"/>
      <c r="AO29" s="37">
        <v>6.4550277950133586E-2</v>
      </c>
      <c r="AP29" s="37">
        <v>1.6E-2</v>
      </c>
    </row>
    <row r="30" spans="1:42">
      <c r="A30">
        <v>1960</v>
      </c>
      <c r="B30" s="33"/>
      <c r="C30" s="33"/>
      <c r="D30" s="33"/>
      <c r="E30" s="33" t="e">
        <f t="shared" si="0"/>
        <v>#DIV/0!</v>
      </c>
      <c r="F30" s="30">
        <v>0.04</v>
      </c>
      <c r="G30" s="33"/>
      <c r="H30" s="33"/>
      <c r="I30" s="33"/>
      <c r="J30" s="33"/>
      <c r="K30" s="33"/>
      <c r="L30" s="33"/>
      <c r="M30" s="33">
        <f t="shared" si="1"/>
        <v>0.04</v>
      </c>
      <c r="N30" s="33"/>
      <c r="O30" s="29"/>
      <c r="P30" s="33" t="e">
        <f t="shared" si="2"/>
        <v>#DIV/0!</v>
      </c>
      <c r="Q30" s="33"/>
      <c r="R30" s="33">
        <v>0</v>
      </c>
      <c r="S30" s="33"/>
      <c r="T30" s="33"/>
      <c r="U30" s="33"/>
      <c r="V30" s="33"/>
      <c r="W30" s="33">
        <v>0.14470443349753695</v>
      </c>
      <c r="X30" s="33"/>
      <c r="Y30" s="33"/>
      <c r="Z30" s="29">
        <v>0</v>
      </c>
      <c r="AA30" s="33"/>
      <c r="AB30" s="33"/>
      <c r="AC30" s="29"/>
      <c r="AD30" s="33"/>
      <c r="AE30" s="33"/>
      <c r="AF30" s="33">
        <v>2.9787234042553193E-2</v>
      </c>
      <c r="AG30" s="33"/>
      <c r="AH30" s="33">
        <f t="shared" si="3"/>
        <v>4.3622916885022539E-2</v>
      </c>
      <c r="AI30" s="33"/>
      <c r="AL30" s="37"/>
      <c r="AM30" s="37">
        <v>0.04</v>
      </c>
      <c r="AN30" s="37"/>
      <c r="AO30" s="37">
        <v>4.3622916885022539E-2</v>
      </c>
      <c r="AP30" s="37"/>
    </row>
    <row r="31" spans="1:42">
      <c r="A31">
        <v>1961</v>
      </c>
      <c r="B31" s="33"/>
      <c r="C31" s="33"/>
      <c r="D31" s="33"/>
      <c r="E31" s="33" t="e">
        <f t="shared" si="0"/>
        <v>#DIV/0!</v>
      </c>
      <c r="F31" s="30">
        <v>0.04</v>
      </c>
      <c r="G31" s="33"/>
      <c r="H31" s="33"/>
      <c r="I31" s="33"/>
      <c r="J31" s="33"/>
      <c r="K31" s="33"/>
      <c r="L31" s="33"/>
      <c r="M31" s="33">
        <f t="shared" si="1"/>
        <v>0.04</v>
      </c>
      <c r="N31" s="33"/>
      <c r="O31" s="29"/>
      <c r="P31" s="33" t="e">
        <f t="shared" si="2"/>
        <v>#DIV/0!</v>
      </c>
      <c r="Q31" s="33"/>
      <c r="R31" s="33">
        <v>9.7087378640776691E-3</v>
      </c>
      <c r="S31" s="33"/>
      <c r="T31" s="33"/>
      <c r="U31" s="33"/>
      <c r="V31" s="33"/>
      <c r="W31" s="33">
        <v>0.14076782449725778</v>
      </c>
      <c r="X31" s="33"/>
      <c r="Y31" s="33"/>
      <c r="Z31" s="29">
        <v>0</v>
      </c>
      <c r="AA31" s="33"/>
      <c r="AB31" s="30"/>
      <c r="AC31" s="29"/>
      <c r="AD31" s="33"/>
      <c r="AE31" s="33"/>
      <c r="AF31" s="33"/>
      <c r="AG31" s="33"/>
      <c r="AH31" s="33">
        <f t="shared" si="3"/>
        <v>5.015885412044515E-2</v>
      </c>
      <c r="AI31" s="33"/>
      <c r="AL31" s="37"/>
      <c r="AM31" s="37">
        <v>0.04</v>
      </c>
      <c r="AN31" s="37"/>
      <c r="AO31" s="37">
        <v>5.015885412044515E-2</v>
      </c>
      <c r="AP31" s="37"/>
    </row>
    <row r="32" spans="1:42">
      <c r="A32">
        <v>1962</v>
      </c>
      <c r="B32" s="33"/>
      <c r="C32" s="33"/>
      <c r="D32" s="33"/>
      <c r="E32" s="33" t="e">
        <f t="shared" si="0"/>
        <v>#DIV/0!</v>
      </c>
      <c r="F32" s="30">
        <v>0.04</v>
      </c>
      <c r="G32" s="33"/>
      <c r="H32" s="33"/>
      <c r="I32" s="33"/>
      <c r="J32" s="33"/>
      <c r="K32" s="33"/>
      <c r="L32" s="33"/>
      <c r="M32" s="33">
        <f t="shared" si="1"/>
        <v>0.04</v>
      </c>
      <c r="N32" s="33"/>
      <c r="O32" s="29"/>
      <c r="P32" s="33" t="e">
        <f t="shared" si="2"/>
        <v>#DIV/0!</v>
      </c>
      <c r="Q32" s="33"/>
      <c r="R32" s="33">
        <v>1.0752688172043012E-2</v>
      </c>
      <c r="S32" s="33"/>
      <c r="T32" s="33"/>
      <c r="U32" s="33"/>
      <c r="V32" s="33"/>
      <c r="W32" s="33">
        <v>0.15673981191222572</v>
      </c>
      <c r="X32" s="33"/>
      <c r="Y32" s="33"/>
      <c r="Z32" s="29">
        <v>0.16666005946481663</v>
      </c>
      <c r="AA32" s="33"/>
      <c r="AB32" s="33"/>
      <c r="AC32" s="29"/>
      <c r="AD32" s="33"/>
      <c r="AE32" s="33"/>
      <c r="AF32" s="33"/>
      <c r="AG32" s="33"/>
      <c r="AH32" s="33">
        <f t="shared" si="3"/>
        <v>0.11138418651636178</v>
      </c>
      <c r="AI32" s="33"/>
      <c r="AL32" s="37"/>
      <c r="AM32" s="37">
        <v>0.04</v>
      </c>
      <c r="AN32" s="37"/>
      <c r="AO32" s="37">
        <v>0.11138418651636178</v>
      </c>
      <c r="AP32" s="37"/>
    </row>
    <row r="33" spans="1:42">
      <c r="A33">
        <v>1963</v>
      </c>
      <c r="B33" s="33"/>
      <c r="C33" s="33"/>
      <c r="D33" s="33"/>
      <c r="E33" s="33" t="e">
        <f t="shared" si="0"/>
        <v>#DIV/0!</v>
      </c>
      <c r="F33" s="30">
        <v>0.04</v>
      </c>
      <c r="G33" s="33"/>
      <c r="H33" s="33"/>
      <c r="I33" s="33"/>
      <c r="J33" s="33"/>
      <c r="K33" s="33"/>
      <c r="L33" s="33"/>
      <c r="M33" s="33">
        <f t="shared" si="1"/>
        <v>0.04</v>
      </c>
      <c r="N33" s="33"/>
      <c r="O33" s="29"/>
      <c r="P33" s="33" t="e">
        <f t="shared" si="2"/>
        <v>#DIV/0!</v>
      </c>
      <c r="Q33" s="33"/>
      <c r="R33" s="33">
        <v>1.0416666666666666E-2</v>
      </c>
      <c r="S33" s="33"/>
      <c r="T33" s="33"/>
      <c r="U33" s="33"/>
      <c r="V33" s="33"/>
      <c r="W33" s="33">
        <v>0.18761384335154827</v>
      </c>
      <c r="X33" s="33"/>
      <c r="Y33" s="33"/>
      <c r="Z33" s="29">
        <v>0.11904856293359761</v>
      </c>
      <c r="AA33" s="33"/>
      <c r="AB33" s="33"/>
      <c r="AC33" s="29"/>
      <c r="AD33" s="33"/>
      <c r="AE33" s="33"/>
      <c r="AF33" s="33"/>
      <c r="AG33" s="33"/>
      <c r="AH33" s="33">
        <f t="shared" si="3"/>
        <v>0.10569302431727085</v>
      </c>
      <c r="AI33" s="33"/>
      <c r="AL33" s="37"/>
      <c r="AM33" s="37">
        <v>0.04</v>
      </c>
      <c r="AN33" s="37"/>
      <c r="AO33" s="37">
        <v>0.10569302431727085</v>
      </c>
      <c r="AP33" s="37"/>
    </row>
    <row r="34" spans="1:42">
      <c r="A34">
        <v>1964</v>
      </c>
      <c r="B34" s="33"/>
      <c r="C34" s="33"/>
      <c r="D34" s="33"/>
      <c r="E34" s="33" t="e">
        <f t="shared" si="0"/>
        <v>#DIV/0!</v>
      </c>
      <c r="F34" s="30">
        <v>0.04</v>
      </c>
      <c r="G34" s="33"/>
      <c r="H34" s="33"/>
      <c r="I34" s="33"/>
      <c r="J34" s="33"/>
      <c r="K34" s="33"/>
      <c r="L34" s="33"/>
      <c r="M34" s="33">
        <f t="shared" si="1"/>
        <v>0.04</v>
      </c>
      <c r="N34" s="33"/>
      <c r="O34" s="29"/>
      <c r="P34" s="33" t="e">
        <f t="shared" si="2"/>
        <v>#DIV/0!</v>
      </c>
      <c r="Q34" s="33"/>
      <c r="R34" s="33">
        <v>1.1363636363636364E-2</v>
      </c>
      <c r="S34" s="33"/>
      <c r="T34" s="33"/>
      <c r="U34" s="33"/>
      <c r="V34" s="33"/>
      <c r="W34" s="33">
        <v>0.19334112149532709</v>
      </c>
      <c r="X34" s="33"/>
      <c r="Y34" s="33"/>
      <c r="Z34" s="29">
        <v>3.9993339993339996E-2</v>
      </c>
      <c r="AA34" s="33"/>
      <c r="AB34" s="33"/>
      <c r="AC34" s="29"/>
      <c r="AD34" s="33"/>
      <c r="AE34" s="33"/>
      <c r="AF34" s="33"/>
      <c r="AG34" s="33"/>
      <c r="AH34" s="33">
        <f t="shared" si="3"/>
        <v>8.1566032617434489E-2</v>
      </c>
      <c r="AI34" s="33">
        <v>8.5999999999999993E-2</v>
      </c>
      <c r="AL34" s="37"/>
      <c r="AM34" s="37">
        <v>0.04</v>
      </c>
      <c r="AN34" s="37"/>
      <c r="AO34" s="37">
        <v>8.1566032617434489E-2</v>
      </c>
      <c r="AP34" s="37">
        <v>8.5999999999999993E-2</v>
      </c>
    </row>
    <row r="35" spans="1:42">
      <c r="A35">
        <v>1965</v>
      </c>
      <c r="B35" s="33"/>
      <c r="C35" s="33"/>
      <c r="D35" s="33"/>
      <c r="E35" s="33" t="e">
        <f t="shared" si="0"/>
        <v>#DIV/0!</v>
      </c>
      <c r="F35" s="30">
        <v>0.04</v>
      </c>
      <c r="G35" s="33"/>
      <c r="H35" s="33"/>
      <c r="I35" s="33"/>
      <c r="J35" s="33"/>
      <c r="K35" s="33"/>
      <c r="L35" s="33"/>
      <c r="M35" s="33">
        <f t="shared" si="1"/>
        <v>0.04</v>
      </c>
      <c r="N35" s="33"/>
      <c r="O35" s="29"/>
      <c r="P35" s="33" t="e">
        <f t="shared" si="2"/>
        <v>#DIV/0!</v>
      </c>
      <c r="Q35" s="33"/>
      <c r="R35" s="33">
        <v>1.0526315789473684E-2</v>
      </c>
      <c r="S35" s="33"/>
      <c r="T35" s="33">
        <v>0.16461916461916462</v>
      </c>
      <c r="U35" s="33"/>
      <c r="V35" s="33"/>
      <c r="W35" s="33">
        <v>0.17906178489702518</v>
      </c>
      <c r="X35" s="33"/>
      <c r="Y35" s="33"/>
      <c r="Z35" s="29">
        <v>3.9597757995384113E-2</v>
      </c>
      <c r="AA35" s="33"/>
      <c r="AB35" s="33"/>
      <c r="AC35" s="29"/>
      <c r="AD35" s="33">
        <v>0.04</v>
      </c>
      <c r="AE35" s="33"/>
      <c r="AF35" s="33"/>
      <c r="AG35" s="33"/>
      <c r="AH35" s="33">
        <f t="shared" si="3"/>
        <v>8.6761004660209515E-2</v>
      </c>
      <c r="AI35" s="33"/>
      <c r="AL35" s="37"/>
      <c r="AM35" s="37">
        <v>0.04</v>
      </c>
      <c r="AN35" s="37"/>
      <c r="AO35" s="37">
        <v>8.6761004660209515E-2</v>
      </c>
      <c r="AP35" s="37"/>
    </row>
    <row r="36" spans="1:42">
      <c r="A36">
        <v>1966</v>
      </c>
      <c r="B36" s="33"/>
      <c r="C36" s="33"/>
      <c r="D36" s="33"/>
      <c r="E36" s="33" t="e">
        <f t="shared" si="0"/>
        <v>#DIV/0!</v>
      </c>
      <c r="F36" s="30">
        <v>0.04</v>
      </c>
      <c r="G36" s="33"/>
      <c r="H36" s="33"/>
      <c r="I36" s="33"/>
      <c r="J36" s="33"/>
      <c r="K36" s="33"/>
      <c r="L36" s="33"/>
      <c r="M36" s="33">
        <f t="shared" si="1"/>
        <v>0.04</v>
      </c>
      <c r="N36" s="33"/>
      <c r="O36" s="29"/>
      <c r="P36" s="33" t="e">
        <f t="shared" si="2"/>
        <v>#DIV/0!</v>
      </c>
      <c r="Q36" s="33"/>
      <c r="R36" s="33">
        <v>2.8846153846153848E-2</v>
      </c>
      <c r="S36" s="33"/>
      <c r="T36" s="33"/>
      <c r="U36" s="33"/>
      <c r="V36" s="33"/>
      <c r="W36" s="33">
        <v>0.20992366412213739</v>
      </c>
      <c r="X36" s="33"/>
      <c r="Y36" s="33"/>
      <c r="Z36" s="29">
        <v>0.11965276789526114</v>
      </c>
      <c r="AA36" s="33"/>
      <c r="AB36" s="33"/>
      <c r="AC36" s="29"/>
      <c r="AD36" s="33"/>
      <c r="AE36" s="33"/>
      <c r="AF36" s="33"/>
      <c r="AG36" s="33"/>
      <c r="AH36" s="33">
        <f t="shared" si="3"/>
        <v>0.11947419528785079</v>
      </c>
      <c r="AI36" s="33"/>
      <c r="AL36" s="37"/>
      <c r="AM36" s="37">
        <v>0.04</v>
      </c>
      <c r="AN36" s="37"/>
      <c r="AO36" s="37">
        <v>0.11947419528785079</v>
      </c>
      <c r="AP36" s="37"/>
    </row>
    <row r="37" spans="1:42">
      <c r="A37">
        <v>1967</v>
      </c>
      <c r="B37" s="33"/>
      <c r="C37" s="33"/>
      <c r="D37" s="33"/>
      <c r="E37" s="33" t="e">
        <f t="shared" si="0"/>
        <v>#DIV/0!</v>
      </c>
      <c r="F37" s="30">
        <v>0.04</v>
      </c>
      <c r="G37" s="33"/>
      <c r="H37" s="33"/>
      <c r="I37" s="33"/>
      <c r="J37" s="33"/>
      <c r="K37" s="33"/>
      <c r="L37" s="33"/>
      <c r="M37" s="33">
        <f t="shared" si="1"/>
        <v>0.04</v>
      </c>
      <c r="N37" s="33"/>
      <c r="O37" s="29"/>
      <c r="P37" s="33" t="e">
        <f t="shared" si="2"/>
        <v>#DIV/0!</v>
      </c>
      <c r="Q37" s="33"/>
      <c r="R37" s="33">
        <v>3.4482758620689655E-2</v>
      </c>
      <c r="S37" s="33"/>
      <c r="T37" s="33"/>
      <c r="U37" s="33"/>
      <c r="V37" s="33"/>
      <c r="W37" s="33">
        <v>0.21340523882896764</v>
      </c>
      <c r="X37" s="33"/>
      <c r="Y37" s="33"/>
      <c r="Z37" s="29">
        <v>0.11863976294623958</v>
      </c>
      <c r="AA37" s="33"/>
      <c r="AB37" s="33"/>
      <c r="AC37" s="29"/>
      <c r="AD37" s="33"/>
      <c r="AE37" s="33"/>
      <c r="AF37" s="33"/>
      <c r="AG37" s="33"/>
      <c r="AH37" s="33">
        <f t="shared" si="3"/>
        <v>0.12217592013196561</v>
      </c>
      <c r="AI37" s="33"/>
      <c r="AL37" s="37"/>
      <c r="AM37" s="37">
        <v>0.04</v>
      </c>
      <c r="AN37" s="37"/>
      <c r="AO37" s="37">
        <v>0.12217592013196561</v>
      </c>
      <c r="AP37" s="37"/>
    </row>
    <row r="38" spans="1:42">
      <c r="A38">
        <v>1968</v>
      </c>
      <c r="B38" s="33"/>
      <c r="C38" s="33"/>
      <c r="D38" s="33"/>
      <c r="E38" s="33" t="e">
        <f t="shared" si="0"/>
        <v>#DIV/0!</v>
      </c>
      <c r="F38" s="30">
        <v>0.04</v>
      </c>
      <c r="G38" s="33"/>
      <c r="H38" s="33"/>
      <c r="I38" s="33"/>
      <c r="J38" s="33"/>
      <c r="K38" s="33"/>
      <c r="L38" s="30">
        <v>0.09</v>
      </c>
      <c r="M38" s="33">
        <f t="shared" si="1"/>
        <v>6.5000000000000002E-2</v>
      </c>
      <c r="N38" s="33"/>
      <c r="O38" s="29"/>
      <c r="P38" s="33" t="e">
        <f t="shared" si="2"/>
        <v>#DIV/0!</v>
      </c>
      <c r="Q38" s="33"/>
      <c r="R38" s="33">
        <v>4.2553191489361701E-2</v>
      </c>
      <c r="S38" s="33">
        <v>4.6875E-2</v>
      </c>
      <c r="T38" s="33"/>
      <c r="U38" s="33"/>
      <c r="V38" s="33"/>
      <c r="W38" s="33">
        <v>0.21635569670504168</v>
      </c>
      <c r="X38" s="33"/>
      <c r="Y38" s="33"/>
      <c r="Z38" s="29">
        <v>0.11965276789526114</v>
      </c>
      <c r="AA38" s="33"/>
      <c r="AB38" s="33"/>
      <c r="AC38" s="29"/>
      <c r="AD38" s="33"/>
      <c r="AE38" s="33">
        <v>0.31</v>
      </c>
      <c r="AF38" s="33"/>
      <c r="AG38" s="33"/>
      <c r="AH38" s="33">
        <f t="shared" si="3"/>
        <v>0.14708733121793291</v>
      </c>
      <c r="AI38" s="33"/>
      <c r="AL38" s="37"/>
      <c r="AM38" s="37">
        <v>6.5000000000000002E-2</v>
      </c>
      <c r="AN38" s="37"/>
      <c r="AO38" s="37">
        <v>0.14708733121793291</v>
      </c>
      <c r="AP38" s="37"/>
    </row>
    <row r="39" spans="1:42">
      <c r="A39">
        <v>1969</v>
      </c>
      <c r="B39" s="33"/>
      <c r="C39" s="33"/>
      <c r="D39" s="33"/>
      <c r="E39" s="33" t="e">
        <f t="shared" si="0"/>
        <v>#DIV/0!</v>
      </c>
      <c r="F39" s="30">
        <v>0.04</v>
      </c>
      <c r="G39" s="33"/>
      <c r="H39" s="33"/>
      <c r="I39" s="33">
        <v>0.19</v>
      </c>
      <c r="J39" s="33"/>
      <c r="K39" s="33"/>
      <c r="L39" s="30">
        <v>0.11</v>
      </c>
      <c r="M39" s="33">
        <f t="shared" si="1"/>
        <v>0.11333333333333334</v>
      </c>
      <c r="N39" s="33"/>
      <c r="O39" s="29"/>
      <c r="P39" s="33" t="e">
        <f t="shared" si="2"/>
        <v>#DIV/0!</v>
      </c>
      <c r="Q39" s="33"/>
      <c r="R39" s="33">
        <v>5.2845528455284556E-2</v>
      </c>
      <c r="S39" s="33">
        <v>7.6923076923076927E-2</v>
      </c>
      <c r="T39" s="33"/>
      <c r="U39" s="33"/>
      <c r="V39" s="33"/>
      <c r="W39" s="33">
        <v>0.22578094108343219</v>
      </c>
      <c r="X39" s="33"/>
      <c r="Y39" s="33"/>
      <c r="Z39" s="30">
        <v>0.25</v>
      </c>
      <c r="AA39" s="33"/>
      <c r="AB39" s="33"/>
      <c r="AC39" s="29"/>
      <c r="AD39" s="33"/>
      <c r="AE39" s="33"/>
      <c r="AF39" s="33"/>
      <c r="AG39" s="33"/>
      <c r="AH39" s="33">
        <f t="shared" si="3"/>
        <v>0.15138738661544843</v>
      </c>
      <c r="AI39" s="33">
        <v>9.4E-2</v>
      </c>
      <c r="AL39" s="37"/>
      <c r="AM39" s="37">
        <v>0.11333333333333334</v>
      </c>
      <c r="AN39" s="37"/>
      <c r="AO39" s="37">
        <v>0.15138738661544843</v>
      </c>
      <c r="AP39" s="37">
        <v>9.4E-2</v>
      </c>
    </row>
    <row r="40" spans="1:42">
      <c r="A40">
        <v>1970</v>
      </c>
      <c r="B40" s="33"/>
      <c r="C40" s="33"/>
      <c r="D40" s="33"/>
      <c r="E40" s="33" t="e">
        <f t="shared" si="0"/>
        <v>#DIV/0!</v>
      </c>
      <c r="F40" s="30">
        <v>0.04</v>
      </c>
      <c r="G40" s="33"/>
      <c r="H40" s="33"/>
      <c r="I40" s="33"/>
      <c r="J40" s="33"/>
      <c r="K40" s="33"/>
      <c r="L40" s="29"/>
      <c r="M40" s="33">
        <f t="shared" si="1"/>
        <v>0.04</v>
      </c>
      <c r="N40" s="33"/>
      <c r="O40" s="29"/>
      <c r="P40" s="33" t="e">
        <f t="shared" si="2"/>
        <v>#DIV/0!</v>
      </c>
      <c r="Q40" s="33"/>
      <c r="R40" s="33">
        <v>8.2568807339449546E-2</v>
      </c>
      <c r="S40" s="33">
        <v>0.17741935483870969</v>
      </c>
      <c r="T40" s="33"/>
      <c r="U40" s="33"/>
      <c r="V40" s="33">
        <v>0.1</v>
      </c>
      <c r="W40" s="33">
        <v>0.245</v>
      </c>
      <c r="X40" s="33"/>
      <c r="Y40" s="33"/>
      <c r="Z40" s="29">
        <v>0.1794791518428917</v>
      </c>
      <c r="AA40" s="33"/>
      <c r="AB40" s="33"/>
      <c r="AC40" s="29"/>
      <c r="AD40" s="33"/>
      <c r="AE40" s="33"/>
      <c r="AF40" s="33">
        <v>0.15859030837004406</v>
      </c>
      <c r="AG40" s="30">
        <v>0.30599999999999999</v>
      </c>
      <c r="AH40" s="33">
        <f t="shared" si="3"/>
        <v>0.17843680319872784</v>
      </c>
      <c r="AI40" s="33"/>
      <c r="AL40" s="37"/>
      <c r="AM40" s="37">
        <v>0.04</v>
      </c>
      <c r="AN40" s="37"/>
      <c r="AO40" s="37">
        <v>0.17843680319872784</v>
      </c>
      <c r="AP40" s="37"/>
    </row>
    <row r="41" spans="1:42">
      <c r="A41">
        <v>1971</v>
      </c>
      <c r="B41" s="33"/>
      <c r="C41" s="33"/>
      <c r="D41" s="33"/>
      <c r="E41" s="33" t="e">
        <f t="shared" si="0"/>
        <v>#DIV/0!</v>
      </c>
      <c r="F41" s="30">
        <v>0.04</v>
      </c>
      <c r="G41" s="33"/>
      <c r="H41" s="33"/>
      <c r="I41" s="33"/>
      <c r="J41" s="33"/>
      <c r="K41" s="33"/>
      <c r="L41" s="29"/>
      <c r="M41" s="33">
        <f t="shared" si="1"/>
        <v>0.04</v>
      </c>
      <c r="N41" s="33"/>
      <c r="O41" s="29"/>
      <c r="P41" s="33" t="e">
        <f t="shared" si="2"/>
        <v>#DIV/0!</v>
      </c>
      <c r="Q41" s="33"/>
      <c r="R41" s="33">
        <v>8.2748948106591863E-2</v>
      </c>
      <c r="S41" s="33">
        <v>0.13084112149532709</v>
      </c>
      <c r="T41" s="33"/>
      <c r="U41" s="33"/>
      <c r="V41" s="33"/>
      <c r="W41" s="33">
        <v>0.266812865497076</v>
      </c>
      <c r="X41" s="33"/>
      <c r="Y41" s="33"/>
      <c r="Z41" s="29">
        <v>0.2741896500792223</v>
      </c>
      <c r="AA41" s="33"/>
      <c r="AB41" s="33"/>
      <c r="AC41" s="29"/>
      <c r="AD41" s="33"/>
      <c r="AE41" s="33"/>
      <c r="AF41" s="33"/>
      <c r="AG41" s="29"/>
      <c r="AH41" s="33">
        <f t="shared" si="3"/>
        <v>0.18864814629455431</v>
      </c>
      <c r="AI41" s="33"/>
      <c r="AL41" s="37"/>
      <c r="AM41" s="37">
        <v>0.04</v>
      </c>
      <c r="AN41" s="37"/>
      <c r="AO41" s="37">
        <v>0.18864814629455431</v>
      </c>
      <c r="AP41" s="37"/>
    </row>
    <row r="42" spans="1:42">
      <c r="A42">
        <v>1972</v>
      </c>
      <c r="B42" s="33"/>
      <c r="C42" s="33"/>
      <c r="D42" s="33"/>
      <c r="E42" s="33" t="e">
        <f t="shared" si="0"/>
        <v>#DIV/0!</v>
      </c>
      <c r="F42" s="33"/>
      <c r="G42" s="33"/>
      <c r="H42" s="33"/>
      <c r="I42" s="33"/>
      <c r="J42" s="33"/>
      <c r="K42" s="33"/>
      <c r="L42" s="29"/>
      <c r="M42" s="33" t="e">
        <f t="shared" si="1"/>
        <v>#DIV/0!</v>
      </c>
      <c r="N42" s="33"/>
      <c r="O42" s="29"/>
      <c r="P42" s="33" t="e">
        <f t="shared" si="2"/>
        <v>#DIV/0!</v>
      </c>
      <c r="Q42" s="33"/>
      <c r="R42" s="33">
        <v>9.2424242424242423E-2</v>
      </c>
      <c r="S42" s="33">
        <v>0.16551724137931034</v>
      </c>
      <c r="T42" s="33"/>
      <c r="U42" s="33"/>
      <c r="V42" s="33"/>
      <c r="W42" s="33">
        <v>0.30070671378091873</v>
      </c>
      <c r="X42" s="33"/>
      <c r="Y42" s="33"/>
      <c r="Z42" s="29">
        <v>0.2276308308741912</v>
      </c>
      <c r="AA42" s="33"/>
      <c r="AB42" s="33"/>
      <c r="AC42" s="29"/>
      <c r="AD42" s="33"/>
      <c r="AE42" s="33"/>
      <c r="AF42" s="33"/>
      <c r="AG42" s="29"/>
      <c r="AH42" s="33">
        <f t="shared" si="3"/>
        <v>0.19656975711466568</v>
      </c>
      <c r="AI42" s="33"/>
      <c r="AL42" s="37"/>
      <c r="AM42" s="37"/>
      <c r="AN42" s="37"/>
      <c r="AO42" s="37">
        <v>0.19656975711466568</v>
      </c>
      <c r="AP42" s="37"/>
    </row>
    <row r="43" spans="1:42">
      <c r="A43">
        <v>1973</v>
      </c>
      <c r="B43" s="33"/>
      <c r="C43" s="33"/>
      <c r="D43" s="33"/>
      <c r="E43" s="33" t="e">
        <f t="shared" si="0"/>
        <v>#DIV/0!</v>
      </c>
      <c r="F43" s="33"/>
      <c r="G43" s="33"/>
      <c r="H43" s="33"/>
      <c r="I43" s="33"/>
      <c r="J43" s="33"/>
      <c r="K43" s="33"/>
      <c r="L43" s="29"/>
      <c r="M43" s="33" t="e">
        <f t="shared" si="1"/>
        <v>#DIV/0!</v>
      </c>
      <c r="N43" s="33"/>
      <c r="O43" s="29"/>
      <c r="P43" s="33" t="e">
        <f t="shared" si="2"/>
        <v>#DIV/0!</v>
      </c>
      <c r="Q43" s="33"/>
      <c r="R43" s="33">
        <v>0.11360000000000001</v>
      </c>
      <c r="S43" s="33"/>
      <c r="T43" s="33"/>
      <c r="U43" s="33"/>
      <c r="V43" s="33"/>
      <c r="W43" s="33">
        <v>0.33118862174060276</v>
      </c>
      <c r="X43" s="33"/>
      <c r="Y43" s="33"/>
      <c r="Z43" s="29">
        <v>0.26771199328753476</v>
      </c>
      <c r="AA43" s="33"/>
      <c r="AB43" s="33"/>
      <c r="AC43" s="29"/>
      <c r="AD43" s="33"/>
      <c r="AE43" s="33"/>
      <c r="AF43" s="33"/>
      <c r="AG43" s="29"/>
      <c r="AH43" s="33">
        <f t="shared" si="3"/>
        <v>0.23750020500937916</v>
      </c>
      <c r="AI43" s="33"/>
      <c r="AL43" s="37"/>
      <c r="AM43" s="37"/>
      <c r="AN43" s="37"/>
      <c r="AO43" s="37">
        <v>0.23750020500937916</v>
      </c>
      <c r="AP43" s="37"/>
    </row>
    <row r="44" spans="1:42">
      <c r="A44">
        <v>1974</v>
      </c>
      <c r="B44" s="33"/>
      <c r="C44" s="33"/>
      <c r="D44" s="33"/>
      <c r="E44" s="33" t="e">
        <f t="shared" si="0"/>
        <v>#DIV/0!</v>
      </c>
      <c r="F44" s="33"/>
      <c r="G44" s="33"/>
      <c r="H44" s="33"/>
      <c r="I44" s="33"/>
      <c r="J44" s="33"/>
      <c r="K44" s="33"/>
      <c r="L44" s="29"/>
      <c r="M44" s="33" t="e">
        <f t="shared" si="1"/>
        <v>#DIV/0!</v>
      </c>
      <c r="N44" s="33"/>
      <c r="O44" s="29"/>
      <c r="P44" s="33" t="e">
        <f t="shared" si="2"/>
        <v>#DIV/0!</v>
      </c>
      <c r="Q44" s="33"/>
      <c r="R44" s="33">
        <v>0.14390602055800295</v>
      </c>
      <c r="S44" s="33"/>
      <c r="T44" s="33"/>
      <c r="U44" s="33"/>
      <c r="V44" s="33"/>
      <c r="W44" s="33">
        <v>0.32998996990972917</v>
      </c>
      <c r="X44" s="33"/>
      <c r="Y44" s="33"/>
      <c r="Z44" s="29">
        <v>0.35820079522862819</v>
      </c>
      <c r="AA44" s="33"/>
      <c r="AB44" s="33"/>
      <c r="AC44" s="29"/>
      <c r="AD44" s="33"/>
      <c r="AE44" s="33"/>
      <c r="AF44" s="33"/>
      <c r="AG44" s="29"/>
      <c r="AH44" s="33">
        <f t="shared" si="3"/>
        <v>0.27736559523212012</v>
      </c>
      <c r="AI44" s="33">
        <v>0.06</v>
      </c>
      <c r="AL44" s="37"/>
      <c r="AM44" s="37"/>
      <c r="AN44" s="37"/>
      <c r="AO44" s="37">
        <v>0.27736559523212012</v>
      </c>
      <c r="AP44" s="37">
        <v>0.06</v>
      </c>
    </row>
    <row r="45" spans="1:42">
      <c r="A45">
        <v>1975</v>
      </c>
      <c r="B45" s="33"/>
      <c r="C45" s="33"/>
      <c r="D45" s="33"/>
      <c r="E45" s="33" t="e">
        <f t="shared" si="0"/>
        <v>#DIV/0!</v>
      </c>
      <c r="F45" s="33"/>
      <c r="G45" s="33"/>
      <c r="H45" s="33"/>
      <c r="I45" s="33"/>
      <c r="J45" s="33"/>
      <c r="K45" s="33"/>
      <c r="L45" s="30">
        <v>0.24399999999999999</v>
      </c>
      <c r="M45" s="33">
        <f t="shared" si="1"/>
        <v>0.24399999999999999</v>
      </c>
      <c r="N45" s="33"/>
      <c r="O45" s="30"/>
      <c r="P45" s="33" t="e">
        <f t="shared" si="2"/>
        <v>#DIV/0!</v>
      </c>
      <c r="Q45" s="33"/>
      <c r="R45" s="33">
        <v>0.15966386554621848</v>
      </c>
      <c r="S45" s="33"/>
      <c r="T45" s="33"/>
      <c r="U45" s="33"/>
      <c r="V45" s="33"/>
      <c r="W45" s="33">
        <v>0.33767038413878564</v>
      </c>
      <c r="X45" s="33"/>
      <c r="Y45" s="33"/>
      <c r="Z45" s="29">
        <v>0.43901778704280264</v>
      </c>
      <c r="AA45" s="33"/>
      <c r="AB45" s="33"/>
      <c r="AC45" s="30">
        <v>0.11</v>
      </c>
      <c r="AD45" s="33"/>
      <c r="AE45" s="33"/>
      <c r="AF45" s="33"/>
      <c r="AG45" s="29"/>
      <c r="AH45" s="33">
        <f t="shared" si="3"/>
        <v>0.26158800918195169</v>
      </c>
      <c r="AI45" s="29">
        <v>0.08</v>
      </c>
      <c r="AL45" s="37"/>
      <c r="AM45" s="37">
        <v>0.24399999999999999</v>
      </c>
      <c r="AN45" s="37"/>
      <c r="AO45" s="37">
        <v>0.26158800918195169</v>
      </c>
      <c r="AP45" s="28">
        <v>0.08</v>
      </c>
    </row>
    <row r="46" spans="1:42">
      <c r="A46">
        <v>1976</v>
      </c>
      <c r="B46" s="33"/>
      <c r="C46" s="33"/>
      <c r="D46" s="33"/>
      <c r="E46" s="33" t="e">
        <f t="shared" si="0"/>
        <v>#DIV/0!</v>
      </c>
      <c r="F46" s="33"/>
      <c r="G46" s="33"/>
      <c r="H46" s="33"/>
      <c r="I46" s="33"/>
      <c r="J46" s="33"/>
      <c r="K46" s="33"/>
      <c r="L46" s="29"/>
      <c r="M46" s="33" t="e">
        <f t="shared" si="1"/>
        <v>#DIV/0!</v>
      </c>
      <c r="N46" s="33"/>
      <c r="O46" s="33"/>
      <c r="P46" s="33" t="e">
        <f t="shared" si="2"/>
        <v>#DIV/0!</v>
      </c>
      <c r="Q46" s="33"/>
      <c r="R46" s="33">
        <v>0.19899244332493704</v>
      </c>
      <c r="S46" s="33"/>
      <c r="T46" s="33"/>
      <c r="U46" s="33"/>
      <c r="V46" s="33"/>
      <c r="W46" s="33">
        <v>0.32779845405095909</v>
      </c>
      <c r="X46" s="33"/>
      <c r="Y46" s="33"/>
      <c r="Z46" s="29">
        <v>0.41128447511883337</v>
      </c>
      <c r="AA46" s="33"/>
      <c r="AB46" s="33"/>
      <c r="AC46" s="33"/>
      <c r="AD46" s="33"/>
      <c r="AE46" s="33"/>
      <c r="AF46" s="33"/>
      <c r="AG46" s="29"/>
      <c r="AH46" s="33">
        <f t="shared" si="3"/>
        <v>0.3126917908315765</v>
      </c>
      <c r="AI46" s="29">
        <v>4.2999999999999997E-2</v>
      </c>
      <c r="AL46" s="37"/>
      <c r="AM46" s="37"/>
      <c r="AN46" s="37"/>
      <c r="AO46" s="37">
        <v>0.3126917908315765</v>
      </c>
      <c r="AP46" s="28">
        <v>4.2999999999999997E-2</v>
      </c>
    </row>
    <row r="47" spans="1:42">
      <c r="A47">
        <v>1977</v>
      </c>
      <c r="B47" s="33"/>
      <c r="C47" s="33"/>
      <c r="D47" s="33"/>
      <c r="E47" s="33" t="e">
        <f t="shared" si="0"/>
        <v>#DIV/0!</v>
      </c>
      <c r="F47" s="33"/>
      <c r="G47" s="33"/>
      <c r="H47" s="33"/>
      <c r="I47" s="33"/>
      <c r="J47" s="33"/>
      <c r="K47" s="33"/>
      <c r="L47" s="29"/>
      <c r="M47" s="33" t="e">
        <f t="shared" si="1"/>
        <v>#DIV/0!</v>
      </c>
      <c r="N47" s="33"/>
      <c r="O47" s="33"/>
      <c r="P47" s="33" t="e">
        <f t="shared" si="2"/>
        <v>#DIV/0!</v>
      </c>
      <c r="Q47" s="33"/>
      <c r="R47" s="33">
        <v>0.22448979591836735</v>
      </c>
      <c r="S47" s="33"/>
      <c r="T47" s="33"/>
      <c r="U47" s="33"/>
      <c r="V47" s="33"/>
      <c r="W47" s="33">
        <v>0.34447983014861994</v>
      </c>
      <c r="X47" s="33"/>
      <c r="Y47" s="33"/>
      <c r="Z47" s="29">
        <v>0.35115280002033605</v>
      </c>
      <c r="AA47" s="33"/>
      <c r="AB47" s="33"/>
      <c r="AC47" s="33"/>
      <c r="AD47" s="33"/>
      <c r="AE47" s="33"/>
      <c r="AF47" s="33"/>
      <c r="AG47" s="29"/>
      <c r="AH47" s="33">
        <f t="shared" si="3"/>
        <v>0.30670747536244108</v>
      </c>
      <c r="AI47" s="29">
        <v>2.3E-2</v>
      </c>
      <c r="AL47" s="37"/>
      <c r="AM47" s="37"/>
      <c r="AN47" s="37"/>
      <c r="AO47" s="37">
        <v>0.30670747536244108</v>
      </c>
      <c r="AP47" s="28">
        <v>2.3E-2</v>
      </c>
    </row>
    <row r="48" spans="1:42">
      <c r="A48">
        <v>1978</v>
      </c>
      <c r="B48" s="33"/>
      <c r="C48" s="33"/>
      <c r="D48" s="33"/>
      <c r="E48" s="33" t="e">
        <f t="shared" si="0"/>
        <v>#DIV/0!</v>
      </c>
      <c r="F48" s="33"/>
      <c r="G48" s="33"/>
      <c r="H48" s="33"/>
      <c r="I48" s="33"/>
      <c r="J48" s="33"/>
      <c r="K48" s="33"/>
      <c r="L48" s="10">
        <v>0.30841663045052875</v>
      </c>
      <c r="M48" s="33">
        <f t="shared" si="1"/>
        <v>0.30841663045052875</v>
      </c>
      <c r="N48" s="33"/>
      <c r="O48" s="33"/>
      <c r="P48" s="33" t="e">
        <f t="shared" si="2"/>
        <v>#DIV/0!</v>
      </c>
      <c r="Q48" s="33"/>
      <c r="R48" s="33">
        <v>0.21303258145363407</v>
      </c>
      <c r="S48" s="33"/>
      <c r="T48" s="33"/>
      <c r="U48" s="33"/>
      <c r="V48" s="33"/>
      <c r="W48" s="33">
        <v>0.39557364538285422</v>
      </c>
      <c r="X48" s="33"/>
      <c r="Y48" s="33"/>
      <c r="Z48" s="29">
        <v>0.35461244154739979</v>
      </c>
      <c r="AA48" s="33"/>
      <c r="AB48" s="33"/>
      <c r="AC48" s="33"/>
      <c r="AD48" s="33"/>
      <c r="AE48" s="33"/>
      <c r="AF48" s="33"/>
      <c r="AG48" s="29"/>
      <c r="AH48" s="33">
        <f t="shared" si="3"/>
        <v>0.32107288946129603</v>
      </c>
      <c r="AI48" s="29">
        <v>2.7000000000000003E-2</v>
      </c>
      <c r="AL48" s="37"/>
      <c r="AM48" s="37">
        <v>0.30841663045052875</v>
      </c>
      <c r="AN48" s="37"/>
      <c r="AO48" s="37">
        <v>0.32107288946129603</v>
      </c>
      <c r="AP48" s="28">
        <v>2.7000000000000003E-2</v>
      </c>
    </row>
    <row r="49" spans="1:42">
      <c r="A49">
        <v>1979</v>
      </c>
      <c r="B49" s="33"/>
      <c r="C49" s="33"/>
      <c r="D49" s="33"/>
      <c r="E49" s="33" t="e">
        <f t="shared" si="0"/>
        <v>#DIV/0!</v>
      </c>
      <c r="F49" s="33"/>
      <c r="G49" s="33"/>
      <c r="H49" s="33"/>
      <c r="I49" s="33">
        <v>0.26</v>
      </c>
      <c r="J49" s="33"/>
      <c r="K49" s="33"/>
      <c r="L49" s="10">
        <v>0.33793763676148797</v>
      </c>
      <c r="M49" s="33">
        <f t="shared" si="1"/>
        <v>0.29896881838074396</v>
      </c>
      <c r="N49" s="33"/>
      <c r="O49" s="33"/>
      <c r="P49" s="33" t="e">
        <f t="shared" si="2"/>
        <v>#DIV/0!</v>
      </c>
      <c r="Q49" s="33"/>
      <c r="R49" s="33">
        <v>0.22650602409638554</v>
      </c>
      <c r="S49" s="33"/>
      <c r="T49" s="33"/>
      <c r="U49" s="33"/>
      <c r="V49" s="33"/>
      <c r="W49" s="33">
        <v>0.40920716112531969</v>
      </c>
      <c r="X49" s="33"/>
      <c r="Y49" s="33"/>
      <c r="Z49" s="29">
        <v>0.50339797027908673</v>
      </c>
      <c r="AA49" s="33"/>
      <c r="AB49" s="33"/>
      <c r="AC49" s="33"/>
      <c r="AD49" s="33"/>
      <c r="AE49" s="33"/>
      <c r="AF49" s="33"/>
      <c r="AG49" s="29"/>
      <c r="AH49" s="33">
        <f t="shared" si="3"/>
        <v>0.37970371850026402</v>
      </c>
      <c r="AI49" s="29">
        <v>7.2000000000000008E-2</v>
      </c>
      <c r="AL49" s="37"/>
      <c r="AM49" s="37">
        <v>0.29896881838074396</v>
      </c>
      <c r="AN49" s="37"/>
      <c r="AO49" s="37">
        <v>0.37970371850026402</v>
      </c>
      <c r="AP49" s="28">
        <v>7.2000000000000008E-2</v>
      </c>
    </row>
    <row r="50" spans="1:42">
      <c r="A50">
        <v>1980</v>
      </c>
      <c r="B50" s="33"/>
      <c r="C50" s="33"/>
      <c r="D50" s="33"/>
      <c r="E50" s="33" t="e">
        <f t="shared" si="0"/>
        <v>#DIV/0!</v>
      </c>
      <c r="F50" s="33"/>
      <c r="G50" s="33"/>
      <c r="H50" s="33"/>
      <c r="I50" s="33"/>
      <c r="J50" s="33"/>
      <c r="K50" s="33"/>
      <c r="L50" s="10">
        <v>0.36021121735407452</v>
      </c>
      <c r="M50" s="33">
        <f t="shared" si="1"/>
        <v>0.36021121735407452</v>
      </c>
      <c r="N50" s="33"/>
      <c r="O50" s="33"/>
      <c r="P50" s="33" t="e">
        <f t="shared" si="2"/>
        <v>#DIV/0!</v>
      </c>
      <c r="Q50" s="33"/>
      <c r="R50" s="33">
        <v>0.25116822429906543</v>
      </c>
      <c r="S50" s="33">
        <v>0.30599999999999999</v>
      </c>
      <c r="T50" s="33"/>
      <c r="U50" s="33"/>
      <c r="V50" s="33">
        <v>0.3</v>
      </c>
      <c r="W50" s="33">
        <v>0.44150475403059114</v>
      </c>
      <c r="X50" s="33"/>
      <c r="Y50" s="33"/>
      <c r="Z50" s="29">
        <v>0.3469327654947445</v>
      </c>
      <c r="AA50" s="33"/>
      <c r="AB50" s="33"/>
      <c r="AC50" s="33"/>
      <c r="AD50" s="33"/>
      <c r="AE50" s="33">
        <v>0.65</v>
      </c>
      <c r="AF50" s="33">
        <v>0.20421393841166938</v>
      </c>
      <c r="AG50" s="29"/>
      <c r="AH50" s="33">
        <f t="shared" si="3"/>
        <v>0.35711709746229581</v>
      </c>
      <c r="AI50" s="29">
        <v>8.199999999999999E-2</v>
      </c>
      <c r="AL50" s="37"/>
      <c r="AM50" s="37">
        <v>0.36021121735407452</v>
      </c>
      <c r="AN50" s="37"/>
      <c r="AO50" s="37">
        <v>0.35711709746229581</v>
      </c>
      <c r="AP50" s="28">
        <v>8.199999999999999E-2</v>
      </c>
    </row>
    <row r="51" spans="1:42">
      <c r="A51">
        <v>1981</v>
      </c>
      <c r="B51" s="33"/>
      <c r="C51" s="33"/>
      <c r="D51" s="33"/>
      <c r="E51" s="33" t="e">
        <f t="shared" si="0"/>
        <v>#DIV/0!</v>
      </c>
      <c r="F51" s="33"/>
      <c r="G51" s="33"/>
      <c r="H51" s="33"/>
      <c r="I51" s="33"/>
      <c r="J51" s="33"/>
      <c r="K51" s="33"/>
      <c r="L51" s="10">
        <v>0.38800000000000001</v>
      </c>
      <c r="M51" s="33">
        <f t="shared" si="1"/>
        <v>0.38800000000000001</v>
      </c>
      <c r="N51" s="33"/>
      <c r="O51" s="33"/>
      <c r="P51" s="33" t="e">
        <f t="shared" si="2"/>
        <v>#DIV/0!</v>
      </c>
      <c r="Q51" s="33"/>
      <c r="R51" s="33">
        <v>0.27865168539325841</v>
      </c>
      <c r="S51" s="33"/>
      <c r="T51" s="33"/>
      <c r="U51" s="33"/>
      <c r="V51" s="33"/>
      <c r="W51" s="33">
        <v>0.46867263378404111</v>
      </c>
      <c r="X51" s="33"/>
      <c r="Y51" s="33"/>
      <c r="Z51" s="29">
        <v>0.47332667332667333</v>
      </c>
      <c r="AA51" s="33"/>
      <c r="AB51" s="33"/>
      <c r="AC51" s="33"/>
      <c r="AD51" s="33"/>
      <c r="AE51" s="33"/>
      <c r="AF51" s="33"/>
      <c r="AG51" s="29"/>
      <c r="AH51" s="33">
        <f t="shared" si="3"/>
        <v>0.40688366416799093</v>
      </c>
      <c r="AI51" s="43">
        <v>9.9000000000000005E-2</v>
      </c>
      <c r="AL51" s="37"/>
      <c r="AM51" s="37">
        <v>0.38800000000000001</v>
      </c>
      <c r="AN51" s="37"/>
      <c r="AO51" s="37">
        <v>0.40688366416799093</v>
      </c>
      <c r="AP51" s="61">
        <v>9.9000000000000005E-2</v>
      </c>
    </row>
    <row r="52" spans="1:42">
      <c r="A52">
        <v>1982</v>
      </c>
      <c r="B52" s="33"/>
      <c r="C52" s="33"/>
      <c r="D52" s="33"/>
      <c r="E52" s="33" t="e">
        <f t="shared" si="0"/>
        <v>#DIV/0!</v>
      </c>
      <c r="F52" s="33"/>
      <c r="G52" s="33"/>
      <c r="H52" s="33"/>
      <c r="I52" s="33"/>
      <c r="J52" s="33"/>
      <c r="K52" s="33"/>
      <c r="L52" s="10">
        <v>0.4176442422791477</v>
      </c>
      <c r="M52" s="33">
        <f t="shared" si="1"/>
        <v>0.4176442422791477</v>
      </c>
      <c r="N52" s="33"/>
      <c r="O52" s="33"/>
      <c r="P52" s="33" t="e">
        <f t="shared" si="2"/>
        <v>#DIV/0!</v>
      </c>
      <c r="Q52" s="33"/>
      <c r="R52" s="33">
        <v>0.32500000000000001</v>
      </c>
      <c r="S52" s="33"/>
      <c r="T52" s="33"/>
      <c r="U52" s="33"/>
      <c r="V52" s="33"/>
      <c r="W52" s="33">
        <v>0.49404976559682656</v>
      </c>
      <c r="X52" s="33"/>
      <c r="Y52" s="33"/>
      <c r="Z52" s="29">
        <v>0.60666000666000663</v>
      </c>
      <c r="AA52" s="33"/>
      <c r="AB52" s="33"/>
      <c r="AC52" s="33"/>
      <c r="AD52" s="33"/>
      <c r="AE52" s="33"/>
      <c r="AF52" s="33"/>
      <c r="AG52" s="30">
        <v>0.41299999999999998</v>
      </c>
      <c r="AH52" s="33">
        <f t="shared" si="3"/>
        <v>0.45967744306420827</v>
      </c>
      <c r="AI52" s="43">
        <v>8.3000000000000004E-2</v>
      </c>
      <c r="AL52" s="37"/>
      <c r="AM52" s="37">
        <v>0.4176442422791477</v>
      </c>
      <c r="AN52" s="37"/>
      <c r="AO52" s="37">
        <v>0.45967744306420827</v>
      </c>
      <c r="AP52" s="61">
        <v>8.3000000000000004E-2</v>
      </c>
    </row>
    <row r="53" spans="1:42">
      <c r="A53">
        <v>1983</v>
      </c>
      <c r="B53" s="33"/>
      <c r="C53" s="33"/>
      <c r="D53" s="33"/>
      <c r="E53" s="33" t="e">
        <f t="shared" si="0"/>
        <v>#DIV/0!</v>
      </c>
      <c r="F53" s="33"/>
      <c r="G53" s="33"/>
      <c r="H53" s="33">
        <v>0.53600000000000003</v>
      </c>
      <c r="I53" s="33"/>
      <c r="J53" s="33"/>
      <c r="K53" s="33"/>
      <c r="L53" s="10">
        <v>0.45784381478921909</v>
      </c>
      <c r="M53" s="33">
        <f t="shared" si="1"/>
        <v>0.49692190739460956</v>
      </c>
      <c r="N53" s="33"/>
      <c r="O53" s="33"/>
      <c r="P53" s="33" t="e">
        <f t="shared" si="2"/>
        <v>#DIV/0!</v>
      </c>
      <c r="Q53" s="33"/>
      <c r="R53" s="33">
        <v>0.34403669724770641</v>
      </c>
      <c r="S53" s="33"/>
      <c r="T53" s="33"/>
      <c r="U53" s="33"/>
      <c r="V53" s="33"/>
      <c r="W53" s="33">
        <v>0.51477091809658593</v>
      </c>
      <c r="X53" s="33"/>
      <c r="Y53" s="33"/>
      <c r="Z53" s="29">
        <v>0.59863175063428775</v>
      </c>
      <c r="AA53" s="33"/>
      <c r="AB53" s="33"/>
      <c r="AC53" s="33"/>
      <c r="AD53" s="33"/>
      <c r="AE53" s="33"/>
      <c r="AF53" s="33"/>
      <c r="AG53" s="29"/>
      <c r="AH53" s="33">
        <f t="shared" si="3"/>
        <v>0.48581312199286003</v>
      </c>
      <c r="AI53" s="43">
        <v>0.17800000000000002</v>
      </c>
      <c r="AL53" s="37"/>
      <c r="AM53" s="37">
        <v>0.49692190739460956</v>
      </c>
      <c r="AN53" s="37"/>
      <c r="AO53" s="37">
        <v>0.48581312199286003</v>
      </c>
      <c r="AP53" s="61">
        <v>0.17800000000000002</v>
      </c>
    </row>
    <row r="54" spans="1:42">
      <c r="A54">
        <v>1984</v>
      </c>
      <c r="B54" s="33"/>
      <c r="C54" s="33"/>
      <c r="D54" s="33"/>
      <c r="E54" s="33" t="e">
        <f t="shared" si="0"/>
        <v>#DIV/0!</v>
      </c>
      <c r="F54" s="33"/>
      <c r="G54" s="33"/>
      <c r="H54" s="33"/>
      <c r="I54" s="33"/>
      <c r="J54" s="33"/>
      <c r="K54" s="33"/>
      <c r="L54" s="10">
        <v>0.47096188747731399</v>
      </c>
      <c r="M54" s="33">
        <f t="shared" si="1"/>
        <v>0.47096188747731399</v>
      </c>
      <c r="N54" s="33"/>
      <c r="O54" s="33"/>
      <c r="P54" s="33" t="e">
        <f t="shared" si="2"/>
        <v>#DIV/0!</v>
      </c>
      <c r="Q54" s="33"/>
      <c r="R54" s="33">
        <v>0.3510392609699769</v>
      </c>
      <c r="S54" s="33"/>
      <c r="T54" s="33"/>
      <c r="U54" s="33"/>
      <c r="V54" s="33"/>
      <c r="W54" s="33">
        <v>0.54217285664699755</v>
      </c>
      <c r="X54" s="33"/>
      <c r="Y54" s="33"/>
      <c r="Z54" s="29">
        <v>0.55101486045668724</v>
      </c>
      <c r="AA54" s="33"/>
      <c r="AB54" s="33"/>
      <c r="AC54" s="33"/>
      <c r="AD54" s="33"/>
      <c r="AE54" s="33"/>
      <c r="AF54" s="33"/>
      <c r="AG54" s="29"/>
      <c r="AH54" s="33">
        <f t="shared" si="3"/>
        <v>0.48140899269122056</v>
      </c>
      <c r="AI54" s="43">
        <v>0.13699999999999998</v>
      </c>
      <c r="AL54" s="37"/>
      <c r="AM54" s="37">
        <v>0.47096188747731399</v>
      </c>
      <c r="AN54" s="37"/>
      <c r="AO54" s="37">
        <v>0.48140899269122056</v>
      </c>
      <c r="AP54" s="61">
        <v>0.13699999999999998</v>
      </c>
    </row>
    <row r="55" spans="1:42">
      <c r="A55">
        <v>1985</v>
      </c>
      <c r="B55" s="33"/>
      <c r="C55" s="33"/>
      <c r="D55" s="33"/>
      <c r="E55" s="33" t="e">
        <f t="shared" si="0"/>
        <v>#DIV/0!</v>
      </c>
      <c r="F55" s="33"/>
      <c r="G55" s="33"/>
      <c r="H55" s="33"/>
      <c r="I55" s="33"/>
      <c r="J55" s="33"/>
      <c r="K55" s="33"/>
      <c r="L55" s="10">
        <v>0.48895368397443084</v>
      </c>
      <c r="M55" s="33">
        <f t="shared" si="1"/>
        <v>0.48895368397443084</v>
      </c>
      <c r="N55" s="33"/>
      <c r="O55" s="33"/>
      <c r="P55" s="33" t="e">
        <f t="shared" si="2"/>
        <v>#DIV/0!</v>
      </c>
      <c r="Q55" s="33"/>
      <c r="R55" s="33">
        <v>0.3711843711843712</v>
      </c>
      <c r="S55" s="33"/>
      <c r="T55" s="33"/>
      <c r="U55" s="33"/>
      <c r="V55" s="33"/>
      <c r="W55" s="33">
        <v>0.56648294867378579</v>
      </c>
      <c r="X55" s="33"/>
      <c r="Y55" s="33"/>
      <c r="Z55" s="29">
        <v>0.52380844508880031</v>
      </c>
      <c r="AA55" s="33"/>
      <c r="AB55" s="33"/>
      <c r="AC55" s="33"/>
      <c r="AD55" s="33"/>
      <c r="AE55" s="33"/>
      <c r="AF55" s="33"/>
      <c r="AG55" s="29"/>
      <c r="AH55" s="33">
        <f t="shared" si="3"/>
        <v>0.48715858831565245</v>
      </c>
      <c r="AI55" s="43">
        <v>0.16</v>
      </c>
      <c r="AL55" s="37"/>
      <c r="AM55" s="37">
        <v>0.48895368397443084</v>
      </c>
      <c r="AN55" s="37"/>
      <c r="AO55" s="37">
        <v>0.48715858831565245</v>
      </c>
      <c r="AP55" s="61">
        <v>0.16</v>
      </c>
    </row>
    <row r="56" spans="1:42">
      <c r="A56">
        <v>1986</v>
      </c>
      <c r="B56" s="33"/>
      <c r="C56" s="33"/>
      <c r="D56" s="33"/>
      <c r="E56" s="33" t="e">
        <f t="shared" si="0"/>
        <v>#DIV/0!</v>
      </c>
      <c r="F56" s="33"/>
      <c r="G56" s="33"/>
      <c r="H56" s="33"/>
      <c r="I56" s="33"/>
      <c r="J56" s="33"/>
      <c r="K56" s="33"/>
      <c r="L56" s="10">
        <v>0.49481748535376296</v>
      </c>
      <c r="M56" s="33">
        <f t="shared" si="1"/>
        <v>0.49481748535376296</v>
      </c>
      <c r="N56" s="33"/>
      <c r="O56" s="33"/>
      <c r="P56" s="33" t="e">
        <f t="shared" si="2"/>
        <v>#DIV/0!</v>
      </c>
      <c r="Q56" s="33"/>
      <c r="R56" s="33">
        <v>0.37259923175416132</v>
      </c>
      <c r="S56" s="33"/>
      <c r="T56" s="33"/>
      <c r="U56" s="33"/>
      <c r="V56" s="33"/>
      <c r="W56" s="33">
        <v>0.58005159071367152</v>
      </c>
      <c r="X56" s="33"/>
      <c r="Y56" s="33"/>
      <c r="Z56" s="29">
        <v>0.71249583749583756</v>
      </c>
      <c r="AA56" s="33"/>
      <c r="AB56" s="33"/>
      <c r="AC56" s="33"/>
      <c r="AD56" s="33">
        <v>0.37769999999999998</v>
      </c>
      <c r="AE56" s="33">
        <v>0.82</v>
      </c>
      <c r="AF56" s="33"/>
      <c r="AG56" s="29"/>
      <c r="AH56" s="33">
        <f t="shared" si="3"/>
        <v>0.57256933199273408</v>
      </c>
      <c r="AI56" s="43">
        <v>0.20800000000000002</v>
      </c>
      <c r="AL56" s="37"/>
      <c r="AM56" s="37">
        <v>0.49481748535376296</v>
      </c>
      <c r="AN56" s="37"/>
      <c r="AO56" s="37">
        <v>0.57256933199273408</v>
      </c>
      <c r="AP56" s="61">
        <v>0.20800000000000002</v>
      </c>
    </row>
    <row r="57" spans="1:42">
      <c r="A57">
        <v>1987</v>
      </c>
      <c r="B57" s="33"/>
      <c r="C57" s="33"/>
      <c r="D57" s="33"/>
      <c r="E57" s="33" t="e">
        <f t="shared" si="0"/>
        <v>#DIV/0!</v>
      </c>
      <c r="F57" s="33"/>
      <c r="G57" s="33"/>
      <c r="H57" s="33"/>
      <c r="I57" s="33"/>
      <c r="J57" s="33"/>
      <c r="K57" s="33"/>
      <c r="L57" s="10">
        <v>0.53031148822150276</v>
      </c>
      <c r="M57" s="33">
        <f t="shared" si="1"/>
        <v>0.53031148822150276</v>
      </c>
      <c r="N57" s="33"/>
      <c r="O57" s="33"/>
      <c r="P57" s="33" t="e">
        <f t="shared" si="2"/>
        <v>#DIV/0!</v>
      </c>
      <c r="Q57" s="33"/>
      <c r="R57" s="33">
        <v>0.38911564625850342</v>
      </c>
      <c r="S57" s="33"/>
      <c r="T57" s="33"/>
      <c r="U57" s="33"/>
      <c r="V57" s="33"/>
      <c r="W57" s="33">
        <v>0.60542832909245126</v>
      </c>
      <c r="X57" s="33"/>
      <c r="Y57" s="33"/>
      <c r="Z57" s="29">
        <v>0.68943906676594691</v>
      </c>
      <c r="AA57" s="33"/>
      <c r="AB57" s="33"/>
      <c r="AC57" s="33"/>
      <c r="AD57" s="33"/>
      <c r="AE57" s="33"/>
      <c r="AF57" s="33"/>
      <c r="AG57" s="29"/>
      <c r="AH57" s="33">
        <f t="shared" si="3"/>
        <v>0.56132768070563388</v>
      </c>
      <c r="AI57" s="43">
        <v>0.152</v>
      </c>
      <c r="AL57" s="37"/>
      <c r="AM57" s="37">
        <v>0.53031148822150276</v>
      </c>
      <c r="AN57" s="37"/>
      <c r="AO57" s="37">
        <v>0.56132768070563388</v>
      </c>
      <c r="AP57" s="61">
        <v>0.152</v>
      </c>
    </row>
    <row r="58" spans="1:42">
      <c r="A58">
        <v>1988</v>
      </c>
      <c r="B58" s="33"/>
      <c r="C58" s="33"/>
      <c r="D58" s="33"/>
      <c r="E58" s="33" t="e">
        <f t="shared" si="0"/>
        <v>#DIV/0!</v>
      </c>
      <c r="F58" s="33"/>
      <c r="G58" s="33"/>
      <c r="H58" s="33"/>
      <c r="I58" s="33"/>
      <c r="J58" s="33"/>
      <c r="K58" s="33"/>
      <c r="L58" s="10">
        <v>0.55112219451371569</v>
      </c>
      <c r="M58" s="33">
        <f t="shared" si="1"/>
        <v>0.55112219451371569</v>
      </c>
      <c r="N58" s="33"/>
      <c r="O58" s="33"/>
      <c r="P58" s="33" t="e">
        <f t="shared" si="2"/>
        <v>#DIV/0!</v>
      </c>
      <c r="Q58" s="33"/>
      <c r="R58" s="33">
        <v>0.4206798866855524</v>
      </c>
      <c r="S58" s="33">
        <v>0.50485436893203883</v>
      </c>
      <c r="T58" s="33"/>
      <c r="U58" s="33"/>
      <c r="V58" s="33"/>
      <c r="W58" s="33">
        <v>0.61140939597315436</v>
      </c>
      <c r="X58" s="33"/>
      <c r="Y58" s="33"/>
      <c r="Z58" s="29">
        <v>0.56521469347232567</v>
      </c>
      <c r="AA58" s="33"/>
      <c r="AB58" s="33"/>
      <c r="AC58" s="33"/>
      <c r="AD58" s="33"/>
      <c r="AE58" s="33"/>
      <c r="AF58" s="33"/>
      <c r="AG58" s="29"/>
      <c r="AH58" s="33">
        <f t="shared" si="3"/>
        <v>0.5255395862657678</v>
      </c>
      <c r="AI58" s="43">
        <v>0.13</v>
      </c>
      <c r="AL58" s="37"/>
      <c r="AM58" s="37">
        <v>0.55112219451371569</v>
      </c>
      <c r="AN58" s="37"/>
      <c r="AO58" s="37">
        <v>0.5255395862657678</v>
      </c>
      <c r="AP58" s="61">
        <v>0.13</v>
      </c>
    </row>
    <row r="59" spans="1:42">
      <c r="A59">
        <v>1989</v>
      </c>
      <c r="B59" s="33"/>
      <c r="C59" s="33"/>
      <c r="D59" s="33"/>
      <c r="E59" s="33" t="e">
        <f t="shared" si="0"/>
        <v>#DIV/0!</v>
      </c>
      <c r="F59" s="33"/>
      <c r="G59" s="33"/>
      <c r="H59" s="33"/>
      <c r="I59" s="33">
        <v>0.47</v>
      </c>
      <c r="J59" s="33"/>
      <c r="K59" s="33"/>
      <c r="L59" s="10">
        <v>0.57311429893567789</v>
      </c>
      <c r="M59" s="33">
        <f t="shared" si="1"/>
        <v>0.52155714946783893</v>
      </c>
      <c r="N59" s="33"/>
      <c r="O59" s="33"/>
      <c r="P59" s="33" t="e">
        <f t="shared" si="2"/>
        <v>#DIV/0!</v>
      </c>
      <c r="Q59" s="33"/>
      <c r="R59" s="33">
        <v>0.43267776096822996</v>
      </c>
      <c r="S59" s="33">
        <v>0.40100000000000002</v>
      </c>
      <c r="T59" s="33"/>
      <c r="U59" s="33"/>
      <c r="V59" s="33"/>
      <c r="W59" s="33">
        <v>0.6281287246722288</v>
      </c>
      <c r="X59" s="33"/>
      <c r="Y59" s="33"/>
      <c r="Z59" s="29">
        <v>0.68943906676594691</v>
      </c>
      <c r="AA59" s="33"/>
      <c r="AB59" s="33"/>
      <c r="AC59" s="33"/>
      <c r="AD59" s="33"/>
      <c r="AE59" s="33"/>
      <c r="AF59" s="33"/>
      <c r="AG59" s="29"/>
      <c r="AH59" s="33">
        <f t="shared" si="3"/>
        <v>0.53781138810160134</v>
      </c>
      <c r="AI59" s="43">
        <v>0.128</v>
      </c>
      <c r="AL59" s="37"/>
      <c r="AM59" s="37">
        <v>0.52155714946783893</v>
      </c>
      <c r="AN59" s="37"/>
      <c r="AO59" s="37">
        <v>0.53781138810160134</v>
      </c>
      <c r="AP59" s="61">
        <v>0.128</v>
      </c>
    </row>
    <row r="60" spans="1:42">
      <c r="A60">
        <v>1990</v>
      </c>
      <c r="B60" s="33"/>
      <c r="C60" s="33"/>
      <c r="D60" s="33"/>
      <c r="E60" s="33" t="e">
        <f t="shared" si="0"/>
        <v>#DIV/0!</v>
      </c>
      <c r="F60" s="33"/>
      <c r="G60" s="33"/>
      <c r="H60" s="33"/>
      <c r="I60" s="33"/>
      <c r="J60" s="33"/>
      <c r="K60" s="33"/>
      <c r="L60" s="10">
        <v>0.61047145800509028</v>
      </c>
      <c r="M60" s="33">
        <f t="shared" si="1"/>
        <v>0.61047145800509028</v>
      </c>
      <c r="N60" s="33"/>
      <c r="O60" s="33"/>
      <c r="P60" s="33" t="e">
        <f t="shared" si="2"/>
        <v>#DIV/0!</v>
      </c>
      <c r="Q60" s="33"/>
      <c r="R60" s="33">
        <v>0.46527777777777779</v>
      </c>
      <c r="S60" s="33"/>
      <c r="T60" s="33"/>
      <c r="U60" s="33"/>
      <c r="V60" s="30">
        <v>0.5</v>
      </c>
      <c r="W60" s="33">
        <v>0.65357643758765782</v>
      </c>
      <c r="X60" s="33"/>
      <c r="Y60" s="33"/>
      <c r="Z60" s="29">
        <v>0.70807479109787375</v>
      </c>
      <c r="AA60" s="33"/>
      <c r="AB60" s="33"/>
      <c r="AC60" s="33"/>
      <c r="AD60" s="33">
        <v>0.45419999999999999</v>
      </c>
      <c r="AE60" s="33"/>
      <c r="AF60" s="33">
        <v>0.39335476956055732</v>
      </c>
      <c r="AG60" s="29"/>
      <c r="AH60" s="33">
        <f t="shared" si="3"/>
        <v>0.52908062933731115</v>
      </c>
      <c r="AI60" s="43">
        <v>0.16899999999999998</v>
      </c>
      <c r="AL60" s="37"/>
      <c r="AM60" s="37">
        <v>0.61047145800509028</v>
      </c>
      <c r="AN60" s="37"/>
      <c r="AO60" s="37">
        <v>0.52908062933731115</v>
      </c>
      <c r="AP60" s="61">
        <v>0.16899999999999998</v>
      </c>
    </row>
    <row r="61" spans="1:42">
      <c r="A61">
        <v>1991</v>
      </c>
      <c r="B61" s="33"/>
      <c r="C61" s="33"/>
      <c r="D61" s="33"/>
      <c r="E61" s="33" t="e">
        <f t="shared" si="0"/>
        <v>#DIV/0!</v>
      </c>
      <c r="F61" s="33"/>
      <c r="G61" s="33">
        <v>0.41499999999999998</v>
      </c>
      <c r="H61" s="33"/>
      <c r="I61" s="33"/>
      <c r="J61" s="33"/>
      <c r="K61" s="33"/>
      <c r="L61" s="10">
        <v>0.60118764845605699</v>
      </c>
      <c r="M61" s="33">
        <f t="shared" si="1"/>
        <v>0.50809382422802851</v>
      </c>
      <c r="N61" s="33"/>
      <c r="O61" s="33"/>
      <c r="P61" s="33" t="e">
        <f t="shared" si="2"/>
        <v>#DIV/0!</v>
      </c>
      <c r="Q61" s="33"/>
      <c r="R61" s="33">
        <v>0.45899470899470901</v>
      </c>
      <c r="S61" s="33"/>
      <c r="T61" s="33"/>
      <c r="U61" s="33"/>
      <c r="V61" s="29"/>
      <c r="W61" s="33">
        <v>0.63396226415094337</v>
      </c>
      <c r="X61" s="33"/>
      <c r="Y61" s="33"/>
      <c r="Z61" s="29">
        <v>0.75400669563359213</v>
      </c>
      <c r="AA61" s="33"/>
      <c r="AB61" s="33"/>
      <c r="AC61" s="33"/>
      <c r="AD61" s="33"/>
      <c r="AE61" s="33"/>
      <c r="AF61" s="33"/>
      <c r="AG61" s="29"/>
      <c r="AH61" s="33">
        <f t="shared" si="3"/>
        <v>0.61565455625974819</v>
      </c>
      <c r="AI61" s="43">
        <v>0.106</v>
      </c>
      <c r="AL61" s="37"/>
      <c r="AM61" s="37">
        <v>0.50809382422802851</v>
      </c>
      <c r="AN61" s="37"/>
      <c r="AO61" s="37">
        <v>0.61565455625974819</v>
      </c>
      <c r="AP61" s="61">
        <v>0.106</v>
      </c>
    </row>
    <row r="62" spans="1:42">
      <c r="A62">
        <v>1992</v>
      </c>
      <c r="B62" s="33"/>
      <c r="C62" s="33"/>
      <c r="D62" s="33"/>
      <c r="E62" s="33" t="e">
        <f t="shared" si="0"/>
        <v>#DIV/0!</v>
      </c>
      <c r="F62" s="33"/>
      <c r="G62" s="33"/>
      <c r="H62" s="33"/>
      <c r="I62" s="33"/>
      <c r="J62" s="33"/>
      <c r="K62" s="33"/>
      <c r="L62" s="10">
        <v>0.62075091792017056</v>
      </c>
      <c r="M62" s="33">
        <f t="shared" si="1"/>
        <v>0.62075091792017056</v>
      </c>
      <c r="N62" s="33"/>
      <c r="O62" s="33"/>
      <c r="P62" s="33" t="e">
        <f t="shared" si="2"/>
        <v>#DIV/0!</v>
      </c>
      <c r="Q62" s="33"/>
      <c r="R62" s="33">
        <v>0.51966626936829563</v>
      </c>
      <c r="S62" s="33"/>
      <c r="T62" s="33"/>
      <c r="U62" s="33"/>
      <c r="V62" s="29"/>
      <c r="W62" s="33">
        <v>0.66038009574931089</v>
      </c>
      <c r="X62" s="33"/>
      <c r="Y62" s="33"/>
      <c r="Z62" s="29">
        <v>0.79143813661941742</v>
      </c>
      <c r="AA62" s="33"/>
      <c r="AB62" s="33"/>
      <c r="AC62" s="33"/>
      <c r="AD62" s="33"/>
      <c r="AE62" s="33"/>
      <c r="AF62" s="33"/>
      <c r="AG62" s="29"/>
      <c r="AH62" s="33">
        <f t="shared" si="3"/>
        <v>0.65716150057900802</v>
      </c>
      <c r="AI62" s="43">
        <v>0.157</v>
      </c>
      <c r="AL62" s="37"/>
      <c r="AM62" s="37">
        <v>0.62075091792017056</v>
      </c>
      <c r="AN62" s="37"/>
      <c r="AO62" s="37">
        <v>0.65716150057900802</v>
      </c>
      <c r="AP62" s="61">
        <v>0.157</v>
      </c>
    </row>
    <row r="63" spans="1:42">
      <c r="A63">
        <v>1993</v>
      </c>
      <c r="B63" s="33"/>
      <c r="C63" s="33"/>
      <c r="D63" s="33"/>
      <c r="E63" s="33" t="e">
        <f t="shared" si="0"/>
        <v>#DIV/0!</v>
      </c>
      <c r="F63" s="33"/>
      <c r="G63" s="33"/>
      <c r="H63" s="33"/>
      <c r="I63" s="33"/>
      <c r="J63" s="33"/>
      <c r="K63" s="33"/>
      <c r="L63" s="10">
        <v>0.63850254983773758</v>
      </c>
      <c r="M63" s="33">
        <f t="shared" si="1"/>
        <v>0.63850254983773758</v>
      </c>
      <c r="N63" s="33"/>
      <c r="O63" s="33"/>
      <c r="P63" s="33" t="e">
        <f t="shared" si="2"/>
        <v>#DIV/0!</v>
      </c>
      <c r="Q63" s="33"/>
      <c r="R63" s="33">
        <v>0.53854505971769817</v>
      </c>
      <c r="S63" s="33"/>
      <c r="T63" s="33"/>
      <c r="U63" s="33"/>
      <c r="V63" s="29"/>
      <c r="W63" s="33">
        <v>0.68702843876958797</v>
      </c>
      <c r="X63" s="33"/>
      <c r="Y63" s="33"/>
      <c r="Z63" s="29">
        <v>0.80214046584514576</v>
      </c>
      <c r="AA63" s="33"/>
      <c r="AB63" s="33"/>
      <c r="AC63" s="33"/>
      <c r="AD63" s="33"/>
      <c r="AE63" s="33"/>
      <c r="AF63" s="33"/>
      <c r="AG63" s="29">
        <v>0.55937499999999996</v>
      </c>
      <c r="AH63" s="33">
        <f t="shared" si="3"/>
        <v>0.64677224108310805</v>
      </c>
      <c r="AI63" s="43">
        <v>0.20199999999999999</v>
      </c>
      <c r="AL63" s="37"/>
      <c r="AM63" s="37">
        <v>0.63850254983773758</v>
      </c>
      <c r="AN63" s="37"/>
      <c r="AO63" s="37">
        <v>0.64677224108310805</v>
      </c>
      <c r="AP63" s="61">
        <v>0.20199999999999999</v>
      </c>
    </row>
    <row r="64" spans="1:42">
      <c r="A64">
        <v>1994</v>
      </c>
      <c r="B64" s="33"/>
      <c r="C64" s="33"/>
      <c r="D64" s="33"/>
      <c r="E64" s="33" t="e">
        <f t="shared" si="0"/>
        <v>#DIV/0!</v>
      </c>
      <c r="F64" s="33"/>
      <c r="G64" s="33"/>
      <c r="H64" s="33"/>
      <c r="I64" s="33"/>
      <c r="J64" s="33"/>
      <c r="K64" s="33"/>
      <c r="L64" s="10">
        <v>0.64824063564131673</v>
      </c>
      <c r="M64" s="33">
        <f t="shared" si="1"/>
        <v>0.64824063564131673</v>
      </c>
      <c r="N64" s="33"/>
      <c r="O64" s="33"/>
      <c r="P64" s="33" t="e">
        <f t="shared" si="2"/>
        <v>#DIV/0!</v>
      </c>
      <c r="Q64" s="33"/>
      <c r="R64" s="33">
        <v>0.54133064516129037</v>
      </c>
      <c r="S64" s="33"/>
      <c r="T64" s="33"/>
      <c r="U64" s="33"/>
      <c r="V64" s="29"/>
      <c r="W64" s="33">
        <v>0.71608226068945113</v>
      </c>
      <c r="X64" s="33"/>
      <c r="Y64" s="33"/>
      <c r="Z64" s="29">
        <v>0.71657525464776695</v>
      </c>
      <c r="AA64" s="33"/>
      <c r="AB64" s="33"/>
      <c r="AC64" s="33"/>
      <c r="AD64" s="33"/>
      <c r="AE64" s="33"/>
      <c r="AF64" s="33"/>
      <c r="AG64" s="29"/>
      <c r="AH64" s="33">
        <f t="shared" si="3"/>
        <v>0.65799605349950285</v>
      </c>
      <c r="AI64" s="43">
        <v>0.19500000000000001</v>
      </c>
      <c r="AL64" s="37"/>
      <c r="AM64" s="37">
        <v>0.64824063564131673</v>
      </c>
      <c r="AN64" s="37"/>
      <c r="AO64" s="37">
        <v>0.65799605349950285</v>
      </c>
      <c r="AP64" s="61">
        <v>0.19500000000000001</v>
      </c>
    </row>
    <row r="65" spans="1:42">
      <c r="A65">
        <v>1995</v>
      </c>
      <c r="B65" s="33"/>
      <c r="C65" s="33"/>
      <c r="D65" s="33"/>
      <c r="E65" s="33" t="e">
        <f t="shared" si="0"/>
        <v>#DIV/0!</v>
      </c>
      <c r="F65" s="33"/>
      <c r="G65" s="33"/>
      <c r="H65" s="33"/>
      <c r="I65" s="33"/>
      <c r="J65" s="33"/>
      <c r="K65" s="33">
        <v>0.16270000000000001</v>
      </c>
      <c r="L65" s="10">
        <v>0.65889014722536809</v>
      </c>
      <c r="M65" s="33">
        <f t="shared" si="1"/>
        <v>0.41079507361268408</v>
      </c>
      <c r="N65" s="33"/>
      <c r="O65" s="33"/>
      <c r="P65" s="33" t="e">
        <f t="shared" si="2"/>
        <v>#DIV/0!</v>
      </c>
      <c r="Q65" s="33"/>
      <c r="R65" s="33">
        <v>0.54396135265700485</v>
      </c>
      <c r="S65" s="33"/>
      <c r="T65" s="33"/>
      <c r="U65" s="33">
        <v>0.9375</v>
      </c>
      <c r="V65" s="29"/>
      <c r="W65" s="33">
        <v>0.74299273320480497</v>
      </c>
      <c r="X65" s="33"/>
      <c r="Y65" s="33"/>
      <c r="Z65" s="29">
        <v>0.83419027571689841</v>
      </c>
      <c r="AA65" s="33"/>
      <c r="AB65" s="33"/>
      <c r="AC65" s="33"/>
      <c r="AD65" s="33">
        <v>0.5494</v>
      </c>
      <c r="AE65" s="33"/>
      <c r="AF65" s="33"/>
      <c r="AG65" s="29"/>
      <c r="AH65" s="33">
        <f t="shared" si="3"/>
        <v>0.72160887231574167</v>
      </c>
      <c r="AI65" s="43">
        <v>0.252</v>
      </c>
      <c r="AL65" s="37"/>
      <c r="AM65" s="37">
        <v>0.41079507361268408</v>
      </c>
      <c r="AN65" s="37"/>
      <c r="AO65" s="37">
        <v>0.72160887231574167</v>
      </c>
      <c r="AP65" s="61">
        <v>0.252</v>
      </c>
    </row>
    <row r="66" spans="1:42">
      <c r="A66">
        <v>1996</v>
      </c>
      <c r="B66" s="33"/>
      <c r="C66" s="33"/>
      <c r="D66" s="33"/>
      <c r="E66" s="33" t="e">
        <f t="shared" si="0"/>
        <v>#DIV/0!</v>
      </c>
      <c r="F66" s="33"/>
      <c r="G66" s="33"/>
      <c r="H66" s="33"/>
      <c r="I66" s="33"/>
      <c r="J66" s="33"/>
      <c r="K66" s="33"/>
      <c r="L66" s="10">
        <v>0.66367254121660035</v>
      </c>
      <c r="M66" s="33">
        <f t="shared" si="1"/>
        <v>0.66367254121660035</v>
      </c>
      <c r="N66" s="33"/>
      <c r="O66" s="33"/>
      <c r="P66" s="33" t="e">
        <f t="shared" si="2"/>
        <v>#DIV/0!</v>
      </c>
      <c r="Q66" s="33"/>
      <c r="R66" s="33">
        <v>0.56721915285451197</v>
      </c>
      <c r="S66" s="33"/>
      <c r="T66" s="33"/>
      <c r="U66" s="33">
        <v>0.85416666666666663</v>
      </c>
      <c r="V66" s="29"/>
      <c r="W66" s="33">
        <v>0.76862626567931092</v>
      </c>
      <c r="X66" s="33"/>
      <c r="Y66" s="33"/>
      <c r="Z66" s="29">
        <v>0.78172382900319481</v>
      </c>
      <c r="AA66" s="33"/>
      <c r="AB66" s="33"/>
      <c r="AC66" s="33"/>
      <c r="AD66" s="33"/>
      <c r="AE66" s="33"/>
      <c r="AF66" s="33"/>
      <c r="AG66" s="29"/>
      <c r="AH66" s="33">
        <f t="shared" si="3"/>
        <v>0.74293397855092114</v>
      </c>
      <c r="AI66" s="43">
        <v>0.23800000000000002</v>
      </c>
      <c r="AL66" s="37"/>
      <c r="AM66" s="37">
        <v>0.66367254121660035</v>
      </c>
      <c r="AN66" s="37"/>
      <c r="AO66" s="37">
        <v>0.74293397855092114</v>
      </c>
      <c r="AP66" s="61">
        <v>0.23800000000000002</v>
      </c>
    </row>
    <row r="67" spans="1:42">
      <c r="A67">
        <v>1997</v>
      </c>
      <c r="B67" s="33"/>
      <c r="C67" s="33"/>
      <c r="D67" s="29">
        <v>0.45</v>
      </c>
      <c r="E67" s="33">
        <f t="shared" si="0"/>
        <v>0.45</v>
      </c>
      <c r="F67" s="33"/>
      <c r="G67" s="33"/>
      <c r="H67" s="33"/>
      <c r="I67" s="33"/>
      <c r="J67" s="33"/>
      <c r="K67" s="33"/>
      <c r="L67" s="10">
        <v>0.66872543514879279</v>
      </c>
      <c r="M67" s="33">
        <f t="shared" si="1"/>
        <v>0.66872543514879279</v>
      </c>
      <c r="N67" s="33"/>
      <c r="O67" s="33"/>
      <c r="P67" s="33" t="e">
        <f t="shared" si="2"/>
        <v>#DIV/0!</v>
      </c>
      <c r="Q67" s="33"/>
      <c r="R67" s="33">
        <v>0.55918727915194344</v>
      </c>
      <c r="S67" s="33"/>
      <c r="T67" s="33"/>
      <c r="U67" s="33">
        <v>0.95833333333333337</v>
      </c>
      <c r="V67" s="29"/>
      <c r="W67" s="33">
        <v>0.78963461244458033</v>
      </c>
      <c r="X67" s="33"/>
      <c r="Y67" s="33"/>
      <c r="Z67" s="29">
        <v>0.68159377070907878</v>
      </c>
      <c r="AA67" s="33"/>
      <c r="AB67" s="33"/>
      <c r="AC67" s="33"/>
      <c r="AD67" s="33"/>
      <c r="AE67" s="33"/>
      <c r="AF67" s="33"/>
      <c r="AG67" s="29"/>
      <c r="AH67" s="33">
        <f t="shared" si="3"/>
        <v>0.74718724890973398</v>
      </c>
      <c r="AI67" s="43">
        <v>0.254</v>
      </c>
      <c r="AL67" s="37">
        <v>0.45</v>
      </c>
      <c r="AM67" s="37">
        <v>0.66872543514879279</v>
      </c>
      <c r="AN67" s="37"/>
      <c r="AO67" s="37">
        <v>0.74718724890973398</v>
      </c>
      <c r="AP67" s="61">
        <v>0.254</v>
      </c>
    </row>
    <row r="68" spans="1:42">
      <c r="A68">
        <v>1998</v>
      </c>
      <c r="B68" s="33"/>
      <c r="C68" s="33"/>
      <c r="D68" s="29"/>
      <c r="E68" s="33" t="e">
        <f t="shared" ref="E68:E94" si="4">AVERAGE(B68:D68)</f>
        <v>#DIV/0!</v>
      </c>
      <c r="F68" s="33"/>
      <c r="G68" s="33"/>
      <c r="H68" s="33"/>
      <c r="I68" s="33"/>
      <c r="J68" s="33"/>
      <c r="K68" s="33"/>
      <c r="L68" s="10">
        <v>0.67879870492352345</v>
      </c>
      <c r="M68" s="33">
        <f t="shared" ref="M68:M94" si="5">AVERAGE(F68:L68)</f>
        <v>0.67879870492352345</v>
      </c>
      <c r="N68" s="33"/>
      <c r="O68" s="33"/>
      <c r="P68" s="33" t="e">
        <f t="shared" ref="P68:P94" si="6">AVERAGE(N68:O68)</f>
        <v>#DIV/0!</v>
      </c>
      <c r="Q68" s="33"/>
      <c r="R68" s="33">
        <v>0.57725694444444442</v>
      </c>
      <c r="S68" s="33"/>
      <c r="T68" s="33"/>
      <c r="U68" s="33">
        <v>0.91666666666666663</v>
      </c>
      <c r="V68" s="29"/>
      <c r="W68" s="33">
        <v>0.79252537680713631</v>
      </c>
      <c r="X68" s="33"/>
      <c r="Y68" s="33"/>
      <c r="Z68" s="29">
        <v>0.71727949509214217</v>
      </c>
      <c r="AA68" s="33"/>
      <c r="AB68" s="33"/>
      <c r="AC68" s="33"/>
      <c r="AD68" s="33"/>
      <c r="AE68" s="33"/>
      <c r="AF68" s="33"/>
      <c r="AG68" s="29"/>
      <c r="AH68" s="33">
        <f t="shared" ref="AH68:AH94" si="7">AVERAGE(Q68:AG68)</f>
        <v>0.75093212075259741</v>
      </c>
      <c r="AI68" s="43">
        <v>0.25</v>
      </c>
      <c r="AL68" s="37"/>
      <c r="AM68" s="37">
        <v>0.67879870492352345</v>
      </c>
      <c r="AN68" s="37"/>
      <c r="AO68" s="37">
        <v>0.75093212075259741</v>
      </c>
      <c r="AP68" s="61">
        <v>0.25</v>
      </c>
    </row>
    <row r="69" spans="1:42">
      <c r="A69">
        <v>1999</v>
      </c>
      <c r="B69" s="33"/>
      <c r="C69" s="33"/>
      <c r="D69" s="29"/>
      <c r="E69" s="33" t="e">
        <f t="shared" si="4"/>
        <v>#DIV/0!</v>
      </c>
      <c r="F69" s="33"/>
      <c r="G69" s="33"/>
      <c r="H69" s="33"/>
      <c r="I69" s="33">
        <v>0.52</v>
      </c>
      <c r="J69" s="33"/>
      <c r="K69" s="33"/>
      <c r="L69" s="10">
        <v>0.69574397155239476</v>
      </c>
      <c r="M69" s="33">
        <f t="shared" si="5"/>
        <v>0.60787198577619739</v>
      </c>
      <c r="N69" s="33"/>
      <c r="O69" s="33"/>
      <c r="P69" s="33" t="e">
        <f t="shared" si="6"/>
        <v>#DIV/0!</v>
      </c>
      <c r="Q69" s="33"/>
      <c r="R69" s="33">
        <v>0.59603789836347976</v>
      </c>
      <c r="S69" s="33"/>
      <c r="T69" s="33"/>
      <c r="U69" s="33">
        <v>0.96153846153846156</v>
      </c>
      <c r="V69" s="29"/>
      <c r="W69" s="33">
        <v>0.80455727175409086</v>
      </c>
      <c r="X69" s="33"/>
      <c r="Y69" s="33"/>
      <c r="Z69" s="29">
        <v>0.67391186317980278</v>
      </c>
      <c r="AA69" s="33"/>
      <c r="AB69" s="33"/>
      <c r="AC69" s="33"/>
      <c r="AD69" s="33"/>
      <c r="AE69" s="33"/>
      <c r="AF69" s="33"/>
      <c r="AG69" s="29"/>
      <c r="AH69" s="33">
        <f t="shared" si="7"/>
        <v>0.75901137370895866</v>
      </c>
      <c r="AI69" s="43">
        <v>0.33399999999999996</v>
      </c>
      <c r="AL69" s="37"/>
      <c r="AM69" s="37">
        <v>0.60787198577619739</v>
      </c>
      <c r="AN69" s="37"/>
      <c r="AO69" s="37">
        <v>0.75901137370895866</v>
      </c>
      <c r="AP69" s="61">
        <v>0.33399999999999996</v>
      </c>
    </row>
    <row r="70" spans="1:42">
      <c r="A70">
        <v>2000</v>
      </c>
      <c r="B70" s="33"/>
      <c r="C70" s="33"/>
      <c r="D70" s="29"/>
      <c r="E70" s="33" t="e">
        <f t="shared" si="4"/>
        <v>#DIV/0!</v>
      </c>
      <c r="F70" s="33"/>
      <c r="G70" s="33"/>
      <c r="H70" s="33"/>
      <c r="I70" s="33"/>
      <c r="J70" s="33">
        <v>0.2608695652173913</v>
      </c>
      <c r="K70" s="33"/>
      <c r="L70" s="10">
        <v>0.70444272957777532</v>
      </c>
      <c r="M70" s="33">
        <f t="shared" si="5"/>
        <v>0.48265614739758333</v>
      </c>
      <c r="N70" s="33"/>
      <c r="O70" s="33"/>
      <c r="P70" s="33" t="e">
        <f t="shared" si="6"/>
        <v>#DIV/0!</v>
      </c>
      <c r="Q70" s="33"/>
      <c r="R70" s="33">
        <v>0.62331838565022424</v>
      </c>
      <c r="S70" s="33"/>
      <c r="T70" s="33"/>
      <c r="U70" s="33">
        <v>0.96078431372549022</v>
      </c>
      <c r="V70" s="29"/>
      <c r="W70" s="33">
        <v>0.81414172266340867</v>
      </c>
      <c r="X70" s="33"/>
      <c r="Y70" s="33"/>
      <c r="Z70" s="29">
        <v>0.84536029386522027</v>
      </c>
      <c r="AA70" s="33"/>
      <c r="AC70" s="33"/>
      <c r="AD70" s="33">
        <v>0.59760000000000002</v>
      </c>
      <c r="AE70" s="33">
        <v>0.8</v>
      </c>
      <c r="AF70" s="33">
        <v>0.6166883963494133</v>
      </c>
      <c r="AG70" s="29"/>
      <c r="AH70" s="33">
        <f t="shared" si="7"/>
        <v>0.75112758746482233</v>
      </c>
      <c r="AI70" s="43">
        <v>0.24600000000000002</v>
      </c>
      <c r="AL70" s="37"/>
      <c r="AM70" s="37">
        <v>0.48265614739758333</v>
      </c>
      <c r="AN70" s="37"/>
      <c r="AO70" s="37">
        <v>0.75112758746482233</v>
      </c>
      <c r="AP70" s="61">
        <v>0.24600000000000002</v>
      </c>
    </row>
    <row r="71" spans="1:42">
      <c r="A71">
        <v>2001</v>
      </c>
      <c r="B71" s="33"/>
      <c r="C71" s="33"/>
      <c r="D71" s="29">
        <v>0.41048034934497818</v>
      </c>
      <c r="E71" s="33">
        <f t="shared" si="4"/>
        <v>0.41048034934497818</v>
      </c>
      <c r="F71" s="33"/>
      <c r="G71" s="33">
        <v>0.53300000000000003</v>
      </c>
      <c r="H71" s="33"/>
      <c r="I71" s="33"/>
      <c r="J71" s="33">
        <v>0.37931034482758619</v>
      </c>
      <c r="K71" s="33"/>
      <c r="L71" s="10">
        <v>0.71747945205479458</v>
      </c>
      <c r="M71" s="33">
        <f t="shared" si="5"/>
        <v>0.54326326562746019</v>
      </c>
      <c r="N71" s="33"/>
      <c r="O71" s="33"/>
      <c r="P71" s="33" t="e">
        <f t="shared" si="6"/>
        <v>#DIV/0!</v>
      </c>
      <c r="Q71" s="29">
        <v>0.734375</v>
      </c>
      <c r="R71" s="29">
        <v>0.63179916317991636</v>
      </c>
      <c r="S71" s="33"/>
      <c r="T71" s="33"/>
      <c r="U71" s="33">
        <v>0.92452830188679247</v>
      </c>
      <c r="V71" s="29"/>
      <c r="W71" s="33">
        <v>0.82699827936805881</v>
      </c>
      <c r="X71" s="33"/>
      <c r="Y71" s="33"/>
      <c r="Z71" s="29">
        <v>0.90960058698474211</v>
      </c>
      <c r="AA71" s="33"/>
      <c r="AB71" s="33"/>
      <c r="AC71" s="33"/>
      <c r="AD71" s="33"/>
      <c r="AE71" s="33"/>
      <c r="AF71" s="33"/>
      <c r="AG71" s="29"/>
      <c r="AH71" s="33">
        <f t="shared" si="7"/>
        <v>0.80546026628390188</v>
      </c>
      <c r="AI71" s="43">
        <v>0.27399999999999997</v>
      </c>
      <c r="AL71" s="37">
        <v>0.41048034934497818</v>
      </c>
      <c r="AM71" s="37">
        <v>0.54326326562746019</v>
      </c>
      <c r="AN71" s="37"/>
      <c r="AO71" s="37">
        <v>0.80546026628390188</v>
      </c>
      <c r="AP71" s="61">
        <v>0.27399999999999997</v>
      </c>
    </row>
    <row r="72" spans="1:42">
      <c r="A72">
        <v>2002</v>
      </c>
      <c r="B72" s="33"/>
      <c r="C72" s="33"/>
      <c r="D72" s="33"/>
      <c r="E72" s="33" t="e">
        <f t="shared" si="4"/>
        <v>#DIV/0!</v>
      </c>
      <c r="F72" s="33"/>
      <c r="G72" s="33"/>
      <c r="H72" s="33"/>
      <c r="I72" s="33"/>
      <c r="J72" s="33">
        <v>0.31578947368421051</v>
      </c>
      <c r="K72" s="33"/>
      <c r="L72" s="10">
        <v>0.73167823070251514</v>
      </c>
      <c r="M72" s="33">
        <f t="shared" si="5"/>
        <v>0.52373385219336277</v>
      </c>
      <c r="N72" s="33"/>
      <c r="O72" s="33"/>
      <c r="P72" s="33" t="e">
        <f t="shared" si="6"/>
        <v>#DIV/0!</v>
      </c>
      <c r="Q72" s="29">
        <v>0.70068027210884354</v>
      </c>
      <c r="R72" s="29">
        <v>0.67138364779874216</v>
      </c>
      <c r="S72" s="33"/>
      <c r="T72" s="33"/>
      <c r="U72" s="33">
        <v>0.98113207547169812</v>
      </c>
      <c r="V72" s="29"/>
      <c r="W72" s="33">
        <v>0.83518721604261315</v>
      </c>
      <c r="X72" s="33"/>
      <c r="Y72" s="33"/>
      <c r="Z72" s="29">
        <v>0.8586397475460712</v>
      </c>
      <c r="AA72" s="33"/>
      <c r="AB72" s="33"/>
      <c r="AC72" s="33"/>
      <c r="AD72" s="33"/>
      <c r="AE72" s="33"/>
      <c r="AF72" s="33"/>
      <c r="AG72" s="29"/>
      <c r="AH72" s="33">
        <f t="shared" si="7"/>
        <v>0.8094045917935937</v>
      </c>
      <c r="AI72" s="43">
        <v>0.28300000000000003</v>
      </c>
      <c r="AL72" s="37"/>
      <c r="AM72" s="37">
        <v>0.52373385219336277</v>
      </c>
      <c r="AN72" s="37"/>
      <c r="AO72" s="37">
        <v>0.8094045917935937</v>
      </c>
      <c r="AP72" s="61">
        <v>0.28300000000000003</v>
      </c>
    </row>
    <row r="73" spans="1:42">
      <c r="A73">
        <v>2003</v>
      </c>
      <c r="B73" s="33"/>
      <c r="C73" s="33"/>
      <c r="D73" s="33"/>
      <c r="E73" s="33" t="e">
        <f t="shared" si="4"/>
        <v>#DIV/0!</v>
      </c>
      <c r="F73" s="33"/>
      <c r="G73" s="33"/>
      <c r="H73" s="33">
        <v>0.8</v>
      </c>
      <c r="I73" s="33"/>
      <c r="J73" s="33">
        <v>0.37142857142857144</v>
      </c>
      <c r="K73" s="33"/>
      <c r="L73" s="10">
        <v>0.74736955121322735</v>
      </c>
      <c r="M73" s="33">
        <f t="shared" si="5"/>
        <v>0.63959937421393287</v>
      </c>
      <c r="N73" s="33"/>
      <c r="O73" s="33"/>
      <c r="P73" s="33" t="e">
        <f t="shared" si="6"/>
        <v>#DIV/0!</v>
      </c>
      <c r="Q73" s="29">
        <v>0.72661870503597126</v>
      </c>
      <c r="R73" s="29">
        <v>0.69243027888446218</v>
      </c>
      <c r="S73" s="33"/>
      <c r="T73" s="33"/>
      <c r="U73" s="33">
        <v>0.92452830188679247</v>
      </c>
      <c r="V73" s="29"/>
      <c r="W73" s="33">
        <v>0.84051036682615632</v>
      </c>
      <c r="X73" s="33"/>
      <c r="Y73" s="33"/>
      <c r="Z73" s="29">
        <v>0.93103448275862066</v>
      </c>
      <c r="AA73" s="33"/>
      <c r="AB73" s="33"/>
      <c r="AC73" s="33"/>
      <c r="AD73" s="33"/>
      <c r="AE73" s="33"/>
      <c r="AF73" s="33"/>
      <c r="AG73" s="29">
        <v>0.6987951807228916</v>
      </c>
      <c r="AH73" s="33">
        <f t="shared" si="7"/>
        <v>0.80231955268581567</v>
      </c>
      <c r="AI73" s="43">
        <v>0.27800000000000002</v>
      </c>
      <c r="AL73" s="37"/>
      <c r="AM73" s="37">
        <v>0.63959937421393287</v>
      </c>
      <c r="AN73" s="37"/>
      <c r="AO73" s="37">
        <v>0.80231955268581567</v>
      </c>
      <c r="AP73" s="61">
        <v>0.27800000000000002</v>
      </c>
    </row>
    <row r="74" spans="1:42">
      <c r="A74">
        <v>2004</v>
      </c>
      <c r="B74" s="33"/>
      <c r="C74" s="33"/>
      <c r="D74" s="33"/>
      <c r="E74" s="33" t="e">
        <f t="shared" si="4"/>
        <v>#DIV/0!</v>
      </c>
      <c r="F74" s="33"/>
      <c r="G74" s="33"/>
      <c r="H74" s="33"/>
      <c r="I74" s="33"/>
      <c r="J74" s="33">
        <v>0.26829268292682928</v>
      </c>
      <c r="K74" s="33"/>
      <c r="L74" s="10">
        <v>0.74739667203435323</v>
      </c>
      <c r="M74" s="33">
        <f t="shared" si="5"/>
        <v>0.50784467748059126</v>
      </c>
      <c r="N74" s="33"/>
      <c r="O74" s="33"/>
      <c r="P74" s="33" t="e">
        <f t="shared" si="6"/>
        <v>#DIV/0!</v>
      </c>
      <c r="Q74" s="29">
        <v>0.66019417475728159</v>
      </c>
      <c r="R74" s="29">
        <v>0.69187898089171973</v>
      </c>
      <c r="S74" s="33"/>
      <c r="T74" s="33"/>
      <c r="U74" s="33">
        <v>0.92307692307692313</v>
      </c>
      <c r="V74" s="29"/>
      <c r="W74" s="33">
        <v>0.84041402749884131</v>
      </c>
      <c r="X74" s="33"/>
      <c r="Y74" s="33"/>
      <c r="Z74" s="29">
        <v>0.68421052631578949</v>
      </c>
      <c r="AA74" s="33"/>
      <c r="AB74" s="33"/>
      <c r="AC74" s="33"/>
      <c r="AD74" s="33"/>
      <c r="AE74" s="33"/>
      <c r="AF74" s="33"/>
      <c r="AG74" s="29"/>
      <c r="AH74" s="33">
        <f t="shared" si="7"/>
        <v>0.75995492650811103</v>
      </c>
      <c r="AI74" s="43">
        <v>0.24299999999999999</v>
      </c>
      <c r="AL74" s="37"/>
      <c r="AM74" s="37">
        <v>0.50784467748059126</v>
      </c>
      <c r="AN74" s="37"/>
      <c r="AO74" s="37">
        <v>0.75995492650811103</v>
      </c>
      <c r="AP74" s="61">
        <v>0.24299999999999999</v>
      </c>
    </row>
    <row r="75" spans="1:42">
      <c r="A75">
        <v>2005</v>
      </c>
      <c r="B75" s="33"/>
      <c r="C75" s="33"/>
      <c r="D75" s="33"/>
      <c r="E75" s="33" t="e">
        <f t="shared" si="4"/>
        <v>#DIV/0!</v>
      </c>
      <c r="F75" s="33"/>
      <c r="G75" s="33"/>
      <c r="H75" s="33"/>
      <c r="I75" s="33"/>
      <c r="J75" s="33">
        <v>0.45454545454545453</v>
      </c>
      <c r="K75" s="33"/>
      <c r="L75" s="10">
        <v>0.76836797694998971</v>
      </c>
      <c r="M75" s="33">
        <f t="shared" si="5"/>
        <v>0.61145671574772209</v>
      </c>
      <c r="N75" s="33"/>
      <c r="O75" s="33"/>
      <c r="P75" s="33" t="e">
        <f t="shared" si="6"/>
        <v>#DIV/0!</v>
      </c>
      <c r="Q75" s="29">
        <v>0.7931034482758621</v>
      </c>
      <c r="R75" s="29">
        <v>0.72350597609561751</v>
      </c>
      <c r="S75" s="33"/>
      <c r="T75" s="33"/>
      <c r="U75" s="33">
        <v>0.88461538461538458</v>
      </c>
      <c r="V75" s="29"/>
      <c r="W75" s="33">
        <v>0.85596000624902358</v>
      </c>
      <c r="X75" s="33"/>
      <c r="Y75" s="33"/>
      <c r="Z75" s="29">
        <v>0.68026530612244895</v>
      </c>
      <c r="AA75" s="33"/>
      <c r="AB75" s="33"/>
      <c r="AC75" s="33"/>
      <c r="AD75" s="33">
        <v>0.68120000000000003</v>
      </c>
      <c r="AE75" s="33"/>
      <c r="AF75" s="33"/>
      <c r="AG75" s="29"/>
      <c r="AH75" s="33">
        <f t="shared" si="7"/>
        <v>0.76977502022638955</v>
      </c>
      <c r="AI75" s="43">
        <v>0.24399999999999999</v>
      </c>
      <c r="AL75" s="37"/>
      <c r="AM75" s="37">
        <v>0.61145671574772209</v>
      </c>
      <c r="AN75" s="37"/>
      <c r="AO75" s="37">
        <v>0.76977502022638955</v>
      </c>
      <c r="AP75" s="61">
        <v>0.24399999999999999</v>
      </c>
    </row>
    <row r="76" spans="1:42">
      <c r="A76">
        <v>2006</v>
      </c>
      <c r="B76" s="33"/>
      <c r="C76" s="33"/>
      <c r="D76" s="33"/>
      <c r="E76" s="33" t="e">
        <f t="shared" si="4"/>
        <v>#DIV/0!</v>
      </c>
      <c r="F76" s="33"/>
      <c r="G76" s="33"/>
      <c r="H76" s="33"/>
      <c r="I76" s="33"/>
      <c r="J76" s="33">
        <v>0.41176470588235292</v>
      </c>
      <c r="K76" s="33"/>
      <c r="L76" s="10">
        <v>0.77842331964339373</v>
      </c>
      <c r="M76" s="33">
        <f t="shared" si="5"/>
        <v>0.59509401276287333</v>
      </c>
      <c r="N76" s="33">
        <v>0.45800000000000002</v>
      </c>
      <c r="O76" s="33"/>
      <c r="P76" s="33">
        <f t="shared" si="6"/>
        <v>0.45800000000000002</v>
      </c>
      <c r="Q76" s="29">
        <v>0.84656084656084651</v>
      </c>
      <c r="R76" s="29">
        <v>0.75256107171000786</v>
      </c>
      <c r="S76" s="33"/>
      <c r="T76" s="33"/>
      <c r="U76" s="33">
        <v>0.875</v>
      </c>
      <c r="V76" s="29"/>
      <c r="W76" s="33">
        <v>0.86353879178166204</v>
      </c>
      <c r="X76" s="33"/>
      <c r="Y76" s="33"/>
      <c r="Z76" s="29">
        <v>0.70851562499999998</v>
      </c>
      <c r="AA76" s="33"/>
      <c r="AB76" s="33"/>
      <c r="AC76" s="33"/>
      <c r="AD76" s="33"/>
      <c r="AE76" s="33"/>
      <c r="AF76" s="33"/>
      <c r="AG76" s="29"/>
      <c r="AH76" s="33">
        <f t="shared" si="7"/>
        <v>0.8092352670105033</v>
      </c>
      <c r="AI76" s="33"/>
      <c r="AL76" s="37"/>
      <c r="AM76" s="37">
        <v>0.59509401276287333</v>
      </c>
      <c r="AN76" s="37">
        <v>0.45800000000000002</v>
      </c>
      <c r="AO76" s="37">
        <v>0.8092352670105033</v>
      </c>
      <c r="AP76" s="37"/>
    </row>
    <row r="77" spans="1:42" ht="15">
      <c r="A77">
        <v>2007</v>
      </c>
      <c r="B77" s="33"/>
      <c r="C77" s="33"/>
      <c r="D77" s="33"/>
      <c r="E77" s="33" t="e">
        <f t="shared" si="4"/>
        <v>#DIV/0!</v>
      </c>
      <c r="F77" s="33"/>
      <c r="G77" s="33"/>
      <c r="H77" s="33"/>
      <c r="I77" s="33"/>
      <c r="J77" s="33">
        <v>0.38636363636363635</v>
      </c>
      <c r="K77" s="33"/>
      <c r="L77" s="10">
        <v>0.77735368956743001</v>
      </c>
      <c r="M77" s="33">
        <f t="shared" si="5"/>
        <v>0.58185866296553312</v>
      </c>
      <c r="N77" s="48"/>
      <c r="O77" s="33"/>
      <c r="P77" s="33" t="e">
        <f t="shared" si="6"/>
        <v>#DIV/0!</v>
      </c>
      <c r="Q77" s="29">
        <v>0.85606060606060608</v>
      </c>
      <c r="R77" s="29">
        <v>0.75762314308053169</v>
      </c>
      <c r="S77" s="33"/>
      <c r="T77" s="33">
        <v>0.90100000000000002</v>
      </c>
      <c r="U77" s="33">
        <v>0.98275862068965514</v>
      </c>
      <c r="V77" s="29"/>
      <c r="W77" s="33">
        <v>0.85996758508914095</v>
      </c>
      <c r="X77" s="33"/>
      <c r="Y77" s="33"/>
      <c r="Z77" s="29">
        <v>0.85743421052631585</v>
      </c>
      <c r="AA77" s="33"/>
      <c r="AB77" s="33"/>
      <c r="AC77" s="33"/>
      <c r="AD77" s="33"/>
      <c r="AE77" s="33"/>
      <c r="AF77" s="33"/>
      <c r="AG77" s="29"/>
      <c r="AH77" s="33">
        <f t="shared" si="7"/>
        <v>0.86914069424104168</v>
      </c>
      <c r="AI77" s="33"/>
      <c r="AL77" s="37"/>
      <c r="AM77" s="37">
        <v>0.58185866296553312</v>
      </c>
      <c r="AN77" s="37"/>
      <c r="AO77" s="37">
        <v>0.86914069424104168</v>
      </c>
      <c r="AP77" s="37"/>
    </row>
    <row r="78" spans="1:42" ht="15">
      <c r="A78">
        <v>2008</v>
      </c>
      <c r="B78" s="33"/>
      <c r="C78" s="33"/>
      <c r="D78" s="33"/>
      <c r="E78" s="33" t="e">
        <f t="shared" si="4"/>
        <v>#DIV/0!</v>
      </c>
      <c r="F78" s="33"/>
      <c r="G78" s="33"/>
      <c r="H78" s="33"/>
      <c r="I78" s="33"/>
      <c r="J78" s="33">
        <v>0.44444444444444442</v>
      </c>
      <c r="K78" s="33"/>
      <c r="L78" s="10">
        <v>0.77463697967086154</v>
      </c>
      <c r="M78" s="33">
        <f t="shared" si="5"/>
        <v>0.60954071205765303</v>
      </c>
      <c r="N78" s="48"/>
      <c r="O78" s="33"/>
      <c r="P78" s="33" t="e">
        <f t="shared" si="6"/>
        <v>#DIV/0!</v>
      </c>
      <c r="Q78" s="29">
        <v>0.84705882352941175</v>
      </c>
      <c r="R78" s="29">
        <v>0.74922118380062308</v>
      </c>
      <c r="S78" s="33"/>
      <c r="T78" s="33"/>
      <c r="U78" s="33"/>
      <c r="V78" s="29"/>
      <c r="W78" s="33">
        <v>0.86350844277673544</v>
      </c>
      <c r="X78" s="33"/>
      <c r="Y78" s="33"/>
      <c r="Z78" s="29">
        <v>0.82509274617303341</v>
      </c>
      <c r="AA78" s="33"/>
      <c r="AB78" s="33"/>
      <c r="AC78" s="33"/>
      <c r="AD78" s="33"/>
      <c r="AE78" s="33"/>
      <c r="AF78" s="33"/>
      <c r="AG78" s="29"/>
      <c r="AH78" s="33">
        <f t="shared" si="7"/>
        <v>0.82122029906995087</v>
      </c>
      <c r="AI78" s="33"/>
      <c r="AL78" s="37"/>
      <c r="AM78" s="37">
        <v>0.60954071205765303</v>
      </c>
      <c r="AN78" s="37"/>
      <c r="AO78" s="37">
        <v>0.82122029906995087</v>
      </c>
      <c r="AP78" s="37"/>
    </row>
    <row r="79" spans="1:42" ht="15">
      <c r="A79">
        <v>2009</v>
      </c>
      <c r="B79" s="33"/>
      <c r="C79" s="33"/>
      <c r="D79" s="33"/>
      <c r="E79" s="33" t="e">
        <f t="shared" si="4"/>
        <v>#DIV/0!</v>
      </c>
      <c r="F79" s="33"/>
      <c r="G79" s="33"/>
      <c r="H79" s="33"/>
      <c r="I79" s="33"/>
      <c r="J79" s="33">
        <v>0.42857142857142855</v>
      </c>
      <c r="K79" s="33"/>
      <c r="L79" s="10">
        <v>0.77561300133054556</v>
      </c>
      <c r="M79" s="33">
        <f t="shared" si="5"/>
        <v>0.60209221495098708</v>
      </c>
      <c r="N79" s="48"/>
      <c r="O79" s="33"/>
      <c r="P79" s="33" t="e">
        <f t="shared" si="6"/>
        <v>#DIV/0!</v>
      </c>
      <c r="Q79" s="29">
        <v>0.74789915966386555</v>
      </c>
      <c r="R79" s="29">
        <v>0.73385214007782096</v>
      </c>
      <c r="S79" s="33"/>
      <c r="T79" s="33"/>
      <c r="U79" s="33"/>
      <c r="V79" s="29"/>
      <c r="W79" s="33">
        <v>0.86722187303582654</v>
      </c>
      <c r="X79" s="33"/>
      <c r="Y79" s="33"/>
      <c r="Z79" s="29">
        <v>0.90557381735029296</v>
      </c>
      <c r="AA79" s="33"/>
      <c r="AB79" s="33"/>
      <c r="AC79" s="33"/>
      <c r="AD79" s="33"/>
      <c r="AE79" s="33">
        <v>0.9</v>
      </c>
      <c r="AF79" s="33"/>
      <c r="AG79" s="29"/>
      <c r="AH79" s="33">
        <f t="shared" si="7"/>
        <v>0.8309093980255613</v>
      </c>
      <c r="AI79" s="33"/>
      <c r="AL79" s="37"/>
      <c r="AM79" s="37">
        <v>0.60209221495098708</v>
      </c>
      <c r="AN79" s="37"/>
      <c r="AO79" s="37">
        <v>0.8309093980255613</v>
      </c>
      <c r="AP79" s="37"/>
    </row>
    <row r="80" spans="1:42" ht="15">
      <c r="A80">
        <v>2010</v>
      </c>
      <c r="B80" s="33"/>
      <c r="C80" s="33"/>
      <c r="D80" s="33"/>
      <c r="E80" s="33" t="e">
        <f t="shared" si="4"/>
        <v>#DIV/0!</v>
      </c>
      <c r="F80" s="33"/>
      <c r="G80" s="33"/>
      <c r="H80" s="33"/>
      <c r="I80" s="33"/>
      <c r="J80" s="33">
        <v>0.34782608695652173</v>
      </c>
      <c r="K80" s="33"/>
      <c r="L80" s="10">
        <v>0.775310254735467</v>
      </c>
      <c r="M80" s="33">
        <f t="shared" si="5"/>
        <v>0.56156817084599431</v>
      </c>
      <c r="N80" s="48"/>
      <c r="O80" s="33"/>
      <c r="P80" s="33" t="e">
        <f t="shared" si="6"/>
        <v>#DIV/0!</v>
      </c>
      <c r="Q80" s="29">
        <v>0.85632183908045978</v>
      </c>
      <c r="R80" s="29">
        <v>0.75441289332310058</v>
      </c>
      <c r="S80" s="33"/>
      <c r="T80" s="33"/>
      <c r="U80" s="33"/>
      <c r="V80" s="29"/>
      <c r="W80" s="33">
        <v>0.85117656225650618</v>
      </c>
      <c r="X80" s="33"/>
      <c r="Y80" s="33"/>
      <c r="Z80" s="29">
        <v>0.85355013097029475</v>
      </c>
      <c r="AA80" s="33"/>
      <c r="AB80" s="33"/>
      <c r="AC80" s="33"/>
      <c r="AD80" s="33">
        <v>0.68479999999999996</v>
      </c>
      <c r="AE80" s="33"/>
      <c r="AF80" s="33">
        <v>0.7899408284023669</v>
      </c>
      <c r="AG80" s="29"/>
      <c r="AH80" s="33">
        <f t="shared" si="7"/>
        <v>0.79836704233878797</v>
      </c>
      <c r="AI80" s="33"/>
      <c r="AL80" s="37"/>
      <c r="AM80" s="37">
        <v>0.56156817084599431</v>
      </c>
      <c r="AN80" s="37"/>
      <c r="AO80" s="37">
        <v>0.79836704233878797</v>
      </c>
      <c r="AP80" s="37"/>
    </row>
    <row r="81" spans="1:42" ht="15">
      <c r="A81">
        <v>2011</v>
      </c>
      <c r="B81" s="33">
        <v>0.1588235294117647</v>
      </c>
      <c r="C81" s="33">
        <v>0.69</v>
      </c>
      <c r="D81" s="33"/>
      <c r="E81" s="33">
        <f t="shared" si="4"/>
        <v>0.42441176470588232</v>
      </c>
      <c r="F81" s="33"/>
      <c r="G81" s="33">
        <v>0.57499999999999996</v>
      </c>
      <c r="H81" s="33"/>
      <c r="I81" s="33"/>
      <c r="J81" s="33">
        <v>0.47058823529411764</v>
      </c>
      <c r="K81" s="33"/>
      <c r="L81" s="10">
        <v>0.77909738717339672</v>
      </c>
      <c r="M81" s="33">
        <f t="shared" si="5"/>
        <v>0.60822854082250466</v>
      </c>
      <c r="N81" s="48"/>
      <c r="O81" s="33">
        <v>0.29699999999999999</v>
      </c>
      <c r="P81" s="33">
        <f t="shared" si="6"/>
        <v>0.29699999999999999</v>
      </c>
      <c r="Q81" s="29">
        <v>0.82386363636363635</v>
      </c>
      <c r="R81" s="29">
        <v>0.75943745373797189</v>
      </c>
      <c r="S81" s="33"/>
      <c r="T81" s="33"/>
      <c r="U81" s="33"/>
      <c r="V81" s="29"/>
      <c r="W81" s="33">
        <v>0.85208557795905804</v>
      </c>
      <c r="X81" s="33"/>
      <c r="Y81" s="33"/>
      <c r="Z81" s="29">
        <v>0.87553237101614978</v>
      </c>
      <c r="AA81" s="33"/>
      <c r="AB81" s="33"/>
      <c r="AC81" s="33"/>
      <c r="AD81" s="33"/>
      <c r="AE81" s="33"/>
      <c r="AF81" s="33"/>
      <c r="AG81" s="29"/>
      <c r="AH81" s="33">
        <f t="shared" si="7"/>
        <v>0.82772975976920393</v>
      </c>
      <c r="AI81" s="33"/>
      <c r="AL81" s="37">
        <v>0.42441176470588232</v>
      </c>
      <c r="AM81" s="37">
        <v>0.60822854082250466</v>
      </c>
      <c r="AN81" s="37">
        <v>0.29699999999999999</v>
      </c>
      <c r="AO81" s="37">
        <v>0.82772975976920393</v>
      </c>
      <c r="AP81" s="37"/>
    </row>
    <row r="82" spans="1:42" ht="15">
      <c r="A82">
        <v>2012</v>
      </c>
      <c r="B82" s="33">
        <v>0.17647058823529413</v>
      </c>
      <c r="C82" s="33"/>
      <c r="D82" s="33"/>
      <c r="E82" s="33">
        <f t="shared" si="4"/>
        <v>0.17647058823529413</v>
      </c>
      <c r="F82" s="33"/>
      <c r="G82" s="33"/>
      <c r="H82" s="33"/>
      <c r="I82" s="33"/>
      <c r="J82" s="33">
        <v>0.52631578947368418</v>
      </c>
      <c r="K82" s="33"/>
      <c r="L82" s="10">
        <v>0.77447568049977689</v>
      </c>
      <c r="M82" s="33">
        <f t="shared" si="5"/>
        <v>0.65039573498673053</v>
      </c>
      <c r="N82" s="48"/>
      <c r="O82" s="33">
        <v>0.28899999999999998</v>
      </c>
      <c r="P82" s="33">
        <f t="shared" si="6"/>
        <v>0.28899999999999998</v>
      </c>
      <c r="Q82" s="29">
        <v>0.87730061349693256</v>
      </c>
      <c r="R82" s="29">
        <v>0.75713291579679887</v>
      </c>
      <c r="S82" s="33"/>
      <c r="T82" s="33"/>
      <c r="U82" s="33"/>
      <c r="V82" s="29"/>
      <c r="W82" s="33">
        <v>0.71208720743828147</v>
      </c>
      <c r="X82" s="33"/>
      <c r="Y82" s="33"/>
      <c r="Z82" s="29">
        <v>0.86265542375303705</v>
      </c>
      <c r="AA82" s="33"/>
      <c r="AB82" s="33"/>
      <c r="AC82" s="33"/>
      <c r="AD82" s="33"/>
      <c r="AE82" s="33"/>
      <c r="AF82" s="33"/>
      <c r="AG82" s="29"/>
      <c r="AH82" s="33">
        <f t="shared" si="7"/>
        <v>0.8022940401212626</v>
      </c>
      <c r="AI82" s="33"/>
      <c r="AL82" s="37">
        <v>0.17647058823529413</v>
      </c>
      <c r="AM82" s="37">
        <v>0.65039573498673053</v>
      </c>
      <c r="AN82" s="37">
        <v>0.28899999999999998</v>
      </c>
      <c r="AO82" s="37">
        <v>0.8022940401212626</v>
      </c>
      <c r="AP82" s="37"/>
    </row>
    <row r="83" spans="1:42" ht="15">
      <c r="A83">
        <v>2013</v>
      </c>
      <c r="B83" s="33"/>
      <c r="C83" s="33"/>
      <c r="D83" s="33"/>
      <c r="E83" s="33" t="e">
        <f t="shared" si="4"/>
        <v>#DIV/0!</v>
      </c>
      <c r="F83" s="33"/>
      <c r="G83" s="33"/>
      <c r="H83" s="33"/>
      <c r="I83" s="33"/>
      <c r="J83" s="33">
        <v>0.52083333333333337</v>
      </c>
      <c r="K83" s="33"/>
      <c r="L83" s="10">
        <v>0.78608786610878656</v>
      </c>
      <c r="M83" s="33">
        <f t="shared" si="5"/>
        <v>0.65346059972105996</v>
      </c>
      <c r="N83" s="48"/>
      <c r="O83" s="33">
        <v>0.35099999999999998</v>
      </c>
      <c r="P83" s="33">
        <f t="shared" si="6"/>
        <v>0.35099999999999998</v>
      </c>
      <c r="Q83" s="29">
        <v>0.85526315789473684</v>
      </c>
      <c r="R83" s="29">
        <v>0.76119402985074625</v>
      </c>
      <c r="S83" s="33"/>
      <c r="T83" s="33"/>
      <c r="U83" s="33"/>
      <c r="V83" s="29"/>
      <c r="W83" s="33">
        <v>0.85451713395638629</v>
      </c>
      <c r="X83" s="33"/>
      <c r="Y83" s="33"/>
      <c r="Z83" s="29">
        <v>0.83783332047622727</v>
      </c>
      <c r="AA83" s="33"/>
      <c r="AB83" s="33">
        <v>0.5</v>
      </c>
      <c r="AC83" s="33">
        <v>0.69</v>
      </c>
      <c r="AD83" s="33"/>
      <c r="AE83" s="33"/>
      <c r="AF83" s="33"/>
      <c r="AG83" s="29">
        <v>0.76600000000000001</v>
      </c>
      <c r="AH83" s="33">
        <f t="shared" si="7"/>
        <v>0.7521153774540138</v>
      </c>
      <c r="AI83" s="33"/>
      <c r="AL83" s="37"/>
      <c r="AM83" s="37">
        <v>0.65346059972105996</v>
      </c>
      <c r="AN83" s="37">
        <v>0.35099999999999998</v>
      </c>
      <c r="AO83" s="37">
        <v>0.7521153774540138</v>
      </c>
      <c r="AP83" s="37"/>
    </row>
    <row r="84" spans="1:42" ht="15">
      <c r="A84">
        <v>2014</v>
      </c>
      <c r="B84" s="33"/>
      <c r="C84" s="33"/>
      <c r="D84" s="33"/>
      <c r="E84" s="33" t="e">
        <f t="shared" si="4"/>
        <v>#DIV/0!</v>
      </c>
      <c r="F84" s="33"/>
      <c r="G84" s="33"/>
      <c r="H84" s="33"/>
      <c r="I84" s="33"/>
      <c r="J84" s="33">
        <v>0.45714285714285713</v>
      </c>
      <c r="K84" s="33"/>
      <c r="L84" s="10">
        <v>0.79625151148730355</v>
      </c>
      <c r="M84" s="33">
        <f t="shared" si="5"/>
        <v>0.62669718431508037</v>
      </c>
      <c r="N84" s="48"/>
      <c r="O84" s="33">
        <v>0.39</v>
      </c>
      <c r="P84" s="33">
        <f t="shared" si="6"/>
        <v>0.39</v>
      </c>
      <c r="Q84" s="29">
        <v>0.88135593220338981</v>
      </c>
      <c r="R84" s="29">
        <v>0.75839793281653745</v>
      </c>
      <c r="S84" s="33"/>
      <c r="T84" s="33">
        <v>0.87912087912087911</v>
      </c>
      <c r="U84" s="33"/>
      <c r="V84" s="29"/>
      <c r="W84" s="33">
        <v>0.8633675692499222</v>
      </c>
      <c r="X84" s="33"/>
      <c r="Y84" s="33"/>
      <c r="Z84" s="29">
        <v>0.85495494350461998</v>
      </c>
      <c r="AA84" s="33"/>
      <c r="AB84" s="33"/>
      <c r="AC84" s="33"/>
      <c r="AD84" s="33"/>
      <c r="AE84" s="33"/>
      <c r="AF84" s="33"/>
      <c r="AG84" s="48"/>
      <c r="AH84" s="33">
        <f t="shared" si="7"/>
        <v>0.84743945137906951</v>
      </c>
      <c r="AI84" s="33"/>
      <c r="AL84" s="37"/>
      <c r="AM84" s="37">
        <v>0.62669718431508037</v>
      </c>
      <c r="AN84" s="37">
        <v>0.39</v>
      </c>
      <c r="AO84" s="37">
        <v>0.84743945137906951</v>
      </c>
      <c r="AP84" s="37"/>
    </row>
    <row r="85" spans="1:42" ht="15">
      <c r="A85">
        <v>2015</v>
      </c>
      <c r="B85" s="33"/>
      <c r="C85" s="33"/>
      <c r="D85" s="33"/>
      <c r="E85" s="33" t="e">
        <f t="shared" si="4"/>
        <v>#DIV/0!</v>
      </c>
      <c r="F85" s="33"/>
      <c r="G85" s="33"/>
      <c r="H85" s="33"/>
      <c r="I85" s="33"/>
      <c r="J85" s="33">
        <v>0.3125</v>
      </c>
      <c r="K85" s="33"/>
      <c r="L85" s="10">
        <v>0.79152884227511089</v>
      </c>
      <c r="M85" s="33">
        <f t="shared" si="5"/>
        <v>0.5520144211375555</v>
      </c>
      <c r="N85" s="48"/>
      <c r="O85" s="33">
        <v>0.38600000000000001</v>
      </c>
      <c r="P85" s="33">
        <f t="shared" si="6"/>
        <v>0.38600000000000001</v>
      </c>
      <c r="Q85" s="29">
        <v>0.82278481012658233</v>
      </c>
      <c r="R85" s="29">
        <v>0.75866495507060339</v>
      </c>
      <c r="S85" s="33"/>
      <c r="T85" s="33"/>
      <c r="U85" s="33"/>
      <c r="V85" s="29"/>
      <c r="W85" s="33">
        <v>0.86546943919344677</v>
      </c>
      <c r="X85" s="33"/>
      <c r="Y85" s="33"/>
      <c r="Z85" s="29">
        <v>0.89269687008718024</v>
      </c>
      <c r="AA85" s="33"/>
      <c r="AB85" s="33"/>
      <c r="AC85" s="33"/>
      <c r="AD85" s="33">
        <v>0.71919342793129204</v>
      </c>
      <c r="AE85" s="33"/>
      <c r="AF85" s="33"/>
      <c r="AG85" s="48"/>
      <c r="AH85" s="33">
        <f t="shared" si="7"/>
        <v>0.81176190048182095</v>
      </c>
      <c r="AI85" s="33"/>
      <c r="AL85" s="37"/>
      <c r="AM85" s="37">
        <v>0.5520144211375555</v>
      </c>
      <c r="AN85" s="37">
        <v>0.38600000000000001</v>
      </c>
      <c r="AO85" s="37">
        <v>0.81176190048182095</v>
      </c>
      <c r="AP85" s="37"/>
    </row>
    <row r="86" spans="1:42" ht="15">
      <c r="A86">
        <v>2016</v>
      </c>
      <c r="B86" s="33"/>
      <c r="C86" s="33"/>
      <c r="D86" s="33"/>
      <c r="E86" s="33" t="e">
        <f t="shared" si="4"/>
        <v>#DIV/0!</v>
      </c>
      <c r="F86" s="33"/>
      <c r="G86" s="33"/>
      <c r="H86" s="33"/>
      <c r="I86" s="33"/>
      <c r="J86" s="33">
        <v>0.50909090909090904</v>
      </c>
      <c r="K86" s="33"/>
      <c r="L86" s="10">
        <v>0.80034956701358539</v>
      </c>
      <c r="M86" s="33">
        <f t="shared" si="5"/>
        <v>0.65472023805224722</v>
      </c>
      <c r="N86" s="48"/>
      <c r="O86" s="33">
        <v>0.38600000000000001</v>
      </c>
      <c r="P86" s="33">
        <f t="shared" si="6"/>
        <v>0.38600000000000001</v>
      </c>
      <c r="Q86" s="29">
        <v>0.78846153846153844</v>
      </c>
      <c r="R86" s="29">
        <v>0.7696629213483146</v>
      </c>
      <c r="S86" s="33"/>
      <c r="T86" s="33">
        <v>0.88586956521739135</v>
      </c>
      <c r="U86" s="33"/>
      <c r="V86" s="29"/>
      <c r="W86" s="33">
        <v>0.85640056683986776</v>
      </c>
      <c r="X86" s="33"/>
      <c r="Y86" s="33"/>
      <c r="Z86" s="29">
        <v>0.81647543028186575</v>
      </c>
      <c r="AA86" s="33"/>
      <c r="AB86" s="33"/>
      <c r="AC86" s="33"/>
      <c r="AD86" s="33">
        <v>0.72753164556962024</v>
      </c>
      <c r="AE86" s="33"/>
      <c r="AF86" s="33"/>
      <c r="AG86" s="48"/>
      <c r="AH86" s="33">
        <f t="shared" si="7"/>
        <v>0.80740027795309965</v>
      </c>
      <c r="AI86" s="33"/>
      <c r="AL86" s="37"/>
      <c r="AM86" s="37">
        <v>0.65472023805224722</v>
      </c>
      <c r="AN86" s="37">
        <v>0.38600000000000001</v>
      </c>
      <c r="AO86" s="37">
        <v>0.80740027795309965</v>
      </c>
      <c r="AP86" s="37"/>
    </row>
    <row r="87" spans="1:42" ht="15">
      <c r="A87">
        <v>2017</v>
      </c>
      <c r="B87" s="33"/>
      <c r="C87" s="33"/>
      <c r="D87" s="33"/>
      <c r="E87" s="33" t="e">
        <f t="shared" si="4"/>
        <v>#DIV/0!</v>
      </c>
      <c r="F87" s="33"/>
      <c r="G87" s="33"/>
      <c r="H87" s="33"/>
      <c r="I87" s="33"/>
      <c r="J87" s="33">
        <v>0.54166666666666663</v>
      </c>
      <c r="K87" s="33"/>
      <c r="L87" s="10">
        <v>0.80513784461152882</v>
      </c>
      <c r="M87" s="33">
        <f t="shared" si="5"/>
        <v>0.67340225563909772</v>
      </c>
      <c r="N87" s="33">
        <v>0.52200000000000002</v>
      </c>
      <c r="O87" s="33">
        <v>0.39</v>
      </c>
      <c r="P87" s="33">
        <f t="shared" si="6"/>
        <v>0.45600000000000002</v>
      </c>
      <c r="Q87" s="33">
        <v>0.78621834786218348</v>
      </c>
      <c r="R87" s="33"/>
      <c r="S87" s="33"/>
      <c r="T87" s="33"/>
      <c r="U87" s="33"/>
      <c r="V87" s="30">
        <v>0.75</v>
      </c>
      <c r="W87" s="33">
        <v>0.87092198581560287</v>
      </c>
      <c r="X87" s="33"/>
      <c r="Y87" s="33"/>
      <c r="Z87" s="30">
        <v>0.93132771187651864</v>
      </c>
      <c r="AA87" s="33"/>
      <c r="AB87" s="33"/>
      <c r="AC87" s="33"/>
      <c r="AD87" s="33">
        <v>0.74209926432494044</v>
      </c>
      <c r="AE87" s="33"/>
      <c r="AF87" s="33"/>
      <c r="AG87" s="48"/>
      <c r="AH87" s="33">
        <f t="shared" si="7"/>
        <v>0.816113461975849</v>
      </c>
      <c r="AI87" s="33"/>
      <c r="AL87" s="37"/>
      <c r="AM87" s="37">
        <v>0.67340225563909772</v>
      </c>
      <c r="AN87" s="37">
        <v>0.45600000000000002</v>
      </c>
      <c r="AO87" s="37">
        <v>0.816113461975849</v>
      </c>
      <c r="AP87" s="37"/>
    </row>
    <row r="88" spans="1:42" ht="15">
      <c r="A88">
        <v>2018</v>
      </c>
      <c r="B88" s="33"/>
      <c r="C88" s="33"/>
      <c r="D88" s="33"/>
      <c r="E88" s="33" t="e">
        <f t="shared" si="4"/>
        <v>#DIV/0!</v>
      </c>
      <c r="F88" s="33"/>
      <c r="G88" s="33"/>
      <c r="H88" s="33"/>
      <c r="I88" s="33"/>
      <c r="J88" s="33"/>
      <c r="K88" s="33"/>
      <c r="L88" s="10">
        <v>0.80497190795043483</v>
      </c>
      <c r="M88" s="33">
        <f t="shared" si="5"/>
        <v>0.80497190795043483</v>
      </c>
      <c r="N88" s="48"/>
      <c r="O88" s="33">
        <v>0.46899999999999997</v>
      </c>
      <c r="P88" s="33">
        <f t="shared" si="6"/>
        <v>0.46899999999999997</v>
      </c>
      <c r="Q88" s="33">
        <v>0.78357570573139435</v>
      </c>
      <c r="R88" s="33"/>
      <c r="S88" s="33"/>
      <c r="T88" s="33"/>
      <c r="U88" s="33">
        <v>0.92276422764227639</v>
      </c>
      <c r="V88" s="29"/>
      <c r="W88" s="33">
        <v>0.85440552850636098</v>
      </c>
      <c r="X88" s="33">
        <v>0.75</v>
      </c>
      <c r="Y88" s="33">
        <v>0.86</v>
      </c>
      <c r="Z88" s="29">
        <v>0.86691398979475565</v>
      </c>
      <c r="AA88" s="33"/>
      <c r="AB88" s="33"/>
      <c r="AC88" s="33"/>
      <c r="AD88" s="33">
        <v>0.75098241985522229</v>
      </c>
      <c r="AE88" s="33">
        <v>0.91</v>
      </c>
      <c r="AF88" s="33"/>
      <c r="AG88" s="48"/>
      <c r="AH88" s="33">
        <f t="shared" si="7"/>
        <v>0.83733023394125128</v>
      </c>
      <c r="AI88" s="33"/>
      <c r="AL88" s="37"/>
      <c r="AM88" s="37">
        <v>0.80497190795043483</v>
      </c>
      <c r="AN88" s="37">
        <v>0.46899999999999997</v>
      </c>
      <c r="AO88" s="37">
        <v>0.83733023394125128</v>
      </c>
      <c r="AP88" s="37"/>
    </row>
    <row r="89" spans="1:42" ht="15">
      <c r="A89">
        <v>2019</v>
      </c>
      <c r="B89" s="33"/>
      <c r="C89" s="33"/>
      <c r="D89" s="33"/>
      <c r="E89" s="33" t="e">
        <f t="shared" si="4"/>
        <v>#DIV/0!</v>
      </c>
      <c r="F89" s="33"/>
      <c r="G89" s="33"/>
      <c r="H89" s="33"/>
      <c r="I89" s="33"/>
      <c r="J89" s="33"/>
      <c r="K89" s="33"/>
      <c r="L89" s="10">
        <v>0.81499999999999995</v>
      </c>
      <c r="M89" s="33">
        <f t="shared" si="5"/>
        <v>0.81499999999999995</v>
      </c>
      <c r="N89" s="33">
        <v>0.54800000000000004</v>
      </c>
      <c r="O89" s="33">
        <v>0.45100000000000001</v>
      </c>
      <c r="P89" s="33">
        <f t="shared" si="6"/>
        <v>0.49950000000000006</v>
      </c>
      <c r="Q89" s="33">
        <v>0.78085018572018161</v>
      </c>
      <c r="R89" s="33"/>
      <c r="S89" s="33"/>
      <c r="T89" s="33"/>
      <c r="U89" s="33">
        <v>0.92682926829268297</v>
      </c>
      <c r="V89" s="29"/>
      <c r="W89" s="33">
        <v>0.85631372549019613</v>
      </c>
      <c r="X89" s="33"/>
      <c r="Y89" s="33"/>
      <c r="Z89" s="29">
        <v>0.79559740259740264</v>
      </c>
      <c r="AA89" s="33"/>
      <c r="AB89" s="33"/>
      <c r="AC89" s="33"/>
      <c r="AD89" s="33">
        <v>0.75948062654575432</v>
      </c>
      <c r="AE89" s="33"/>
      <c r="AF89" s="33"/>
      <c r="AG89" s="48"/>
      <c r="AH89" s="33">
        <f t="shared" si="7"/>
        <v>0.82381424172924367</v>
      </c>
      <c r="AI89" s="33"/>
      <c r="AL89" s="37"/>
      <c r="AM89" s="37">
        <v>0.81499999999999995</v>
      </c>
      <c r="AN89" s="37">
        <v>0.49950000000000006</v>
      </c>
      <c r="AO89" s="37">
        <v>0.82381424172924367</v>
      </c>
      <c r="AP89" s="37"/>
    </row>
    <row r="90" spans="1:42" ht="15">
      <c r="A90">
        <v>2020</v>
      </c>
      <c r="B90" s="33"/>
      <c r="C90" s="33"/>
      <c r="D90" s="33"/>
      <c r="E90" s="33" t="e">
        <f t="shared" si="4"/>
        <v>#DIV/0!</v>
      </c>
      <c r="F90" s="33"/>
      <c r="G90" s="33"/>
      <c r="H90" s="33"/>
      <c r="I90" s="33"/>
      <c r="J90" s="33"/>
      <c r="K90" s="33"/>
      <c r="L90" s="10">
        <v>0.81799999999999995</v>
      </c>
      <c r="M90" s="33">
        <f t="shared" si="5"/>
        <v>0.81799999999999995</v>
      </c>
      <c r="N90" s="33">
        <v>0.55700000000000005</v>
      </c>
      <c r="O90" s="33">
        <v>0.45400000000000001</v>
      </c>
      <c r="P90" s="33">
        <f t="shared" si="6"/>
        <v>0.50550000000000006</v>
      </c>
      <c r="Q90" s="33">
        <v>0.7847588163761654</v>
      </c>
      <c r="R90" s="33"/>
      <c r="S90" s="33">
        <v>0.81679999999999997</v>
      </c>
      <c r="T90" s="33"/>
      <c r="U90" s="33">
        <v>0.91967871485943775</v>
      </c>
      <c r="V90" s="29">
        <v>0.73542600896860999</v>
      </c>
      <c r="W90" s="33">
        <v>0.860610806577917</v>
      </c>
      <c r="X90" s="33"/>
      <c r="Y90" s="33"/>
      <c r="Z90" s="29">
        <v>0.8469101123595506</v>
      </c>
      <c r="AA90" s="33">
        <v>0.8</v>
      </c>
      <c r="AB90" s="33"/>
      <c r="AC90" s="33"/>
      <c r="AD90" s="33">
        <v>0.76557191392978485</v>
      </c>
      <c r="AE90" s="33"/>
      <c r="AF90" s="33"/>
      <c r="AG90" s="48"/>
      <c r="AH90" s="33">
        <f t="shared" si="7"/>
        <v>0.81621954663393315</v>
      </c>
      <c r="AI90" s="33"/>
      <c r="AL90" s="37"/>
      <c r="AM90" s="37">
        <v>0.81799999999999995</v>
      </c>
      <c r="AN90" s="37">
        <v>0.50550000000000006</v>
      </c>
      <c r="AO90" s="37">
        <v>0.81621954663393315</v>
      </c>
      <c r="AP90" s="37"/>
    </row>
    <row r="91" spans="1:42">
      <c r="A91">
        <v>2021</v>
      </c>
      <c r="B91" s="33"/>
      <c r="C91" s="33"/>
      <c r="D91" s="33"/>
      <c r="E91" s="33" t="e">
        <f t="shared" si="4"/>
        <v>#DIV/0!</v>
      </c>
      <c r="F91" s="33"/>
      <c r="G91" s="33"/>
      <c r="H91" s="33"/>
      <c r="I91" s="33"/>
      <c r="J91" s="33"/>
      <c r="K91" s="33"/>
      <c r="L91" s="33"/>
      <c r="M91" s="33" t="e">
        <f t="shared" si="5"/>
        <v>#DIV/0!</v>
      </c>
      <c r="N91" s="33"/>
      <c r="O91" s="33"/>
      <c r="P91" s="33" t="e">
        <f t="shared" si="6"/>
        <v>#DIV/0!</v>
      </c>
      <c r="Q91" s="33">
        <v>0.79336530775379699</v>
      </c>
      <c r="R91" s="33"/>
      <c r="S91" s="33"/>
      <c r="T91" s="33"/>
      <c r="U91" s="33">
        <v>0.91949152542372881</v>
      </c>
      <c r="V91" s="33">
        <v>0.74193548387096797</v>
      </c>
      <c r="W91" s="33">
        <v>0.8650917003419335</v>
      </c>
      <c r="X91" s="33">
        <v>0.75</v>
      </c>
      <c r="Y91" s="33"/>
      <c r="Z91" s="33"/>
      <c r="AA91" s="33"/>
      <c r="AB91" s="33"/>
      <c r="AC91" s="33"/>
      <c r="AD91" s="33">
        <v>0.76</v>
      </c>
      <c r="AE91" s="33"/>
      <c r="AF91" s="33"/>
      <c r="AG91" s="33">
        <v>0.77</v>
      </c>
      <c r="AH91" s="33">
        <f t="shared" si="7"/>
        <v>0.79998343105577518</v>
      </c>
      <c r="AI91" s="33"/>
      <c r="AL91" s="37"/>
      <c r="AM91" s="37"/>
      <c r="AN91" s="37"/>
      <c r="AO91" s="37">
        <v>0.79998343105577518</v>
      </c>
      <c r="AP91" s="37"/>
    </row>
    <row r="92" spans="1:42">
      <c r="A92">
        <v>2022</v>
      </c>
      <c r="B92" s="33"/>
      <c r="C92" s="33"/>
      <c r="D92" s="33"/>
      <c r="E92" s="33" t="e">
        <f t="shared" si="4"/>
        <v>#DIV/0!</v>
      </c>
      <c r="F92" s="33"/>
      <c r="G92" s="33"/>
      <c r="H92" s="33"/>
      <c r="I92" s="33"/>
      <c r="J92" s="33"/>
      <c r="K92" s="33"/>
      <c r="L92" s="33"/>
      <c r="M92" s="33" t="e">
        <f t="shared" si="5"/>
        <v>#DIV/0!</v>
      </c>
      <c r="N92" s="33"/>
      <c r="O92" s="33"/>
      <c r="P92" s="33" t="e">
        <f t="shared" si="6"/>
        <v>#DIV/0!</v>
      </c>
      <c r="Q92" s="33">
        <v>0.77875049741345004</v>
      </c>
      <c r="R92" s="33"/>
      <c r="S92" s="33"/>
      <c r="T92" s="33"/>
      <c r="U92" s="33">
        <v>0.89583333333333337</v>
      </c>
      <c r="V92" s="33">
        <v>0.77210574293527801</v>
      </c>
      <c r="W92" s="33">
        <v>0.87014203215233343</v>
      </c>
      <c r="X92" s="33"/>
      <c r="Y92" s="33"/>
      <c r="Z92" s="30">
        <v>0.92</v>
      </c>
      <c r="AA92" s="33"/>
      <c r="AB92" s="33"/>
      <c r="AC92" s="33"/>
      <c r="AD92" s="33"/>
      <c r="AE92" s="33"/>
      <c r="AF92" s="33"/>
      <c r="AG92" s="33"/>
      <c r="AH92" s="33">
        <f t="shared" si="7"/>
        <v>0.84736632116687893</v>
      </c>
      <c r="AI92" s="33"/>
      <c r="AL92" s="37"/>
      <c r="AM92" s="37"/>
      <c r="AN92" s="37"/>
      <c r="AO92" s="37">
        <v>0.84736632116687893</v>
      </c>
      <c r="AP92" s="37"/>
    </row>
    <row r="93" spans="1:42">
      <c r="A93">
        <v>2023</v>
      </c>
      <c r="B93" s="33"/>
      <c r="C93" s="33"/>
      <c r="D93" s="33"/>
      <c r="E93" s="33" t="e">
        <f t="shared" si="4"/>
        <v>#DIV/0!</v>
      </c>
      <c r="F93" s="30">
        <v>0.7</v>
      </c>
      <c r="G93" s="33"/>
      <c r="H93" s="33"/>
      <c r="I93" s="33"/>
      <c r="J93" s="33"/>
      <c r="K93" s="33"/>
      <c r="L93" s="33"/>
      <c r="M93" s="33">
        <f t="shared" si="5"/>
        <v>0.7</v>
      </c>
      <c r="N93" s="33"/>
      <c r="O93" s="33"/>
      <c r="P93" s="33" t="e">
        <f t="shared" si="6"/>
        <v>#DIV/0!</v>
      </c>
      <c r="Q93" s="33"/>
      <c r="R93" s="33"/>
      <c r="S93" s="33"/>
      <c r="T93" s="33"/>
      <c r="U93" s="33">
        <v>0.871</v>
      </c>
      <c r="V93" s="33"/>
      <c r="W93" s="33">
        <v>0.87161109379869117</v>
      </c>
      <c r="X93" s="33"/>
      <c r="Y93" s="33"/>
      <c r="Z93" s="30">
        <v>0.92700000000000005</v>
      </c>
      <c r="AA93" s="33"/>
      <c r="AB93" s="33"/>
      <c r="AC93" s="33"/>
      <c r="AD93" s="33"/>
      <c r="AE93" s="33"/>
      <c r="AF93" s="33"/>
      <c r="AG93" s="33"/>
      <c r="AH93" s="33">
        <f t="shared" si="7"/>
        <v>0.8898703645995637</v>
      </c>
      <c r="AI93" s="33"/>
      <c r="AL93" s="37"/>
      <c r="AM93" s="37">
        <v>0.7</v>
      </c>
      <c r="AN93" s="37"/>
      <c r="AO93" s="37">
        <v>0.8898703645995637</v>
      </c>
      <c r="AP93" s="37"/>
    </row>
    <row r="94" spans="1:42">
      <c r="A94">
        <v>2024</v>
      </c>
      <c r="B94" s="33"/>
      <c r="C94" s="33"/>
      <c r="D94" s="33"/>
      <c r="E94" s="33" t="e">
        <f t="shared" si="4"/>
        <v>#DIV/0!</v>
      </c>
      <c r="F94" s="30">
        <v>0.79</v>
      </c>
      <c r="G94" s="33"/>
      <c r="H94" s="33"/>
      <c r="I94" s="33"/>
      <c r="J94" s="33"/>
      <c r="K94" s="33"/>
      <c r="L94" s="33"/>
      <c r="M94" s="33">
        <f t="shared" si="5"/>
        <v>0.79</v>
      </c>
      <c r="N94" s="33"/>
      <c r="O94" s="33"/>
      <c r="P94" s="33" t="e">
        <f t="shared" si="6"/>
        <v>#DIV/0!</v>
      </c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 t="e">
        <f t="shared" si="7"/>
        <v>#DIV/0!</v>
      </c>
      <c r="AI94" s="33">
        <v>0.51313061506565305</v>
      </c>
      <c r="AL94" s="37"/>
      <c r="AM94" s="37">
        <v>0.79</v>
      </c>
      <c r="AN94" s="37"/>
      <c r="AO94" s="37"/>
      <c r="AP94" s="37">
        <v>0.51313061506565305</v>
      </c>
    </row>
    <row r="95" spans="1:42"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L95" s="37"/>
      <c r="AM95" s="37"/>
      <c r="AN95" s="37"/>
      <c r="AO95" s="37"/>
      <c r="AP95" s="37"/>
    </row>
    <row r="96" spans="1:42"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</row>
    <row r="97" spans="2:35"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</row>
  </sheetData>
  <mergeCells count="5">
    <mergeCell ref="AI1:AJ1"/>
    <mergeCell ref="Q1:AH1"/>
    <mergeCell ref="B1:E1"/>
    <mergeCell ref="F1:M1"/>
    <mergeCell ref="N1:P1"/>
  </mergeCells>
  <hyperlinks>
    <hyperlink ref="L38" r:id="rId1" display="https://www.jstor.org/stable/pdf/20676846.pdf?refreqid=excelsior%3A67279bcca727c64ef8ca5cd50e1f7ff5" xr:uid="{5375EE67-7EFD-4BFB-A3D3-4BD0DE3EFC09}"/>
    <hyperlink ref="L45" r:id="rId2" display="https://www.jstor.org/stable/pdf/20676846.pdf?refreqid=excelsior%3A67279bcca727c64ef8ca5cd50e1f7ff5" xr:uid="{E0B44791-5D98-429B-A2EA-B3D7A1E62F14}"/>
    <hyperlink ref="L39" r:id="rId3" display="https://pubmed.ncbi.nlm.nih.gov/23050383/" xr:uid="{383565A9-7986-465A-AACB-3D656B556F22}"/>
    <hyperlink ref="AG40" r:id="rId4" display="https://veterina.com.hr/?p=65885" xr:uid="{FCD51BA4-1E82-478D-9846-9A1B772CF898}"/>
    <hyperlink ref="AG52" r:id="rId5" display="https://veterina.com.hr/?p=65885" xr:uid="{B9884BF6-509A-4BD9-BB2E-28AEBFFF2D4D}"/>
    <hyperlink ref="AC45" r:id="rId6" display="https://veterina.com.hr/?p=65885" xr:uid="{B891E466-04D1-4894-8566-967984384ABA}"/>
    <hyperlink ref="AC24" r:id="rId7" display="https://veterina.com.hr/?p=65885" xr:uid="{B261A1CB-4A60-462B-A9B9-447A2DF44467}"/>
    <hyperlink ref="V60" r:id="rId8" display="https://www.cairn.info/revue-formation-emploi-2020-3-page-93.htm" xr:uid="{A400C369-7E4E-4DD7-9A99-0F8B692F08F6}"/>
    <hyperlink ref="V87" r:id="rId9" display="https://journals.openedition.org/formationemploi/8487?lang=fr" xr:uid="{EFDADD1E-A1C3-4FBF-8DB8-B4CC67105114}"/>
    <hyperlink ref="Z39" r:id="rId10" display="https://www.nmbu.no/download/file/fid/32021../Downloads/veterinaerstudiets_omslag_fra_mannsstudium_til_kvinnestudium_-_ide_til_forskningsprosjekt_-_revidert_2017.pdf" xr:uid="{9B147CDC-F3DB-4D1D-A11D-C9135C9A119C}"/>
    <hyperlink ref="Z87" r:id="rId11" display="https://www.nrk.no/norge/studier-med-skjev-kjonnsbalanse-kan-igjen-gi-tilleggspoeng-1.13895281" xr:uid="{C25C325B-FFDC-40E1-97FD-5A80F034D80E}"/>
    <hyperlink ref="Z92" r:id="rId12" display="https://www.khrono.no/faerre-menn-i-kvinnestudier-kjonnspoeng-hjelper-lite/796855" xr:uid="{1A4E0611-CC3A-49EE-BA7D-917502D38746}"/>
    <hyperlink ref="Z93" r:id="rId13" display="https://www.khrono.no/faerre-menn-i-kvinnestudier-kjonnspoeng-hjelper-lite/796855" xr:uid="{9EC6668D-5CEA-4E2C-982A-49731E2DF583}"/>
    <hyperlink ref="F94" r:id="rId14" display="https://vetmarketportal.com.ar/nota/2965/casi-el-80--de-las-nuevas-generaciones-de-profesionales-de-la-medicina-veterinaria-son-mujeres" xr:uid="{F43E21C1-19AA-4FEF-9E34-76CC72D0192B}"/>
    <hyperlink ref="F93" r:id="rId15" display="https://vetmarketportal.com.ar/nota/2303/las-mujeres-son-mayoria-en-la-profesion-veterinaria/" xr:uid="{E6AAE722-EBCC-489F-9F2E-F305E48FA8DF}"/>
    <hyperlink ref="F30" r:id="rId16" display="https://vetmarketportal.com.ar/nota/2303/las-mujeres-son-mayoria-en-la-profesion-veterinaria/" xr:uid="{944631A3-D9E7-46DF-955B-B0A6F545B860}"/>
    <hyperlink ref="F31" r:id="rId17" display="https://vetmarketportal.com.ar/nota/2303/las-mujeres-son-mayoria-en-la-profesion-veterinaria/" xr:uid="{BA45FC1D-735A-4607-8E9C-64CDDA859297}"/>
    <hyperlink ref="F32" r:id="rId18" display="https://vetmarketportal.com.ar/nota/2303/las-mujeres-son-mayoria-en-la-profesion-veterinaria/" xr:uid="{D75F89E4-A833-4D9F-A59B-C21029B2F19B}"/>
    <hyperlink ref="F33" r:id="rId19" display="https://vetmarketportal.com.ar/nota/2303/las-mujeres-son-mayoria-en-la-profesion-veterinaria/" xr:uid="{62A2A9AB-44E3-4E6F-AB3C-B9100DB312A8}"/>
    <hyperlink ref="F34" r:id="rId20" display="https://vetmarketportal.com.ar/nota/2303/las-mujeres-son-mayoria-en-la-profesion-veterinaria/" xr:uid="{BA05898A-3A07-41F7-BB60-2835F6FCE202}"/>
    <hyperlink ref="F35" r:id="rId21" display="https://vetmarketportal.com.ar/nota/2303/las-mujeres-son-mayoria-en-la-profesion-veterinaria/" xr:uid="{9D990095-CC87-48DA-B0E3-0C80B6242E66}"/>
    <hyperlink ref="F36" r:id="rId22" display="https://vetmarketportal.com.ar/nota/2303/las-mujeres-son-mayoria-en-la-profesion-veterinaria/" xr:uid="{F74652CA-600F-4DBC-A056-C5D7C3119B2E}"/>
    <hyperlink ref="F37" r:id="rId23" display="https://vetmarketportal.com.ar/nota/2303/las-mujeres-son-mayoria-en-la-profesion-veterinaria/" xr:uid="{7F1BF979-1143-415E-858B-B2F69EA67EBF}"/>
    <hyperlink ref="F38" r:id="rId24" display="https://vetmarketportal.com.ar/nota/2303/las-mujeres-son-mayoria-en-la-profesion-veterinaria/" xr:uid="{4B6D22D1-2349-4373-9F1B-682B2195D1AA}"/>
    <hyperlink ref="F39" r:id="rId25" display="https://vetmarketportal.com.ar/nota/2303/las-mujeres-son-mayoria-en-la-profesion-veterinaria/" xr:uid="{58C3FAB3-C7CA-4B5A-A0B6-A719F98D3557}"/>
    <hyperlink ref="F40" r:id="rId26" display="https://vetmarketportal.com.ar/nota/2303/las-mujeres-son-mayoria-en-la-profesion-veterinaria/" xr:uid="{CCAF11B9-CCC6-4DB6-99F9-3074914ABCD9}"/>
    <hyperlink ref="F41" r:id="rId27" display="https://vetmarketportal.com.ar/nota/2303/las-mujeres-son-mayoria-en-la-profesion-veterinaria/" xr:uid="{125D478D-CB47-4CFA-AACA-5FE781FA0F0F}"/>
  </hyperlinks>
  <pageMargins left="0.7" right="0.7" top="0.75" bottom="0.75" header="0.3" footer="0.3"/>
  <drawing r:id="rId28"/>
  <legacyDrawing r:id="rId29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51"/>
  <sheetViews>
    <sheetView workbookViewId="0">
      <pane xSplit="1" ySplit="3" topLeftCell="B28" activePane="bottomRight" state="frozen"/>
      <selection pane="topRight" activeCell="B1" sqref="B1"/>
      <selection pane="bottomLeft" activeCell="A4" sqref="A4"/>
      <selection pane="bottomRight" activeCell="F48" sqref="F43:F48"/>
    </sheetView>
  </sheetViews>
  <sheetFormatPr defaultRowHeight="14.4"/>
  <cols>
    <col min="1" max="1" width="5" style="1" customWidth="1"/>
    <col min="2" max="5" width="9.109375" style="1"/>
  </cols>
  <sheetData>
    <row r="1" spans="1:6">
      <c r="A1" s="53" t="s">
        <v>0</v>
      </c>
      <c r="B1" s="53" t="s">
        <v>75</v>
      </c>
      <c r="C1" s="53"/>
      <c r="D1" s="53"/>
      <c r="E1" s="53"/>
    </row>
    <row r="2" spans="1:6">
      <c r="A2" s="53"/>
      <c r="B2" s="1" t="s">
        <v>16</v>
      </c>
      <c r="C2" s="53" t="s">
        <v>32</v>
      </c>
      <c r="D2" s="53"/>
      <c r="E2" s="53"/>
      <c r="F2" t="s">
        <v>23</v>
      </c>
    </row>
    <row r="3" spans="1:6">
      <c r="A3" s="53"/>
      <c r="B3" s="1" t="s">
        <v>33</v>
      </c>
      <c r="C3" s="1" t="s">
        <v>34</v>
      </c>
      <c r="D3" s="1" t="s">
        <v>35</v>
      </c>
      <c r="E3" s="1" t="s">
        <v>33</v>
      </c>
      <c r="F3" s="1" t="s">
        <v>3</v>
      </c>
    </row>
    <row r="4" spans="1:6">
      <c r="A4" s="1">
        <v>1979</v>
      </c>
      <c r="B4" s="29"/>
      <c r="E4" s="29">
        <v>0.09</v>
      </c>
      <c r="F4" s="29"/>
    </row>
    <row r="5" spans="1:6">
      <c r="A5" s="1">
        <v>1980</v>
      </c>
      <c r="B5" s="29"/>
      <c r="E5" s="29"/>
      <c r="F5" s="29"/>
    </row>
    <row r="6" spans="1:6">
      <c r="A6" s="1">
        <v>1981</v>
      </c>
      <c r="B6" s="29"/>
      <c r="E6" s="29"/>
      <c r="F6" s="29"/>
    </row>
    <row r="7" spans="1:6">
      <c r="A7" s="1">
        <v>1982</v>
      </c>
      <c r="B7" s="29"/>
      <c r="E7" s="29"/>
      <c r="F7" s="29"/>
    </row>
    <row r="8" spans="1:6">
      <c r="A8" s="1">
        <v>1983</v>
      </c>
      <c r="B8" s="29"/>
      <c r="E8" s="29"/>
      <c r="F8" s="29"/>
    </row>
    <row r="9" spans="1:6">
      <c r="A9" s="1">
        <v>1984</v>
      </c>
      <c r="B9" s="29"/>
      <c r="E9" s="29"/>
      <c r="F9" s="29"/>
    </row>
    <row r="10" spans="1:6">
      <c r="A10" s="1">
        <v>1985</v>
      </c>
      <c r="B10" s="29"/>
      <c r="E10" s="29"/>
      <c r="F10" s="29"/>
    </row>
    <row r="11" spans="1:6">
      <c r="A11" s="1">
        <v>1986</v>
      </c>
      <c r="B11" s="29"/>
      <c r="E11" s="29"/>
      <c r="F11" s="29"/>
    </row>
    <row r="12" spans="1:6">
      <c r="A12" s="1">
        <v>1987</v>
      </c>
      <c r="B12" s="29"/>
      <c r="E12" s="29"/>
      <c r="F12" s="29"/>
    </row>
    <row r="13" spans="1:6">
      <c r="A13" s="1">
        <v>1988</v>
      </c>
      <c r="B13" s="29"/>
      <c r="E13" s="29"/>
      <c r="F13" s="29"/>
    </row>
    <row r="14" spans="1:6">
      <c r="A14" s="1">
        <v>1989</v>
      </c>
      <c r="B14" s="29"/>
      <c r="E14" s="29"/>
      <c r="F14" s="29"/>
    </row>
    <row r="15" spans="1:6">
      <c r="A15" s="1">
        <v>1990</v>
      </c>
      <c r="B15" s="29"/>
      <c r="E15" s="29"/>
      <c r="F15" s="29"/>
    </row>
    <row r="16" spans="1:6">
      <c r="A16" s="1">
        <v>1991</v>
      </c>
      <c r="B16" s="29"/>
      <c r="E16" s="29"/>
      <c r="F16" s="29"/>
    </row>
    <row r="17" spans="1:6">
      <c r="A17" s="1">
        <v>1992</v>
      </c>
      <c r="B17" s="29"/>
      <c r="E17" s="29"/>
      <c r="F17" s="29"/>
    </row>
    <row r="18" spans="1:6">
      <c r="A18" s="1">
        <v>1993</v>
      </c>
      <c r="B18" s="29"/>
      <c r="E18" s="29"/>
      <c r="F18" s="29"/>
    </row>
    <row r="19" spans="1:6">
      <c r="A19" s="1">
        <v>1994</v>
      </c>
      <c r="B19" s="29"/>
      <c r="E19" s="29"/>
      <c r="F19" s="29"/>
    </row>
    <row r="20" spans="1:6">
      <c r="A20" s="1">
        <v>1995</v>
      </c>
      <c r="B20" s="29"/>
      <c r="E20" s="29"/>
      <c r="F20" s="29"/>
    </row>
    <row r="21" spans="1:6">
      <c r="A21" s="1">
        <v>1996</v>
      </c>
      <c r="B21" s="29"/>
      <c r="E21" s="29"/>
      <c r="F21" s="29"/>
    </row>
    <row r="22" spans="1:6">
      <c r="A22" s="1">
        <v>1997</v>
      </c>
      <c r="B22" s="29"/>
      <c r="E22" s="29"/>
      <c r="F22" s="29"/>
    </row>
    <row r="23" spans="1:6">
      <c r="A23" s="1">
        <v>1998</v>
      </c>
      <c r="B23" s="29"/>
      <c r="E23" s="29"/>
      <c r="F23" s="29"/>
    </row>
    <row r="24" spans="1:6">
      <c r="A24" s="1">
        <v>1999</v>
      </c>
      <c r="B24" s="29"/>
      <c r="E24" s="29"/>
      <c r="F24" s="29"/>
    </row>
    <row r="25" spans="1:6">
      <c r="A25" s="1">
        <v>2000</v>
      </c>
      <c r="B25" s="29"/>
      <c r="E25" s="29"/>
      <c r="F25" s="29"/>
    </row>
    <row r="26" spans="1:6">
      <c r="A26" s="1">
        <v>2001</v>
      </c>
      <c r="B26" s="29"/>
      <c r="E26" s="29"/>
      <c r="F26" s="29"/>
    </row>
    <row r="27" spans="1:6">
      <c r="A27" s="1">
        <v>2002</v>
      </c>
      <c r="B27" s="29"/>
      <c r="E27" s="29"/>
      <c r="F27" s="29"/>
    </row>
    <row r="28" spans="1:6">
      <c r="A28" s="1">
        <v>2003</v>
      </c>
      <c r="B28" s="29"/>
      <c r="E28" s="29"/>
      <c r="F28" s="29"/>
    </row>
    <row r="29" spans="1:6">
      <c r="A29" s="1">
        <v>2004</v>
      </c>
      <c r="B29" s="29"/>
      <c r="E29" s="29"/>
      <c r="F29" s="29"/>
    </row>
    <row r="30" spans="1:6">
      <c r="A30" s="1">
        <v>2005</v>
      </c>
      <c r="B30" s="29"/>
      <c r="E30" s="29"/>
      <c r="F30" s="29"/>
    </row>
    <row r="31" spans="1:6">
      <c r="A31" s="1">
        <v>2006</v>
      </c>
      <c r="B31" s="29"/>
      <c r="E31" s="29"/>
      <c r="F31" s="29"/>
    </row>
    <row r="32" spans="1:6">
      <c r="A32" s="1">
        <v>2007</v>
      </c>
      <c r="B32" s="29"/>
      <c r="E32" s="29"/>
      <c r="F32" s="29"/>
    </row>
    <row r="33" spans="1:6">
      <c r="A33" s="1">
        <v>2008</v>
      </c>
      <c r="B33" s="29"/>
      <c r="E33" s="29"/>
      <c r="F33" s="29"/>
    </row>
    <row r="34" spans="1:6">
      <c r="A34" s="1">
        <v>2009</v>
      </c>
      <c r="B34" s="29"/>
      <c r="E34" s="29"/>
      <c r="F34" s="29"/>
    </row>
    <row r="35" spans="1:6">
      <c r="A35" s="1">
        <v>2010</v>
      </c>
      <c r="B35" s="29"/>
      <c r="E35" s="29"/>
      <c r="F35" s="29"/>
    </row>
    <row r="36" spans="1:6">
      <c r="A36" s="1">
        <v>2011</v>
      </c>
      <c r="B36" s="29"/>
      <c r="E36" s="29"/>
      <c r="F36" s="29"/>
    </row>
    <row r="37" spans="1:6">
      <c r="A37" s="1">
        <v>2012</v>
      </c>
      <c r="B37" s="29"/>
      <c r="E37" s="29"/>
      <c r="F37" s="29"/>
    </row>
    <row r="38" spans="1:6">
      <c r="A38" s="1">
        <v>2013</v>
      </c>
      <c r="B38" s="29"/>
      <c r="E38" s="29"/>
      <c r="F38" s="29"/>
    </row>
    <row r="39" spans="1:6">
      <c r="A39" s="1">
        <v>2014</v>
      </c>
      <c r="B39" s="29"/>
      <c r="E39" s="29"/>
      <c r="F39" s="29"/>
    </row>
    <row r="40" spans="1:6">
      <c r="A40" s="1">
        <v>2015</v>
      </c>
      <c r="B40" s="29"/>
      <c r="E40" s="29"/>
      <c r="F40" s="29"/>
    </row>
    <row r="41" spans="1:6">
      <c r="A41" s="1">
        <v>2016</v>
      </c>
      <c r="B41" s="29"/>
      <c r="E41" s="29"/>
      <c r="F41" s="29"/>
    </row>
    <row r="42" spans="1:6">
      <c r="A42" s="1">
        <v>2017</v>
      </c>
      <c r="B42" s="29"/>
      <c r="E42" s="29"/>
      <c r="F42" s="29"/>
    </row>
    <row r="43" spans="1:6">
      <c r="A43" s="1">
        <v>2018</v>
      </c>
      <c r="C43" s="1">
        <v>90</v>
      </c>
      <c r="D43" s="1">
        <f>C43*E43</f>
        <v>67.5</v>
      </c>
      <c r="E43" s="29">
        <v>0.75</v>
      </c>
      <c r="F43" s="30">
        <v>0.36</v>
      </c>
    </row>
    <row r="44" spans="1:6">
      <c r="A44" s="1">
        <v>2019</v>
      </c>
      <c r="B44" s="29"/>
      <c r="E44" s="29"/>
      <c r="F44" s="33"/>
    </row>
    <row r="45" spans="1:6">
      <c r="A45" s="1">
        <v>2020</v>
      </c>
      <c r="B45" s="29"/>
      <c r="E45" s="29"/>
      <c r="F45" s="33"/>
    </row>
    <row r="46" spans="1:6">
      <c r="A46" s="1">
        <v>2021</v>
      </c>
      <c r="B46" s="30">
        <v>0.75</v>
      </c>
      <c r="E46" s="29"/>
      <c r="F46" s="33"/>
    </row>
    <row r="47" spans="1:6">
      <c r="A47" s="1">
        <v>2022</v>
      </c>
      <c r="B47" s="29"/>
      <c r="E47" s="29"/>
      <c r="F47" s="33"/>
    </row>
    <row r="48" spans="1:6">
      <c r="A48" s="1">
        <v>2023</v>
      </c>
      <c r="B48" s="29"/>
      <c r="E48" s="29"/>
      <c r="F48" s="30">
        <v>0.27</v>
      </c>
    </row>
    <row r="49" spans="1:6">
      <c r="A49" s="1">
        <v>2024</v>
      </c>
      <c r="B49" s="29"/>
      <c r="E49" s="29"/>
      <c r="F49" s="33"/>
    </row>
    <row r="50" spans="1:6">
      <c r="E50" s="29"/>
      <c r="F50" s="33"/>
    </row>
    <row r="51" spans="1:6">
      <c r="E51" s="29"/>
      <c r="F51" s="33"/>
    </row>
  </sheetData>
  <mergeCells count="3">
    <mergeCell ref="B1:E1"/>
    <mergeCell ref="C2:E2"/>
    <mergeCell ref="A1:A3"/>
  </mergeCells>
  <hyperlinks>
    <hyperlink ref="B46" r:id="rId1" display="https://univet.hu/hu/2021/11/10/allatorvos-leszek-interju-dr-sotonyi-peterrel-a-petplace-magazinban/" xr:uid="{00000000-0004-0000-0D00-000001000000}"/>
    <hyperlink ref="F43" r:id="rId2" display="https://www.fve.org/cms/wp-content/uploads/FVE_Survey_2018_WEB.pdf" xr:uid="{79CD6AB3-C48B-4491-BD87-A32B4A4DDB5F}"/>
    <hyperlink ref="F48" r:id="rId3" display="https://fve.org/cms/wp-content/uploads/FVE-Survey-2023_updated-v3.pdf" xr:uid="{FBCEE236-C4A7-4010-B69B-DB6559ECD24B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A492A-AF32-4909-9E5F-AD34E1813417}">
  <dimension ref="A1:B1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:B14"/>
    </sheetView>
  </sheetViews>
  <sheetFormatPr defaultRowHeight="14.4"/>
  <sheetData>
    <row r="1" spans="1:2">
      <c r="A1" s="52" t="s">
        <v>0</v>
      </c>
      <c r="B1" t="s">
        <v>201</v>
      </c>
    </row>
    <row r="2" spans="1:2">
      <c r="A2" s="52"/>
      <c r="B2" t="s">
        <v>23</v>
      </c>
    </row>
    <row r="3" spans="1:2">
      <c r="A3" s="52"/>
      <c r="B3" t="s">
        <v>3</v>
      </c>
    </row>
    <row r="4" spans="1:2">
      <c r="A4">
        <v>2014</v>
      </c>
      <c r="B4" s="30">
        <v>0.56000000000000005</v>
      </c>
    </row>
    <row r="5" spans="1:2">
      <c r="A5">
        <v>2015</v>
      </c>
      <c r="B5" s="33"/>
    </row>
    <row r="6" spans="1:2">
      <c r="A6">
        <v>2016</v>
      </c>
      <c r="B6" s="33"/>
    </row>
    <row r="7" spans="1:2">
      <c r="A7">
        <v>2017</v>
      </c>
      <c r="B7" s="33"/>
    </row>
    <row r="8" spans="1:2">
      <c r="A8">
        <v>2018</v>
      </c>
      <c r="B8" s="30">
        <v>0.65</v>
      </c>
    </row>
    <row r="9" spans="1:2">
      <c r="A9">
        <v>2019</v>
      </c>
      <c r="B9" s="33"/>
    </row>
    <row r="10" spans="1:2">
      <c r="A10">
        <v>2020</v>
      </c>
      <c r="B10" s="33"/>
    </row>
    <row r="11" spans="1:2">
      <c r="A11">
        <v>2021</v>
      </c>
      <c r="B11" s="33"/>
    </row>
    <row r="12" spans="1:2">
      <c r="A12">
        <v>2022</v>
      </c>
      <c r="B12" s="33"/>
    </row>
    <row r="13" spans="1:2">
      <c r="A13">
        <v>2023</v>
      </c>
      <c r="B13" s="30"/>
    </row>
    <row r="14" spans="1:2">
      <c r="A14">
        <v>2024</v>
      </c>
      <c r="B14" s="33"/>
    </row>
  </sheetData>
  <mergeCells count="1">
    <mergeCell ref="A1:A3"/>
  </mergeCells>
  <hyperlinks>
    <hyperlink ref="B4" r:id="rId1" display="https://www.colvet.es/files/portalcontenidos/documentos/document-2022-02-09t112347.069.pdf" xr:uid="{71E102C6-C566-4D6E-BFE2-0F953E7E61A4}"/>
    <hyperlink ref="B8" r:id="rId2" display="https://www.fve.org/cms/wp-content/uploads/FVE_Survey_2018_WEB.pdf" xr:uid="{04693658-996B-4511-A3DC-95AB22C0BE32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0"/>
  <sheetViews>
    <sheetView workbookViewId="0">
      <pane xSplit="1" ySplit="3" topLeftCell="FP4" activePane="bottomRight" state="frozen"/>
      <selection pane="topRight" activeCell="B1" sqref="B1"/>
      <selection pane="bottomLeft" activeCell="A4" sqref="A4"/>
      <selection pane="bottomRight" activeCell="FQ17" sqref="FQ17"/>
    </sheetView>
  </sheetViews>
  <sheetFormatPr defaultRowHeight="14.4"/>
  <sheetData>
    <row r="1" spans="1:5">
      <c r="A1" s="52" t="s">
        <v>0</v>
      </c>
      <c r="B1" s="52" t="s">
        <v>76</v>
      </c>
      <c r="C1" s="52"/>
      <c r="D1" s="52"/>
      <c r="E1" s="52"/>
    </row>
    <row r="2" spans="1:5">
      <c r="A2" s="52"/>
      <c r="B2" s="51" t="s">
        <v>77</v>
      </c>
      <c r="C2" s="51"/>
      <c r="D2" s="51"/>
      <c r="E2" t="s">
        <v>32</v>
      </c>
    </row>
    <row r="3" spans="1:5">
      <c r="A3" s="52"/>
      <c r="B3" t="s">
        <v>34</v>
      </c>
      <c r="C3" t="s">
        <v>35</v>
      </c>
      <c r="D3" t="s">
        <v>33</v>
      </c>
      <c r="E3" t="s">
        <v>33</v>
      </c>
    </row>
    <row r="4" spans="1:5">
      <c r="A4">
        <v>2007</v>
      </c>
      <c r="B4">
        <v>65</v>
      </c>
      <c r="C4">
        <v>63</v>
      </c>
      <c r="D4" s="33">
        <f>C4/B4</f>
        <v>0.96923076923076923</v>
      </c>
    </row>
    <row r="5" spans="1:5">
      <c r="A5">
        <v>2008</v>
      </c>
    </row>
    <row r="6" spans="1:5">
      <c r="A6">
        <v>2009</v>
      </c>
    </row>
    <row r="7" spans="1:5">
      <c r="A7">
        <v>2010</v>
      </c>
    </row>
    <row r="8" spans="1:5">
      <c r="A8">
        <v>2011</v>
      </c>
    </row>
    <row r="9" spans="1:5">
      <c r="A9">
        <v>2012</v>
      </c>
    </row>
    <row r="10" spans="1:5">
      <c r="A10">
        <v>2013</v>
      </c>
      <c r="E10" s="22">
        <v>0.85</v>
      </c>
    </row>
  </sheetData>
  <mergeCells count="2">
    <mergeCell ref="A1:A3"/>
    <mergeCell ref="B1:E1"/>
  </mergeCells>
  <hyperlinks>
    <hyperlink ref="B2" r:id="rId1" xr:uid="{00000000-0004-0000-0E00-000000000000}"/>
    <hyperlink ref="E10" r:id="rId2" display="http://shirazveterinary.blogfa.com/post/202" xr:uid="{00000000-0004-0000-0E00-000001000000}"/>
  </hyperlinks>
  <pageMargins left="0.7" right="0.7" top="0.75" bottom="0.75" header="0.3" footer="0.3"/>
  <pageSetup orientation="portrait" r:id="rId3"/>
  <legacyDrawing r:id="rId4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06E1A-E830-47B8-A416-95D3793400ED}">
  <dimension ref="A1:B27"/>
  <sheetViews>
    <sheetView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B4" sqref="B4"/>
    </sheetView>
  </sheetViews>
  <sheetFormatPr defaultRowHeight="14.4"/>
  <sheetData>
    <row r="1" spans="1:2">
      <c r="A1" s="52" t="s">
        <v>0</v>
      </c>
      <c r="B1" t="s">
        <v>202</v>
      </c>
    </row>
    <row r="2" spans="1:2">
      <c r="A2" s="52"/>
      <c r="B2" t="s">
        <v>23</v>
      </c>
    </row>
    <row r="3" spans="1:2">
      <c r="A3" s="52"/>
      <c r="B3" t="s">
        <v>3</v>
      </c>
    </row>
    <row r="4" spans="1:2">
      <c r="A4">
        <v>2014</v>
      </c>
      <c r="B4" s="30">
        <v>0.38190000000000002</v>
      </c>
    </row>
    <row r="5" spans="1:2">
      <c r="B5" s="33"/>
    </row>
    <row r="6" spans="1:2">
      <c r="B6" s="33"/>
    </row>
    <row r="7" spans="1:2">
      <c r="B7" s="33"/>
    </row>
    <row r="8" spans="1:2">
      <c r="B8" s="33"/>
    </row>
    <row r="9" spans="1:2">
      <c r="B9" s="33"/>
    </row>
    <row r="10" spans="1:2">
      <c r="B10" s="33"/>
    </row>
    <row r="11" spans="1:2">
      <c r="B11" s="33"/>
    </row>
    <row r="12" spans="1:2">
      <c r="B12" s="33"/>
    </row>
    <row r="13" spans="1:2">
      <c r="B13" s="33"/>
    </row>
    <row r="14" spans="1:2">
      <c r="B14" s="33"/>
    </row>
    <row r="15" spans="1:2">
      <c r="B15" s="33"/>
    </row>
    <row r="16" spans="1:2">
      <c r="B16" s="33"/>
    </row>
    <row r="17" spans="2:2">
      <c r="B17" s="33"/>
    </row>
    <row r="18" spans="2:2">
      <c r="B18" s="33"/>
    </row>
    <row r="19" spans="2:2">
      <c r="B19" s="33"/>
    </row>
    <row r="20" spans="2:2">
      <c r="B20" s="33"/>
    </row>
    <row r="21" spans="2:2">
      <c r="B21" s="33"/>
    </row>
    <row r="22" spans="2:2">
      <c r="B22" s="33"/>
    </row>
    <row r="23" spans="2:2">
      <c r="B23" s="33"/>
    </row>
    <row r="24" spans="2:2">
      <c r="B24" s="33"/>
    </row>
    <row r="25" spans="2:2">
      <c r="B25" s="33"/>
    </row>
    <row r="26" spans="2:2">
      <c r="B26" s="33"/>
    </row>
    <row r="27" spans="2:2">
      <c r="B27" s="33"/>
    </row>
  </sheetData>
  <mergeCells count="1">
    <mergeCell ref="A1:A3"/>
  </mergeCells>
  <hyperlinks>
    <hyperlink ref="B4" r:id="rId1" display="https://www.researchgate.net/publication/261796398_Gender_distribution_in_Iraqi_veterinary_medical_education" xr:uid="{583E97DF-8287-421F-84F6-4A3C2940751F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CBB4B-57BF-424C-A4F4-30577566FCAC}">
  <dimension ref="A1:B13"/>
  <sheetViews>
    <sheetView workbookViewId="0">
      <selection activeCell="B3" sqref="B3"/>
    </sheetView>
  </sheetViews>
  <sheetFormatPr defaultRowHeight="14.4"/>
  <sheetData>
    <row r="1" spans="1:2">
      <c r="A1" s="52" t="s">
        <v>0</v>
      </c>
      <c r="B1" t="s">
        <v>23</v>
      </c>
    </row>
    <row r="2" spans="1:2">
      <c r="A2" s="52"/>
      <c r="B2" t="s">
        <v>3</v>
      </c>
    </row>
    <row r="3" spans="1:2">
      <c r="A3">
        <v>2014</v>
      </c>
      <c r="B3" s="30">
        <v>0.41</v>
      </c>
    </row>
    <row r="4" spans="1:2">
      <c r="A4">
        <v>2015</v>
      </c>
      <c r="B4" s="33"/>
    </row>
    <row r="5" spans="1:2">
      <c r="A5">
        <v>2016</v>
      </c>
      <c r="B5" s="33"/>
    </row>
    <row r="6" spans="1:2">
      <c r="A6">
        <v>2017</v>
      </c>
      <c r="B6" s="33"/>
    </row>
    <row r="7" spans="1:2">
      <c r="A7">
        <v>2018</v>
      </c>
      <c r="B7" s="30"/>
    </row>
    <row r="8" spans="1:2">
      <c r="A8">
        <v>2019</v>
      </c>
      <c r="B8" s="33"/>
    </row>
    <row r="9" spans="1:2">
      <c r="A9">
        <v>2020</v>
      </c>
      <c r="B9" s="33"/>
    </row>
    <row r="10" spans="1:2">
      <c r="A10">
        <v>2021</v>
      </c>
      <c r="B10" s="33"/>
    </row>
    <row r="11" spans="1:2">
      <c r="A11">
        <v>2022</v>
      </c>
      <c r="B11" s="33"/>
    </row>
    <row r="12" spans="1:2">
      <c r="A12">
        <v>2023</v>
      </c>
      <c r="B12" s="30"/>
    </row>
    <row r="13" spans="1:2">
      <c r="A13">
        <v>2024</v>
      </c>
      <c r="B13" s="33"/>
    </row>
  </sheetData>
  <mergeCells count="1">
    <mergeCell ref="A1:A2"/>
  </mergeCells>
  <hyperlinks>
    <hyperlink ref="B3" r:id="rId1" display="https://www.colvet.es/files/portalcontenidos/documentos/document-2022-02-09t112347.069.pdf" xr:uid="{1AEFA956-FF59-4B25-8DEF-DAE24A7D28E3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4" sqref="C4:C19"/>
    </sheetView>
  </sheetViews>
  <sheetFormatPr defaultRowHeight="14.4"/>
  <cols>
    <col min="1" max="1" width="6.88671875" customWidth="1"/>
    <col min="2" max="5" width="8.88671875" style="1"/>
  </cols>
  <sheetData>
    <row r="1" spans="1:5">
      <c r="A1" s="55" t="s">
        <v>0</v>
      </c>
      <c r="B1" s="54" t="s">
        <v>78</v>
      </c>
      <c r="C1" s="54"/>
      <c r="D1" s="54"/>
      <c r="E1" s="54"/>
    </row>
    <row r="2" spans="1:5">
      <c r="A2" s="55"/>
      <c r="B2" s="52" t="s">
        <v>23</v>
      </c>
      <c r="C2" s="52"/>
      <c r="D2" s="53" t="s">
        <v>32</v>
      </c>
      <c r="E2" s="53"/>
    </row>
    <row r="3" spans="1:5">
      <c r="A3" s="55"/>
      <c r="B3" s="1" t="s">
        <v>79</v>
      </c>
      <c r="C3" s="1" t="s">
        <v>33</v>
      </c>
      <c r="D3" s="1" t="s">
        <v>34</v>
      </c>
      <c r="E3" s="1" t="s">
        <v>33</v>
      </c>
    </row>
    <row r="4" spans="1:5">
      <c r="A4" s="1">
        <v>2008</v>
      </c>
      <c r="B4" s="1">
        <v>26958</v>
      </c>
      <c r="C4" s="29">
        <v>0.374</v>
      </c>
      <c r="E4" s="29"/>
    </row>
    <row r="5" spans="1:5">
      <c r="A5" s="1">
        <v>2009</v>
      </c>
      <c r="C5" s="29"/>
      <c r="E5" s="29"/>
    </row>
    <row r="6" spans="1:5">
      <c r="A6" s="1">
        <v>2010</v>
      </c>
      <c r="C6" s="29"/>
      <c r="E6" s="29"/>
    </row>
    <row r="7" spans="1:5">
      <c r="A7" s="1">
        <v>2011</v>
      </c>
      <c r="C7" s="29"/>
      <c r="E7" s="29"/>
    </row>
    <row r="8" spans="1:5">
      <c r="A8" s="1">
        <v>2012</v>
      </c>
      <c r="C8" s="29"/>
      <c r="E8" s="29"/>
    </row>
    <row r="9" spans="1:5">
      <c r="A9" s="1">
        <v>2013</v>
      </c>
      <c r="C9" s="29"/>
      <c r="E9" s="29"/>
    </row>
    <row r="10" spans="1:5">
      <c r="A10" s="1">
        <v>2014</v>
      </c>
      <c r="C10" s="30">
        <v>0.49</v>
      </c>
      <c r="E10" s="29"/>
    </row>
    <row r="11" spans="1:5">
      <c r="A11" s="1">
        <v>2015</v>
      </c>
      <c r="C11" s="29"/>
      <c r="E11" s="29"/>
    </row>
    <row r="12" spans="1:5">
      <c r="A12" s="1">
        <v>2016</v>
      </c>
      <c r="C12" s="29"/>
      <c r="E12" s="29"/>
    </row>
    <row r="13" spans="1:5">
      <c r="A13" s="1">
        <v>2017</v>
      </c>
      <c r="C13" s="29"/>
      <c r="D13" s="1">
        <v>934</v>
      </c>
      <c r="E13" s="29">
        <v>0.69799999999999995</v>
      </c>
    </row>
    <row r="14" spans="1:5">
      <c r="A14" s="1">
        <v>2018</v>
      </c>
      <c r="B14" s="3">
        <v>33302</v>
      </c>
      <c r="C14" s="29">
        <v>0.46500000000000002</v>
      </c>
      <c r="E14" s="29"/>
    </row>
    <row r="15" spans="1:5">
      <c r="A15" s="1">
        <v>2019</v>
      </c>
      <c r="C15" s="29"/>
      <c r="E15" s="29"/>
    </row>
    <row r="16" spans="1:5">
      <c r="A16" s="1">
        <v>2020</v>
      </c>
      <c r="C16" s="29"/>
      <c r="E16" s="29"/>
    </row>
    <row r="17" spans="1:5">
      <c r="A17" s="1">
        <v>2021</v>
      </c>
      <c r="C17" s="29"/>
      <c r="E17" s="29"/>
    </row>
    <row r="18" spans="1:5">
      <c r="A18" s="1">
        <v>2022</v>
      </c>
      <c r="C18" s="29"/>
      <c r="E18" s="29"/>
    </row>
    <row r="19" spans="1:5">
      <c r="A19" s="1">
        <v>2023</v>
      </c>
      <c r="C19" s="30">
        <v>0.64</v>
      </c>
      <c r="E19" s="29"/>
    </row>
    <row r="20" spans="1:5">
      <c r="A20" s="1">
        <v>2024</v>
      </c>
      <c r="C20" s="29"/>
      <c r="E20" s="29"/>
    </row>
    <row r="21" spans="1:5">
      <c r="A21" s="1">
        <v>2025</v>
      </c>
      <c r="E21" s="29"/>
    </row>
    <row r="22" spans="1:5">
      <c r="E22" s="29"/>
    </row>
    <row r="23" spans="1:5">
      <c r="E23" s="29"/>
    </row>
    <row r="24" spans="1:5">
      <c r="E24" s="29"/>
    </row>
  </sheetData>
  <mergeCells count="4">
    <mergeCell ref="A1:A3"/>
    <mergeCell ref="B1:E1"/>
    <mergeCell ref="B2:C2"/>
    <mergeCell ref="D2:E2"/>
  </mergeCells>
  <hyperlinks>
    <hyperlink ref="B1" r:id="rId1" xr:uid="{00000000-0004-0000-0F00-000000000000}"/>
    <hyperlink ref="C10" r:id="rId2" display="https://www.colvet.es/files/portalcontenidos/documentos/document-2022-02-09t112347.069.pdf" xr:uid="{656A4F50-C61B-41A2-A9EF-A61FC816C261}"/>
    <hyperlink ref="C19" r:id="rId3" display="https://fve.org/cms/wp-content/uploads/FVE-Survey-2023_updated-v3.pdf" xr:uid="{DA92F418-3FDE-4B62-BA76-BD24F6CB08D3}"/>
  </hyperlinks>
  <pageMargins left="0.7" right="0.7" top="0.75" bottom="0.75" header="0.3" footer="0.3"/>
  <legacyDrawing r:id="rId4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R2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4" sqref="D4:D22"/>
    </sheetView>
  </sheetViews>
  <sheetFormatPr defaultRowHeight="14.4"/>
  <cols>
    <col min="1" max="1" width="6.88671875" customWidth="1"/>
    <col min="2" max="18" width="8.88671875" style="1"/>
  </cols>
  <sheetData>
    <row r="1" spans="1:18">
      <c r="A1" s="55" t="s">
        <v>0</v>
      </c>
      <c r="B1" s="53" t="s">
        <v>80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</row>
    <row r="2" spans="1:18">
      <c r="A2" s="55"/>
      <c r="B2" s="53" t="s">
        <v>23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 t="s">
        <v>81</v>
      </c>
      <c r="R2" s="53"/>
    </row>
    <row r="3" spans="1:18">
      <c r="A3" s="55"/>
      <c r="B3" s="15" t="s">
        <v>82</v>
      </c>
      <c r="C3" s="15" t="s">
        <v>83</v>
      </c>
      <c r="D3" s="15" t="s">
        <v>84</v>
      </c>
      <c r="E3" s="15" t="s">
        <v>85</v>
      </c>
      <c r="F3" s="15" t="s">
        <v>86</v>
      </c>
      <c r="G3" s="15" t="s">
        <v>87</v>
      </c>
      <c r="H3" s="15" t="s">
        <v>88</v>
      </c>
      <c r="I3" s="15" t="s">
        <v>89</v>
      </c>
      <c r="J3" s="15" t="s">
        <v>90</v>
      </c>
      <c r="K3" s="15" t="s">
        <v>91</v>
      </c>
      <c r="L3" s="15" t="s">
        <v>92</v>
      </c>
      <c r="M3" s="15" t="s">
        <v>93</v>
      </c>
      <c r="N3" s="15" t="s">
        <v>94</v>
      </c>
      <c r="O3" s="15" t="s">
        <v>95</v>
      </c>
      <c r="P3" s="15" t="s">
        <v>96</v>
      </c>
      <c r="Q3" s="15" t="s">
        <v>97</v>
      </c>
      <c r="R3" s="15" t="s">
        <v>27</v>
      </c>
    </row>
    <row r="4" spans="1:18">
      <c r="A4" s="1">
        <v>2002</v>
      </c>
      <c r="B4" s="18">
        <v>27000</v>
      </c>
      <c r="C4" s="18">
        <f>(B4*D4)</f>
        <v>4806</v>
      </c>
      <c r="D4" s="39">
        <v>0.17799999999999999</v>
      </c>
      <c r="E4" s="18"/>
      <c r="F4" s="18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</row>
    <row r="5" spans="1:18">
      <c r="A5" s="1">
        <v>2003</v>
      </c>
      <c r="B5" s="15"/>
      <c r="C5" s="15"/>
      <c r="D5" s="21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</row>
    <row r="6" spans="1:18">
      <c r="A6" s="1">
        <v>2004</v>
      </c>
      <c r="B6" s="15"/>
      <c r="C6" s="15"/>
      <c r="D6" s="21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</row>
    <row r="7" spans="1:18">
      <c r="A7" s="1">
        <v>2005</v>
      </c>
      <c r="B7" s="15"/>
      <c r="C7" s="15"/>
      <c r="D7" s="21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</row>
    <row r="8" spans="1:18">
      <c r="A8" s="1">
        <v>2006</v>
      </c>
      <c r="B8" s="17">
        <f>C8+24194</f>
        <v>31517</v>
      </c>
      <c r="C8" s="17">
        <v>7323</v>
      </c>
      <c r="D8" s="9">
        <f>(C8/B8)</f>
        <v>0.23235079480915061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</row>
    <row r="9" spans="1:18">
      <c r="A9" s="1">
        <v>2007</v>
      </c>
      <c r="D9" s="9" t="s">
        <v>98</v>
      </c>
      <c r="R9" s="1">
        <v>45.8</v>
      </c>
    </row>
    <row r="10" spans="1:18">
      <c r="A10" s="1">
        <v>2008</v>
      </c>
      <c r="D10" s="9"/>
    </row>
    <row r="11" spans="1:18">
      <c r="A11" s="1">
        <v>2009</v>
      </c>
      <c r="D11" s="9"/>
    </row>
    <row r="12" spans="1:18">
      <c r="A12" s="1">
        <v>2010</v>
      </c>
      <c r="D12" s="9"/>
    </row>
    <row r="13" spans="1:18">
      <c r="A13" s="1">
        <v>2011</v>
      </c>
      <c r="D13" s="9"/>
    </row>
    <row r="14" spans="1:18">
      <c r="A14" s="1">
        <v>2012</v>
      </c>
      <c r="B14" s="3">
        <v>33784</v>
      </c>
      <c r="C14" s="2">
        <v>9478</v>
      </c>
      <c r="D14" s="9">
        <f>(C14/B14)</f>
        <v>0.28054700449917119</v>
      </c>
    </row>
    <row r="15" spans="1:18">
      <c r="A15" s="1">
        <v>2013</v>
      </c>
      <c r="D15" s="9"/>
    </row>
    <row r="16" spans="1:18">
      <c r="A16" s="1">
        <v>2014</v>
      </c>
      <c r="B16" s="2">
        <v>34548</v>
      </c>
      <c r="C16" s="2">
        <v>10243</v>
      </c>
      <c r="D16" s="9">
        <f>(C16/B16)</f>
        <v>0.29648604839643394</v>
      </c>
    </row>
    <row r="17" spans="1:18">
      <c r="A17" s="1">
        <v>2015</v>
      </c>
      <c r="D17" s="9"/>
    </row>
    <row r="18" spans="1:18">
      <c r="A18" s="1">
        <v>2016</v>
      </c>
      <c r="B18" s="3">
        <v>34536</v>
      </c>
      <c r="C18" s="2">
        <v>10756</v>
      </c>
      <c r="D18" s="9">
        <f>(C18/B18)</f>
        <v>0.31144313180449384</v>
      </c>
    </row>
    <row r="19" spans="1:18">
      <c r="A19" s="1">
        <v>2017</v>
      </c>
      <c r="D19" s="9"/>
    </row>
    <row r="20" spans="1:18">
      <c r="A20" s="1">
        <v>2018</v>
      </c>
      <c r="B20" s="2">
        <v>35251</v>
      </c>
      <c r="C20" s="2">
        <v>11542</v>
      </c>
      <c r="D20" s="9">
        <f>(C20/B20)</f>
        <v>0.32742333550821251</v>
      </c>
      <c r="E20" s="1">
        <f>F20/B20</f>
        <v>1.8911993040386561E-2</v>
      </c>
      <c r="F20" s="1">
        <f>G20/H20</f>
        <v>666.66666666666663</v>
      </c>
      <c r="G20" s="1">
        <v>84</v>
      </c>
      <c r="H20" s="1">
        <v>0.126</v>
      </c>
      <c r="I20" s="1">
        <v>41</v>
      </c>
      <c r="J20" s="1">
        <v>28.5</v>
      </c>
      <c r="K20" s="1">
        <v>16</v>
      </c>
      <c r="L20" s="1">
        <v>22.5</v>
      </c>
      <c r="M20" s="1">
        <v>18</v>
      </c>
      <c r="N20" s="1">
        <v>9.3000000000000007</v>
      </c>
      <c r="O20" s="1">
        <v>9</v>
      </c>
      <c r="P20" s="1">
        <v>3.5</v>
      </c>
      <c r="Q20" s="1">
        <v>3423</v>
      </c>
      <c r="R20" s="1">
        <v>52.2</v>
      </c>
    </row>
    <row r="21" spans="1:18">
      <c r="A21" s="1">
        <v>2019</v>
      </c>
      <c r="D21" s="9"/>
    </row>
    <row r="22" spans="1:18">
      <c r="A22" s="1">
        <v>2020</v>
      </c>
      <c r="B22" s="3">
        <v>35855</v>
      </c>
      <c r="C22" s="3">
        <v>12328</v>
      </c>
      <c r="D22" s="9">
        <f>(C22/B22)</f>
        <v>0.34382931250871568</v>
      </c>
      <c r="E22" s="1">
        <f>F22/B22</f>
        <v>1.8825826244596292E-2</v>
      </c>
      <c r="F22" s="1">
        <f t="shared" ref="F22:F23" si="0">G22/H22</f>
        <v>675</v>
      </c>
      <c r="G22" s="1">
        <v>81</v>
      </c>
      <c r="H22" s="1">
        <v>0.12</v>
      </c>
      <c r="I22" s="1">
        <v>31</v>
      </c>
      <c r="J22" s="1">
        <v>22.3</v>
      </c>
      <c r="K22" s="1">
        <v>17</v>
      </c>
      <c r="L22" s="1">
        <v>20.2</v>
      </c>
      <c r="M22" s="1">
        <v>23</v>
      </c>
      <c r="N22" s="1">
        <v>12</v>
      </c>
      <c r="O22" s="1">
        <v>10</v>
      </c>
      <c r="P22" s="1">
        <v>3.9</v>
      </c>
      <c r="Q22" s="1">
        <v>3352</v>
      </c>
      <c r="R22" s="1">
        <v>54.8</v>
      </c>
    </row>
    <row r="23" spans="1:18">
      <c r="A23" s="1">
        <v>2021</v>
      </c>
      <c r="F23" s="1">
        <f t="shared" si="0"/>
        <v>800</v>
      </c>
      <c r="G23" s="1">
        <v>104</v>
      </c>
      <c r="H23" s="1">
        <v>0.13</v>
      </c>
      <c r="I23" s="1">
        <v>43</v>
      </c>
      <c r="J23" s="1">
        <v>24.7</v>
      </c>
      <c r="K23" s="1">
        <v>30</v>
      </c>
      <c r="L23" s="1">
        <v>23.6</v>
      </c>
      <c r="M23" s="1">
        <v>21</v>
      </c>
      <c r="N23" s="1">
        <v>10.3</v>
      </c>
      <c r="O23" s="1">
        <v>10</v>
      </c>
      <c r="P23" s="1">
        <v>3.4</v>
      </c>
      <c r="Q23" s="1">
        <v>3859</v>
      </c>
      <c r="R23" s="1">
        <v>55.7</v>
      </c>
    </row>
    <row r="24" spans="1:18">
      <c r="A24" s="1"/>
    </row>
  </sheetData>
  <mergeCells count="4">
    <mergeCell ref="A1:A3"/>
    <mergeCell ref="B1:R1"/>
    <mergeCell ref="B2:P2"/>
    <mergeCell ref="Q2:R2"/>
  </mergeCells>
  <hyperlinks>
    <hyperlink ref="G3" r:id="rId1" xr:uid="{00000000-0004-0000-1000-000000000000}"/>
    <hyperlink ref="H3" r:id="rId2" xr:uid="{00000000-0004-0000-1000-000001000000}"/>
    <hyperlink ref="I3" r:id="rId3" xr:uid="{00000000-0004-0000-1000-000002000000}"/>
    <hyperlink ref="J3" r:id="rId4" xr:uid="{00000000-0004-0000-1000-000003000000}"/>
    <hyperlink ref="K3" r:id="rId5" xr:uid="{00000000-0004-0000-1000-000004000000}"/>
    <hyperlink ref="L3" r:id="rId6" xr:uid="{00000000-0004-0000-1000-000005000000}"/>
    <hyperlink ref="M3" r:id="rId7" xr:uid="{00000000-0004-0000-1000-000006000000}"/>
    <hyperlink ref="N3" r:id="rId8" xr:uid="{00000000-0004-0000-1000-000007000000}"/>
    <hyperlink ref="O3" r:id="rId9" xr:uid="{00000000-0004-0000-1000-000008000000}"/>
    <hyperlink ref="P3" r:id="rId10" xr:uid="{00000000-0004-0000-1000-000009000000}"/>
    <hyperlink ref="Q3" r:id="rId11" xr:uid="{00000000-0004-0000-1000-00000A000000}"/>
    <hyperlink ref="R3" r:id="rId12" xr:uid="{00000000-0004-0000-1000-00000B000000}"/>
    <hyperlink ref="B3" r:id="rId13" display="Total" xr:uid="{00000000-0004-0000-1000-00000C000000}"/>
    <hyperlink ref="C3" r:id="rId14" display="# female" xr:uid="{00000000-0004-0000-1000-00000D000000}"/>
    <hyperlink ref="D3" r:id="rId15" display="% female" xr:uid="{00000000-0004-0000-1000-00000E000000}"/>
  </hyperlinks>
  <pageMargins left="0.7" right="0.7" top="0.75" bottom="0.75" header="0.3" footer="0.3"/>
  <legacyDrawing r:id="rId16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Z9" sqref="BZ9"/>
    </sheetView>
  </sheetViews>
  <sheetFormatPr defaultRowHeight="14.4"/>
  <sheetData>
    <row r="1" spans="1:4">
      <c r="A1" s="52" t="s">
        <v>0</v>
      </c>
      <c r="B1" s="52" t="s">
        <v>99</v>
      </c>
      <c r="C1" s="52"/>
      <c r="D1" s="52"/>
    </row>
    <row r="2" spans="1:4">
      <c r="A2" s="52"/>
      <c r="B2" t="s">
        <v>31</v>
      </c>
      <c r="C2" t="s">
        <v>47</v>
      </c>
    </row>
    <row r="3" spans="1:4">
      <c r="A3" s="52"/>
      <c r="B3" t="s">
        <v>34</v>
      </c>
      <c r="C3" t="s">
        <v>35</v>
      </c>
      <c r="D3" t="s">
        <v>100</v>
      </c>
    </row>
    <row r="4" spans="1:4">
      <c r="A4">
        <v>2002</v>
      </c>
      <c r="B4" s="15">
        <v>50</v>
      </c>
      <c r="C4" s="15">
        <v>4</v>
      </c>
      <c r="D4" s="33">
        <f>C4/B4</f>
        <v>0.08</v>
      </c>
    </row>
  </sheetData>
  <mergeCells count="2">
    <mergeCell ref="B1:D1"/>
    <mergeCell ref="A1:A3"/>
  </mergeCells>
  <hyperlinks>
    <hyperlink ref="B4:C4" r:id="rId1" display="https://www.medvet.umontreal.ca/AffaireVieEtudiantes/Defi_Vet_Monde/kenya_tanza_zanzi/n_sta.htm" xr:uid="{00000000-0004-0000-1100-000000000000}"/>
  </hyperlinks>
  <pageMargins left="0.7" right="0.7" top="0.75" bottom="0.75" header="0.3" footer="0.3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51124-5C03-4407-96BD-E8445CA47C09}">
  <dimension ref="A1:D5"/>
  <sheetViews>
    <sheetView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D5" sqref="D5"/>
    </sheetView>
  </sheetViews>
  <sheetFormatPr defaultRowHeight="14.4"/>
  <cols>
    <col min="3" max="3" width="15.33203125" customWidth="1"/>
    <col min="4" max="4" width="9.6640625" bestFit="1" customWidth="1"/>
  </cols>
  <sheetData>
    <row r="1" spans="1:4">
      <c r="A1" s="52" t="s">
        <v>0</v>
      </c>
      <c r="B1" s="52" t="s">
        <v>204</v>
      </c>
      <c r="C1" s="52"/>
      <c r="D1" s="52"/>
    </row>
    <row r="2" spans="1:4">
      <c r="A2" s="52"/>
      <c r="B2" s="57" t="s">
        <v>101</v>
      </c>
      <c r="C2" s="57"/>
      <c r="D2" s="40" t="s">
        <v>102</v>
      </c>
    </row>
    <row r="3" spans="1:4">
      <c r="A3" s="52"/>
      <c r="B3" t="s">
        <v>49</v>
      </c>
      <c r="C3" t="s">
        <v>103</v>
      </c>
      <c r="D3" t="s">
        <v>44</v>
      </c>
    </row>
    <row r="4" spans="1:4">
      <c r="A4">
        <v>2017</v>
      </c>
      <c r="B4">
        <v>1900</v>
      </c>
      <c r="D4" s="14"/>
    </row>
    <row r="5" spans="1:4">
      <c r="A5">
        <v>2020</v>
      </c>
      <c r="B5" s="15">
        <v>2500</v>
      </c>
      <c r="C5">
        <f>B5*D5</f>
        <v>325</v>
      </c>
      <c r="D5" s="21">
        <v>0.13</v>
      </c>
    </row>
  </sheetData>
  <mergeCells count="3">
    <mergeCell ref="B2:C2"/>
    <mergeCell ref="A1:A3"/>
    <mergeCell ref="B1:D1"/>
  </mergeCells>
  <hyperlinks>
    <hyperlink ref="B5" r:id="rId1" display="2500" xr:uid="{87847509-E688-4FF4-8B2D-B8F3E817F4B5}"/>
    <hyperlink ref="D5" r:id="rId2" display="13" xr:uid="{1E0C6DB6-F462-49E2-9387-58639E2250A6}"/>
  </hyperlinks>
  <pageMargins left="0.7" right="0.7" top="0.75" bottom="0.75" header="0.3" footer="0.3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0F4D1-AD0F-4DB2-8535-0225896828A6}">
  <dimension ref="A1:B17"/>
  <sheetViews>
    <sheetView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B4" sqref="B4:B8"/>
    </sheetView>
  </sheetViews>
  <sheetFormatPr defaultRowHeight="14.4"/>
  <sheetData>
    <row r="1" spans="1:2">
      <c r="A1" s="52" t="s">
        <v>0</v>
      </c>
      <c r="B1" t="s">
        <v>203</v>
      </c>
    </row>
    <row r="2" spans="1:2">
      <c r="A2" s="52"/>
      <c r="B2" t="s">
        <v>23</v>
      </c>
    </row>
    <row r="3" spans="1:2">
      <c r="A3" s="52"/>
      <c r="B3" t="s">
        <v>3</v>
      </c>
    </row>
    <row r="4" spans="1:2">
      <c r="A4">
        <v>2014</v>
      </c>
      <c r="B4" s="30">
        <v>0.74</v>
      </c>
    </row>
    <row r="5" spans="1:2">
      <c r="A5">
        <v>2015</v>
      </c>
      <c r="B5" s="33"/>
    </row>
    <row r="6" spans="1:2">
      <c r="A6">
        <v>2016</v>
      </c>
      <c r="B6" s="33"/>
    </row>
    <row r="7" spans="1:2">
      <c r="A7">
        <v>2017</v>
      </c>
      <c r="B7" s="33"/>
    </row>
    <row r="8" spans="1:2">
      <c r="A8">
        <v>2018</v>
      </c>
      <c r="B8" s="30">
        <v>0.83</v>
      </c>
    </row>
    <row r="9" spans="1:2">
      <c r="A9">
        <v>2019</v>
      </c>
      <c r="B9" s="33"/>
    </row>
    <row r="10" spans="1:2">
      <c r="A10">
        <v>2020</v>
      </c>
      <c r="B10" s="33"/>
    </row>
    <row r="11" spans="1:2">
      <c r="A11">
        <v>2021</v>
      </c>
      <c r="B11" s="33"/>
    </row>
    <row r="12" spans="1:2">
      <c r="A12">
        <v>2022</v>
      </c>
      <c r="B12" s="33"/>
    </row>
    <row r="13" spans="1:2">
      <c r="A13">
        <v>2023</v>
      </c>
      <c r="B13" s="33"/>
    </row>
    <row r="14" spans="1:2">
      <c r="A14">
        <v>2024</v>
      </c>
      <c r="B14" s="33"/>
    </row>
    <row r="15" spans="1:2">
      <c r="B15" s="33"/>
    </row>
    <row r="16" spans="1:2">
      <c r="B16" s="33"/>
    </row>
    <row r="17" spans="2:2">
      <c r="B17" s="33"/>
    </row>
  </sheetData>
  <mergeCells count="1">
    <mergeCell ref="A1:A3"/>
  </mergeCells>
  <hyperlinks>
    <hyperlink ref="B4" r:id="rId1" display="https://www.colvet.es/files/portalcontenidos/documentos/document-2022-02-09t112347.069.pdf" xr:uid="{4F5352B1-4B96-4EB6-B3A5-52D5E00EA3FD}"/>
    <hyperlink ref="B8" r:id="rId2" display="https://www.fve.org/cms/wp-content/uploads/FVE_Survey_2018_WEB.pdf" xr:uid="{DE24F6A3-3186-47D6-8E54-2B5A59B37FC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15" sqref="L15"/>
    </sheetView>
  </sheetViews>
  <sheetFormatPr defaultRowHeight="14.4"/>
  <cols>
    <col min="1" max="1" width="5" style="1" customWidth="1"/>
    <col min="2" max="7" width="8.88671875" style="1"/>
  </cols>
  <sheetData>
    <row r="1" spans="1:7">
      <c r="A1" s="1" t="s">
        <v>0</v>
      </c>
      <c r="B1" s="53" t="s">
        <v>1</v>
      </c>
      <c r="C1" s="53"/>
      <c r="D1" s="53"/>
      <c r="E1" s="53"/>
      <c r="F1" s="53"/>
      <c r="G1" s="53"/>
    </row>
    <row r="2" spans="1:7">
      <c r="B2" s="53" t="s">
        <v>2</v>
      </c>
      <c r="C2" s="53"/>
      <c r="D2" s="53"/>
      <c r="E2" s="53"/>
      <c r="F2" s="53"/>
      <c r="G2" s="53"/>
    </row>
    <row r="3" spans="1:7"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</row>
    <row r="4" spans="1:7">
      <c r="A4" s="1">
        <v>2019</v>
      </c>
      <c r="B4" s="9">
        <v>0.53500000000000003</v>
      </c>
      <c r="C4" s="1">
        <v>129</v>
      </c>
      <c r="D4" s="9">
        <v>0.53100000000000003</v>
      </c>
      <c r="E4" s="1">
        <v>95</v>
      </c>
      <c r="F4" s="9">
        <v>0.49199999999999999</v>
      </c>
    </row>
    <row r="5" spans="1:7">
      <c r="A5" s="1">
        <v>2020</v>
      </c>
    </row>
    <row r="6" spans="1:7">
      <c r="A6" s="1">
        <v>2021</v>
      </c>
    </row>
  </sheetData>
  <mergeCells count="2">
    <mergeCell ref="B1:G1"/>
    <mergeCell ref="B2:G2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2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26" sqref="L26"/>
    </sheetView>
  </sheetViews>
  <sheetFormatPr defaultRowHeight="14.4"/>
  <cols>
    <col min="1" max="1" width="5" style="1" customWidth="1"/>
    <col min="2" max="2" width="8.88671875" style="1"/>
  </cols>
  <sheetData>
    <row r="1" spans="1:3">
      <c r="A1" s="53" t="s">
        <v>0</v>
      </c>
      <c r="B1" s="53" t="s">
        <v>104</v>
      </c>
      <c r="C1" s="53"/>
    </row>
    <row r="2" spans="1:3">
      <c r="A2" s="53"/>
      <c r="B2" s="1" t="s">
        <v>24</v>
      </c>
      <c r="C2" t="s">
        <v>23</v>
      </c>
    </row>
    <row r="3" spans="1:3">
      <c r="A3" s="53"/>
      <c r="B3" s="1" t="s">
        <v>33</v>
      </c>
      <c r="C3" t="s">
        <v>3</v>
      </c>
    </row>
    <row r="4" spans="1:3">
      <c r="A4" s="1">
        <v>2007</v>
      </c>
      <c r="B4" s="22">
        <v>0</v>
      </c>
      <c r="C4" s="33"/>
    </row>
    <row r="5" spans="1:3">
      <c r="A5" s="1">
        <v>2008</v>
      </c>
      <c r="C5" s="33"/>
    </row>
    <row r="6" spans="1:3">
      <c r="A6" s="1">
        <v>2009</v>
      </c>
      <c r="C6" s="33"/>
    </row>
    <row r="7" spans="1:3">
      <c r="A7" s="1">
        <v>2010</v>
      </c>
      <c r="C7" s="33"/>
    </row>
    <row r="8" spans="1:3">
      <c r="A8" s="1">
        <v>2011</v>
      </c>
      <c r="C8" s="33"/>
    </row>
    <row r="9" spans="1:3">
      <c r="A9" s="1">
        <v>2012</v>
      </c>
      <c r="C9" s="33"/>
    </row>
    <row r="10" spans="1:3">
      <c r="A10" s="1">
        <v>2013</v>
      </c>
      <c r="C10" s="33"/>
    </row>
    <row r="11" spans="1:3">
      <c r="A11" s="1">
        <v>2014</v>
      </c>
      <c r="C11" s="33"/>
    </row>
    <row r="12" spans="1:3">
      <c r="A12" s="1">
        <v>2015</v>
      </c>
      <c r="C12" s="33"/>
    </row>
    <row r="13" spans="1:3">
      <c r="A13" s="1">
        <v>2016</v>
      </c>
      <c r="C13" s="33"/>
    </row>
    <row r="14" spans="1:3">
      <c r="A14" s="1">
        <v>2017</v>
      </c>
      <c r="C14" s="33"/>
    </row>
    <row r="15" spans="1:3">
      <c r="A15" s="1">
        <v>2018</v>
      </c>
      <c r="C15" s="33"/>
    </row>
    <row r="16" spans="1:3">
      <c r="A16" s="1">
        <v>2019</v>
      </c>
      <c r="C16" s="33"/>
    </row>
    <row r="17" spans="1:3">
      <c r="A17" s="1">
        <v>2020</v>
      </c>
      <c r="C17" s="33"/>
    </row>
    <row r="18" spans="1:3">
      <c r="A18" s="1">
        <v>2021</v>
      </c>
      <c r="C18" s="33"/>
    </row>
    <row r="19" spans="1:3">
      <c r="A19" s="1">
        <v>2022</v>
      </c>
      <c r="C19" s="33"/>
    </row>
    <row r="20" spans="1:3">
      <c r="A20" s="1">
        <v>2023</v>
      </c>
      <c r="C20" s="30">
        <v>0.71</v>
      </c>
    </row>
    <row r="21" spans="1:3">
      <c r="A21" s="1">
        <v>2024</v>
      </c>
      <c r="C21" s="33"/>
    </row>
    <row r="22" spans="1:3">
      <c r="A22" s="1">
        <v>2025</v>
      </c>
      <c r="C22" s="33"/>
    </row>
    <row r="23" spans="1:3">
      <c r="C23" s="33"/>
    </row>
  </sheetData>
  <mergeCells count="2">
    <mergeCell ref="A1:A3"/>
    <mergeCell ref="B1:C1"/>
  </mergeCells>
  <hyperlinks>
    <hyperlink ref="B4" r:id="rId1" display="https://op.europa.eu/en/publication-detail/-/publication/40271e21-ca1b-461e-ba23-88fe4d4b3fd4/language-fr/format-PDF" xr:uid="{00000000-0004-0000-1200-000000000000}"/>
    <hyperlink ref="C20" r:id="rId2" display="https://fve.org/cms/wp-content/uploads/FVE-Survey-2023_updated-v3.pdf" xr:uid="{4BD13263-3F08-42BF-9905-29D876E9C1D8}"/>
  </hyperlinks>
  <pageMargins left="0.7" right="0.7" top="0.75" bottom="0.75" header="0.3" footer="0.3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8CB64-84F0-424D-8143-7B7D3679C3F3}">
  <dimension ref="A1:B14"/>
  <sheetViews>
    <sheetView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B4" sqref="B4:B13"/>
    </sheetView>
  </sheetViews>
  <sheetFormatPr defaultRowHeight="14.4"/>
  <sheetData>
    <row r="1" spans="1:2">
      <c r="B1" t="s">
        <v>218</v>
      </c>
    </row>
    <row r="2" spans="1:2">
      <c r="A2" s="52" t="s">
        <v>0</v>
      </c>
      <c r="B2" t="s">
        <v>23</v>
      </c>
    </row>
    <row r="3" spans="1:2">
      <c r="A3" s="52"/>
      <c r="B3" t="s">
        <v>3</v>
      </c>
    </row>
    <row r="4" spans="1:2">
      <c r="A4">
        <v>2014</v>
      </c>
      <c r="B4" s="30">
        <v>0.61</v>
      </c>
    </row>
    <row r="5" spans="1:2">
      <c r="A5">
        <v>2015</v>
      </c>
      <c r="B5" s="33"/>
    </row>
    <row r="6" spans="1:2">
      <c r="A6">
        <v>2016</v>
      </c>
      <c r="B6" s="33"/>
    </row>
    <row r="7" spans="1:2">
      <c r="A7">
        <v>2017</v>
      </c>
      <c r="B7" s="33"/>
    </row>
    <row r="8" spans="1:2">
      <c r="A8">
        <v>2018</v>
      </c>
      <c r="B8" s="30">
        <v>0.68</v>
      </c>
    </row>
    <row r="9" spans="1:2">
      <c r="A9">
        <v>2019</v>
      </c>
      <c r="B9" s="33"/>
    </row>
    <row r="10" spans="1:2">
      <c r="A10">
        <v>2020</v>
      </c>
      <c r="B10" s="33"/>
    </row>
    <row r="11" spans="1:2">
      <c r="A11">
        <v>2021</v>
      </c>
      <c r="B11" s="33"/>
    </row>
    <row r="12" spans="1:2">
      <c r="A12">
        <v>2022</v>
      </c>
      <c r="B12" s="33"/>
    </row>
    <row r="13" spans="1:2">
      <c r="A13">
        <v>2023</v>
      </c>
      <c r="B13" s="30">
        <v>0.68</v>
      </c>
    </row>
    <row r="14" spans="1:2">
      <c r="A14">
        <v>2024</v>
      </c>
      <c r="B14" s="33"/>
    </row>
  </sheetData>
  <mergeCells count="1">
    <mergeCell ref="A2:A3"/>
  </mergeCells>
  <hyperlinks>
    <hyperlink ref="B4" r:id="rId1" display="https://www.colvet.es/files/portalcontenidos/documentos/document-2022-02-09t112347.069.pdf" xr:uid="{981FC52A-A7B9-4572-9ADC-B4CE5BD60DF8}"/>
    <hyperlink ref="B8" r:id="rId2" display="https://www.fve.org/cms/wp-content/uploads/FVE_Survey_2018_WEB.pdf" xr:uid="{DB6CB269-4B24-4467-B047-ACC8A6AF0FA6}"/>
    <hyperlink ref="B13" r:id="rId3" display="https://fve.org/cms/wp-content/uploads/FVE-Survey-2023_updated-v3.pdf" xr:uid="{12327429-14F4-421D-B0F9-8DBCFF8C3553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34"/>
  <sheetViews>
    <sheetView workbookViewId="0">
      <pane xSplit="1" ySplit="3" topLeftCell="B10" activePane="bottomRight" state="frozen"/>
      <selection pane="topRight" activeCell="B1" sqref="B1"/>
      <selection pane="bottomLeft" activeCell="A4" sqref="A4"/>
      <selection pane="bottomRight" activeCell="C31" sqref="C31"/>
    </sheetView>
  </sheetViews>
  <sheetFormatPr defaultRowHeight="14.4"/>
  <cols>
    <col min="1" max="1" width="5" style="1" customWidth="1"/>
    <col min="2" max="4" width="8.88671875" style="1"/>
  </cols>
  <sheetData>
    <row r="1" spans="1:5">
      <c r="A1" s="53" t="s">
        <v>0</v>
      </c>
      <c r="B1" s="53" t="s">
        <v>105</v>
      </c>
      <c r="C1" s="53"/>
      <c r="D1" s="53"/>
      <c r="E1" s="53"/>
    </row>
    <row r="2" spans="1:5">
      <c r="A2" s="53"/>
      <c r="B2" s="1" t="s">
        <v>58</v>
      </c>
      <c r="C2" s="52" t="s">
        <v>200</v>
      </c>
      <c r="D2" s="52"/>
      <c r="E2" s="52"/>
    </row>
    <row r="3" spans="1:5">
      <c r="A3" s="53"/>
      <c r="B3" s="1" t="s">
        <v>33</v>
      </c>
      <c r="C3" s="1" t="s">
        <v>34</v>
      </c>
      <c r="D3" s="1" t="s">
        <v>35</v>
      </c>
      <c r="E3" s="1" t="s">
        <v>33</v>
      </c>
    </row>
    <row r="4" spans="1:5">
      <c r="A4" s="11">
        <v>1995</v>
      </c>
      <c r="B4" s="21">
        <v>0.16270000000000001</v>
      </c>
      <c r="C4" s="21"/>
      <c r="D4" s="21"/>
      <c r="E4" s="33"/>
    </row>
    <row r="5" spans="1:5">
      <c r="A5" s="11">
        <v>1996</v>
      </c>
      <c r="B5" s="21"/>
      <c r="C5" s="21"/>
      <c r="D5" s="21"/>
      <c r="E5" s="33"/>
    </row>
    <row r="6" spans="1:5">
      <c r="A6" s="11">
        <v>1997</v>
      </c>
      <c r="E6" s="33"/>
    </row>
    <row r="7" spans="1:5">
      <c r="A7" s="11">
        <v>1998</v>
      </c>
      <c r="E7" s="33"/>
    </row>
    <row r="8" spans="1:5">
      <c r="A8" s="11">
        <v>1999</v>
      </c>
      <c r="E8" s="33"/>
    </row>
    <row r="9" spans="1:5">
      <c r="A9" s="11">
        <v>2000</v>
      </c>
      <c r="E9" s="33"/>
    </row>
    <row r="10" spans="1:5">
      <c r="A10" s="11">
        <v>2001</v>
      </c>
      <c r="E10" s="33"/>
    </row>
    <row r="11" spans="1:5">
      <c r="A11" s="1">
        <v>2002</v>
      </c>
      <c r="E11" s="33"/>
    </row>
    <row r="12" spans="1:5">
      <c r="A12" s="1">
        <v>2003</v>
      </c>
      <c r="E12" s="33"/>
    </row>
    <row r="13" spans="1:5">
      <c r="A13" s="1">
        <v>2004</v>
      </c>
      <c r="E13" s="33"/>
    </row>
    <row r="14" spans="1:5">
      <c r="A14" s="1">
        <v>2005</v>
      </c>
      <c r="E14" s="33"/>
    </row>
    <row r="15" spans="1:5">
      <c r="A15" s="1">
        <v>2006</v>
      </c>
      <c r="E15" s="33"/>
    </row>
    <row r="16" spans="1:5">
      <c r="A16" s="1">
        <v>2007</v>
      </c>
      <c r="E16" s="33"/>
    </row>
    <row r="17" spans="1:5">
      <c r="A17" s="1">
        <v>2008</v>
      </c>
      <c r="E17" s="33"/>
    </row>
    <row r="18" spans="1:5">
      <c r="A18" s="1">
        <v>2009</v>
      </c>
      <c r="E18" s="33"/>
    </row>
    <row r="19" spans="1:5">
      <c r="A19" s="1">
        <v>2010</v>
      </c>
      <c r="E19" s="33"/>
    </row>
    <row r="20" spans="1:5">
      <c r="A20" s="1">
        <v>2011</v>
      </c>
      <c r="E20" s="33"/>
    </row>
    <row r="21" spans="1:5">
      <c r="A21" s="1">
        <v>2012</v>
      </c>
      <c r="E21" s="33"/>
    </row>
    <row r="22" spans="1:5">
      <c r="A22" s="1">
        <v>2013</v>
      </c>
      <c r="E22" s="33"/>
    </row>
    <row r="23" spans="1:5">
      <c r="A23" s="1">
        <v>2014</v>
      </c>
      <c r="E23" s="33"/>
    </row>
    <row r="24" spans="1:5">
      <c r="A24" s="1">
        <v>2015</v>
      </c>
      <c r="E24" s="33"/>
    </row>
    <row r="25" spans="1:5">
      <c r="A25" s="1">
        <v>2016</v>
      </c>
      <c r="E25" s="33"/>
    </row>
    <row r="26" spans="1:5">
      <c r="A26" s="1">
        <v>2017</v>
      </c>
      <c r="E26" s="33"/>
    </row>
    <row r="27" spans="1:5">
      <c r="A27" s="1">
        <v>2018</v>
      </c>
      <c r="E27" s="33"/>
    </row>
    <row r="28" spans="1:5">
      <c r="A28" s="1">
        <v>2019</v>
      </c>
      <c r="E28" s="33"/>
    </row>
    <row r="29" spans="1:5">
      <c r="A29" s="1">
        <v>2020</v>
      </c>
      <c r="E29" s="33"/>
    </row>
    <row r="30" spans="1:5">
      <c r="A30" s="1">
        <v>2021</v>
      </c>
      <c r="E30" s="33"/>
    </row>
    <row r="31" spans="1:5">
      <c r="A31" s="1">
        <v>2022</v>
      </c>
      <c r="C31" s="15">
        <v>620</v>
      </c>
      <c r="D31" s="1">
        <f>C31*E31</f>
        <v>468.1</v>
      </c>
      <c r="E31" s="30">
        <v>0.755</v>
      </c>
    </row>
    <row r="32" spans="1:5">
      <c r="A32" s="1">
        <v>2023</v>
      </c>
      <c r="E32" s="33"/>
    </row>
    <row r="33" spans="1:5">
      <c r="A33" s="1">
        <v>2024</v>
      </c>
      <c r="E33" s="33"/>
    </row>
    <row r="34" spans="1:5">
      <c r="E34" s="33"/>
    </row>
  </sheetData>
  <mergeCells count="3">
    <mergeCell ref="C2:E2"/>
    <mergeCell ref="B1:E1"/>
    <mergeCell ref="A1:A3"/>
  </mergeCells>
  <hyperlinks>
    <hyperlink ref="B4" r:id="rId1" display="../Zotero/storage/L72DEDH7/articulo.html" xr:uid="{00000000-0004-0000-1300-000000000000}"/>
    <hyperlink ref="E31" r:id="rId2" display="https://www.gaceta.unam.mx/ganan-terreno-las-mujeres-en-la-profesion-veterinaria/" xr:uid="{ACFFF6B4-77DD-4892-BF1F-B46549AC767D}"/>
    <hyperlink ref="C31" r:id="rId3" display="https://www.gaceta.unam.mx/ganan-terreno-las-mujeres-en-la-profesion-veterinaria/" xr:uid="{550ED2D3-A718-43B2-89FF-396113C4A3E8}"/>
  </hyperlinks>
  <pageMargins left="0.7" right="0.7" top="0.75" bottom="0.75" header="0.3" footer="0.3"/>
  <legacyDrawing r:id="rId4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28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sqref="A1:A3"/>
    </sheetView>
  </sheetViews>
  <sheetFormatPr defaultRowHeight="14.4"/>
  <cols>
    <col min="1" max="1" width="5" style="1" customWidth="1"/>
    <col min="2" max="4" width="8.88671875" style="1"/>
  </cols>
  <sheetData>
    <row r="1" spans="1:4">
      <c r="A1" s="53" t="s">
        <v>0</v>
      </c>
      <c r="B1" s="54" t="s">
        <v>106</v>
      </c>
      <c r="C1" s="54"/>
      <c r="D1" s="54"/>
    </row>
    <row r="2" spans="1:4">
      <c r="A2" s="53"/>
      <c r="B2" s="53" t="s">
        <v>58</v>
      </c>
      <c r="C2" s="53"/>
      <c r="D2" s="53"/>
    </row>
    <row r="3" spans="1:4">
      <c r="A3" s="53"/>
      <c r="B3" s="1" t="s">
        <v>34</v>
      </c>
      <c r="C3" s="1" t="s">
        <v>50</v>
      </c>
      <c r="D3" s="1" t="s">
        <v>3</v>
      </c>
    </row>
    <row r="4" spans="1:4">
      <c r="A4" s="11">
        <v>1997</v>
      </c>
      <c r="D4" s="28">
        <v>0.45</v>
      </c>
    </row>
    <row r="5" spans="1:4">
      <c r="A5" s="11">
        <v>1998</v>
      </c>
    </row>
    <row r="6" spans="1:4">
      <c r="A6" s="11">
        <v>1999</v>
      </c>
    </row>
    <row r="7" spans="1:4">
      <c r="A7" s="11">
        <v>2000</v>
      </c>
    </row>
    <row r="8" spans="1:4">
      <c r="A8" s="11">
        <v>2001</v>
      </c>
      <c r="B8" s="1">
        <f>C8+135</f>
        <v>229</v>
      </c>
      <c r="C8" s="1">
        <v>94</v>
      </c>
      <c r="D8" s="29">
        <f>C8/B8</f>
        <v>0.41048034934497818</v>
      </c>
    </row>
    <row r="9" spans="1:4">
      <c r="A9" s="1">
        <v>2002</v>
      </c>
    </row>
    <row r="10" spans="1:4">
      <c r="A10" s="1">
        <v>2003</v>
      </c>
    </row>
    <row r="11" spans="1:4">
      <c r="A11" s="1">
        <v>2004</v>
      </c>
    </row>
    <row r="12" spans="1:4">
      <c r="A12" s="1">
        <v>2005</v>
      </c>
    </row>
    <row r="13" spans="1:4">
      <c r="A13" s="1">
        <v>2006</v>
      </c>
    </row>
    <row r="14" spans="1:4">
      <c r="A14" s="1">
        <v>2007</v>
      </c>
    </row>
    <row r="15" spans="1:4">
      <c r="A15" s="1">
        <v>2008</v>
      </c>
    </row>
    <row r="16" spans="1:4">
      <c r="A16" s="1">
        <v>2009</v>
      </c>
    </row>
    <row r="17" spans="1:1">
      <c r="A17" s="1">
        <v>2010</v>
      </c>
    </row>
    <row r="18" spans="1:1">
      <c r="A18" s="1">
        <v>2011</v>
      </c>
    </row>
    <row r="19" spans="1:1">
      <c r="A19" s="1">
        <v>2012</v>
      </c>
    </row>
    <row r="20" spans="1:1">
      <c r="A20" s="1">
        <v>2013</v>
      </c>
    </row>
    <row r="21" spans="1:1">
      <c r="A21" s="1">
        <v>2014</v>
      </c>
    </row>
    <row r="22" spans="1:1">
      <c r="A22" s="1">
        <v>2015</v>
      </c>
    </row>
    <row r="23" spans="1:1">
      <c r="A23" s="1">
        <v>2016</v>
      </c>
    </row>
    <row r="24" spans="1:1">
      <c r="A24" s="1">
        <v>2017</v>
      </c>
    </row>
    <row r="25" spans="1:1">
      <c r="A25" s="1">
        <v>2018</v>
      </c>
    </row>
    <row r="26" spans="1:1">
      <c r="A26" s="1">
        <v>2019</v>
      </c>
    </row>
    <row r="27" spans="1:1">
      <c r="A27" s="1">
        <v>2020</v>
      </c>
    </row>
    <row r="28" spans="1:1">
      <c r="A28" s="1">
        <v>2021</v>
      </c>
    </row>
  </sheetData>
  <mergeCells count="3">
    <mergeCell ref="B1:D1"/>
    <mergeCell ref="B2:D2"/>
    <mergeCell ref="A1:A3"/>
  </mergeCells>
  <hyperlinks>
    <hyperlink ref="B1:D1" r:id="rId1" display="Mozambique" xr:uid="{00000000-0004-0000-14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108"/>
  <sheetViews>
    <sheetView workbookViewId="0">
      <pane xSplit="1" ySplit="3" topLeftCell="B81" activePane="bottomRight" state="frozen"/>
      <selection pane="topRight" activeCell="B1" sqref="B1"/>
      <selection pane="bottomLeft" activeCell="A4" sqref="A4"/>
      <selection pane="bottomRight" activeCell="E93" sqref="E93:E102"/>
    </sheetView>
  </sheetViews>
  <sheetFormatPr defaultRowHeight="14.4"/>
  <cols>
    <col min="1" max="1" width="5" style="1" customWidth="1"/>
    <col min="2" max="2" width="8.5546875" style="1" customWidth="1"/>
    <col min="3" max="3" width="8.88671875" style="1"/>
    <col min="4" max="4" width="7" style="1" customWidth="1"/>
    <col min="5" max="5" width="9.44140625" style="1" customWidth="1"/>
  </cols>
  <sheetData>
    <row r="1" spans="1:5">
      <c r="A1" s="53" t="s">
        <v>0</v>
      </c>
      <c r="B1" s="53" t="s">
        <v>107</v>
      </c>
      <c r="C1" s="53"/>
      <c r="D1" s="53"/>
      <c r="E1" s="53"/>
    </row>
    <row r="2" spans="1:5">
      <c r="A2" s="53"/>
      <c r="B2" s="53" t="s">
        <v>16</v>
      </c>
      <c r="C2" s="53"/>
      <c r="D2" s="53" t="s">
        <v>23</v>
      </c>
      <c r="E2" s="53"/>
    </row>
    <row r="3" spans="1:5">
      <c r="A3" s="53"/>
      <c r="B3" s="1" t="s">
        <v>35</v>
      </c>
      <c r="C3" s="15" t="s">
        <v>33</v>
      </c>
      <c r="D3" s="1" t="s">
        <v>34</v>
      </c>
      <c r="E3" s="1" t="s">
        <v>33</v>
      </c>
    </row>
    <row r="4" spans="1:5">
      <c r="A4" s="1">
        <v>1925</v>
      </c>
      <c r="B4" s="15">
        <v>1</v>
      </c>
      <c r="C4" s="29"/>
      <c r="E4" s="29"/>
    </row>
    <row r="5" spans="1:5">
      <c r="A5" s="1">
        <v>1926</v>
      </c>
      <c r="C5" s="29"/>
      <c r="E5" s="29"/>
    </row>
    <row r="6" spans="1:5">
      <c r="A6" s="1">
        <v>1927</v>
      </c>
      <c r="C6" s="29"/>
      <c r="E6" s="29"/>
    </row>
    <row r="7" spans="1:5">
      <c r="A7" s="1">
        <v>1928</v>
      </c>
      <c r="C7" s="29"/>
      <c r="E7" s="29"/>
    </row>
    <row r="8" spans="1:5">
      <c r="A8" s="1">
        <v>1929</v>
      </c>
      <c r="C8" s="29"/>
      <c r="E8" s="29"/>
    </row>
    <row r="9" spans="1:5">
      <c r="A9" s="1">
        <v>1930</v>
      </c>
      <c r="C9" s="29"/>
      <c r="E9" s="29"/>
    </row>
    <row r="10" spans="1:5">
      <c r="A10" s="1">
        <v>1931</v>
      </c>
      <c r="C10" s="29"/>
      <c r="E10" s="29"/>
    </row>
    <row r="11" spans="1:5">
      <c r="A11" s="1">
        <v>1932</v>
      </c>
      <c r="C11" s="29"/>
      <c r="E11" s="29"/>
    </row>
    <row r="12" spans="1:5">
      <c r="A12" s="1">
        <v>1933</v>
      </c>
      <c r="C12" s="29"/>
      <c r="E12" s="29"/>
    </row>
    <row r="13" spans="1:5">
      <c r="A13" s="1">
        <v>1934</v>
      </c>
      <c r="C13" s="29"/>
      <c r="E13" s="29"/>
    </row>
    <row r="14" spans="1:5">
      <c r="A14" s="1">
        <v>1935</v>
      </c>
      <c r="C14" s="29"/>
      <c r="E14" s="29"/>
    </row>
    <row r="15" spans="1:5">
      <c r="A15" s="1">
        <v>1936</v>
      </c>
      <c r="C15" s="29"/>
      <c r="E15" s="29"/>
    </row>
    <row r="16" spans="1:5">
      <c r="A16" s="1">
        <v>1937</v>
      </c>
      <c r="C16" s="29"/>
      <c r="E16" s="29"/>
    </row>
    <row r="17" spans="1:5">
      <c r="A17" s="1">
        <v>1938</v>
      </c>
      <c r="C17" s="29"/>
      <c r="E17" s="29"/>
    </row>
    <row r="18" spans="1:5">
      <c r="A18" s="1">
        <v>1939</v>
      </c>
      <c r="C18" s="29"/>
      <c r="E18" s="29"/>
    </row>
    <row r="19" spans="1:5">
      <c r="A19" s="1">
        <v>1940</v>
      </c>
      <c r="C19" s="29"/>
      <c r="E19" s="29"/>
    </row>
    <row r="20" spans="1:5">
      <c r="A20" s="1">
        <v>1941</v>
      </c>
      <c r="C20" s="29"/>
      <c r="E20" s="29"/>
    </row>
    <row r="21" spans="1:5">
      <c r="A21" s="1">
        <v>1942</v>
      </c>
      <c r="C21" s="29"/>
      <c r="E21" s="29"/>
    </row>
    <row r="22" spans="1:5">
      <c r="A22" s="1">
        <v>1943</v>
      </c>
      <c r="C22" s="29"/>
      <c r="E22" s="29"/>
    </row>
    <row r="23" spans="1:5">
      <c r="A23" s="1">
        <v>1944</v>
      </c>
      <c r="C23" s="29"/>
      <c r="E23" s="29"/>
    </row>
    <row r="24" spans="1:5">
      <c r="A24" s="1">
        <v>1945</v>
      </c>
      <c r="C24" s="29"/>
      <c r="E24" s="29"/>
    </row>
    <row r="25" spans="1:5">
      <c r="A25" s="1">
        <v>1946</v>
      </c>
      <c r="C25" s="29"/>
      <c r="E25" s="29"/>
    </row>
    <row r="26" spans="1:5">
      <c r="A26" s="1">
        <v>1947</v>
      </c>
      <c r="C26" s="29"/>
      <c r="E26" s="29"/>
    </row>
    <row r="27" spans="1:5">
      <c r="A27" s="1">
        <v>1948</v>
      </c>
      <c r="C27" s="29"/>
      <c r="E27" s="29"/>
    </row>
    <row r="28" spans="1:5">
      <c r="A28" s="1">
        <v>1949</v>
      </c>
      <c r="C28" s="29"/>
      <c r="E28" s="29"/>
    </row>
    <row r="29" spans="1:5">
      <c r="A29" s="1">
        <v>1950</v>
      </c>
      <c r="C29" s="29"/>
      <c r="E29" s="29"/>
    </row>
    <row r="30" spans="1:5">
      <c r="A30" s="1">
        <v>1951</v>
      </c>
      <c r="C30" s="29"/>
      <c r="E30" s="29"/>
    </row>
    <row r="31" spans="1:5">
      <c r="A31" s="1">
        <v>1952</v>
      </c>
      <c r="C31" s="29"/>
      <c r="E31" s="29"/>
    </row>
    <row r="32" spans="1:5">
      <c r="A32" s="1">
        <v>1953</v>
      </c>
      <c r="C32" s="29"/>
      <c r="E32" s="29"/>
    </row>
    <row r="33" spans="1:5">
      <c r="A33" s="1">
        <v>1954</v>
      </c>
      <c r="C33" s="29"/>
      <c r="E33" s="29"/>
    </row>
    <row r="34" spans="1:5">
      <c r="A34" s="1">
        <v>1955</v>
      </c>
      <c r="C34" s="29"/>
      <c r="E34" s="29"/>
    </row>
    <row r="35" spans="1:5">
      <c r="A35" s="1">
        <v>1956</v>
      </c>
      <c r="C35" s="29"/>
      <c r="E35" s="29"/>
    </row>
    <row r="36" spans="1:5">
      <c r="A36" s="1">
        <v>1957</v>
      </c>
      <c r="C36" s="29"/>
      <c r="E36" s="29"/>
    </row>
    <row r="37" spans="1:5">
      <c r="A37" s="1">
        <v>1958</v>
      </c>
      <c r="C37" s="29"/>
      <c r="E37" s="29"/>
    </row>
    <row r="38" spans="1:5">
      <c r="A38" s="1">
        <v>1959</v>
      </c>
      <c r="C38" s="29"/>
      <c r="E38" s="29"/>
    </row>
    <row r="39" spans="1:5">
      <c r="A39" s="1">
        <v>1960</v>
      </c>
      <c r="C39" s="29"/>
      <c r="E39" s="29"/>
    </row>
    <row r="40" spans="1:5">
      <c r="A40" s="1">
        <v>1961</v>
      </c>
      <c r="C40" s="29"/>
      <c r="E40" s="29"/>
    </row>
    <row r="41" spans="1:5">
      <c r="A41" s="1">
        <v>1962</v>
      </c>
      <c r="C41" s="29"/>
      <c r="E41" s="29"/>
    </row>
    <row r="42" spans="1:5">
      <c r="A42" s="1">
        <v>1963</v>
      </c>
      <c r="C42" s="29"/>
      <c r="E42" s="29"/>
    </row>
    <row r="43" spans="1:5">
      <c r="A43" s="1">
        <v>1964</v>
      </c>
      <c r="C43" s="29"/>
      <c r="E43" s="29"/>
    </row>
    <row r="44" spans="1:5">
      <c r="A44" s="1">
        <v>1965</v>
      </c>
      <c r="C44" s="29"/>
      <c r="E44" s="29"/>
    </row>
    <row r="45" spans="1:5">
      <c r="A45" s="1">
        <v>1966</v>
      </c>
      <c r="C45" s="29"/>
      <c r="E45" s="29"/>
    </row>
    <row r="46" spans="1:5">
      <c r="A46" s="1">
        <v>1967</v>
      </c>
      <c r="C46" s="29"/>
      <c r="E46" s="29"/>
    </row>
    <row r="47" spans="1:5">
      <c r="A47" s="1">
        <v>1968</v>
      </c>
      <c r="C47" s="29"/>
      <c r="E47" s="29"/>
    </row>
    <row r="48" spans="1:5">
      <c r="A48" s="1">
        <v>1969</v>
      </c>
      <c r="C48" s="29"/>
      <c r="E48" s="29"/>
    </row>
    <row r="49" spans="1:5">
      <c r="A49" s="1">
        <v>1970</v>
      </c>
      <c r="C49" s="29">
        <v>0.05</v>
      </c>
      <c r="E49" s="30">
        <v>0.05</v>
      </c>
    </row>
    <row r="50" spans="1:5">
      <c r="A50" s="1">
        <v>1971</v>
      </c>
      <c r="C50" s="29"/>
      <c r="E50" s="29"/>
    </row>
    <row r="51" spans="1:5">
      <c r="A51" s="1">
        <v>1972</v>
      </c>
      <c r="C51" s="29"/>
      <c r="E51" s="29"/>
    </row>
    <row r="52" spans="1:5">
      <c r="A52" s="1">
        <v>1973</v>
      </c>
      <c r="C52" s="29"/>
      <c r="E52" s="29"/>
    </row>
    <row r="53" spans="1:5">
      <c r="A53" s="1">
        <v>1974</v>
      </c>
      <c r="C53" s="29"/>
      <c r="E53" s="29"/>
    </row>
    <row r="54" spans="1:5">
      <c r="A54" s="1">
        <v>1975</v>
      </c>
      <c r="C54" s="29"/>
      <c r="E54" s="29"/>
    </row>
    <row r="55" spans="1:5">
      <c r="A55" s="1">
        <v>1976</v>
      </c>
      <c r="C55" s="29"/>
      <c r="E55" s="29"/>
    </row>
    <row r="56" spans="1:5">
      <c r="A56" s="1">
        <v>1977</v>
      </c>
      <c r="C56" s="29"/>
      <c r="E56" s="29"/>
    </row>
    <row r="57" spans="1:5">
      <c r="A57" s="1">
        <v>1978</v>
      </c>
      <c r="C57" s="29"/>
      <c r="E57" s="29"/>
    </row>
    <row r="58" spans="1:5">
      <c r="A58" s="1">
        <v>1979</v>
      </c>
      <c r="C58" s="29"/>
      <c r="E58" s="29"/>
    </row>
    <row r="59" spans="1:5">
      <c r="A59" s="1">
        <v>1980</v>
      </c>
      <c r="C59" s="29"/>
      <c r="E59" s="29"/>
    </row>
    <row r="60" spans="1:5">
      <c r="A60" s="1">
        <v>1981</v>
      </c>
      <c r="C60" s="29"/>
      <c r="E60" s="29"/>
    </row>
    <row r="61" spans="1:5">
      <c r="A61" s="1">
        <v>1982</v>
      </c>
      <c r="C61" s="29">
        <v>0.35</v>
      </c>
      <c r="E61" s="29"/>
    </row>
    <row r="62" spans="1:5">
      <c r="A62" s="1">
        <v>1983</v>
      </c>
      <c r="C62" s="29"/>
      <c r="E62" s="29"/>
    </row>
    <row r="63" spans="1:5">
      <c r="A63" s="1">
        <v>1984</v>
      </c>
      <c r="C63" s="29"/>
      <c r="E63" s="29"/>
    </row>
    <row r="64" spans="1:5">
      <c r="A64" s="1">
        <v>1985</v>
      </c>
      <c r="C64" s="29"/>
      <c r="E64" s="29"/>
    </row>
    <row r="65" spans="1:5">
      <c r="A65" s="1">
        <v>1986</v>
      </c>
      <c r="C65" s="29"/>
      <c r="E65" s="29"/>
    </row>
    <row r="66" spans="1:5">
      <c r="A66" s="1">
        <v>1987</v>
      </c>
      <c r="C66" s="29"/>
      <c r="E66" s="29"/>
    </row>
    <row r="67" spans="1:5">
      <c r="A67" s="1">
        <v>1988</v>
      </c>
      <c r="C67" s="29"/>
      <c r="E67" s="29"/>
    </row>
    <row r="68" spans="1:5">
      <c r="A68" s="1">
        <v>1989</v>
      </c>
      <c r="C68" s="29"/>
      <c r="E68" s="29"/>
    </row>
    <row r="69" spans="1:5">
      <c r="A69" s="1">
        <v>1990</v>
      </c>
      <c r="C69" s="29">
        <v>0.5</v>
      </c>
      <c r="E69" s="29"/>
    </row>
    <row r="70" spans="1:5">
      <c r="A70" s="1">
        <v>1991</v>
      </c>
      <c r="C70" s="29"/>
      <c r="E70" s="29"/>
    </row>
    <row r="71" spans="1:5">
      <c r="A71" s="1">
        <v>1992</v>
      </c>
      <c r="C71" s="29"/>
      <c r="E71" s="29"/>
    </row>
    <row r="72" spans="1:5">
      <c r="A72" s="1">
        <v>1993</v>
      </c>
      <c r="C72" s="29"/>
      <c r="E72" s="29"/>
    </row>
    <row r="73" spans="1:5">
      <c r="A73" s="1">
        <v>1994</v>
      </c>
      <c r="C73" s="29">
        <v>0.6</v>
      </c>
      <c r="E73" s="29"/>
    </row>
    <row r="74" spans="1:5">
      <c r="A74" s="1">
        <v>1995</v>
      </c>
      <c r="C74" s="29"/>
      <c r="E74" s="29"/>
    </row>
    <row r="75" spans="1:5">
      <c r="A75" s="1">
        <v>1996</v>
      </c>
      <c r="C75" s="29"/>
      <c r="E75" s="29"/>
    </row>
    <row r="76" spans="1:5">
      <c r="A76" s="1">
        <v>1997</v>
      </c>
      <c r="C76" s="29"/>
      <c r="E76" s="29"/>
    </row>
    <row r="77" spans="1:5">
      <c r="A77" s="1">
        <v>1998</v>
      </c>
      <c r="C77" s="29"/>
      <c r="E77" s="29"/>
    </row>
    <row r="78" spans="1:5">
      <c r="A78" s="1">
        <v>1999</v>
      </c>
      <c r="C78" s="29"/>
      <c r="E78" s="29"/>
    </row>
    <row r="79" spans="1:5">
      <c r="A79" s="1">
        <v>2000</v>
      </c>
      <c r="C79" s="29"/>
      <c r="E79" s="30">
        <v>0.25</v>
      </c>
    </row>
    <row r="80" spans="1:5">
      <c r="A80" s="1">
        <v>2001</v>
      </c>
      <c r="C80" s="29"/>
      <c r="E80" s="29"/>
    </row>
    <row r="81" spans="1:5">
      <c r="A81" s="1">
        <v>2002</v>
      </c>
      <c r="C81" s="29"/>
      <c r="E81" s="29"/>
    </row>
    <row r="82" spans="1:5">
      <c r="A82" s="1">
        <v>2003</v>
      </c>
      <c r="C82" s="29"/>
      <c r="E82" s="29"/>
    </row>
    <row r="83" spans="1:5">
      <c r="A83" s="1">
        <v>2004</v>
      </c>
      <c r="C83" s="29"/>
      <c r="E83" s="29"/>
    </row>
    <row r="84" spans="1:5">
      <c r="A84" s="1">
        <v>2005</v>
      </c>
      <c r="C84" s="29"/>
      <c r="E84" s="29"/>
    </row>
    <row r="85" spans="1:5">
      <c r="A85" s="1">
        <v>2006</v>
      </c>
      <c r="C85" s="29">
        <v>0.8</v>
      </c>
      <c r="E85" s="29"/>
    </row>
    <row r="86" spans="1:5">
      <c r="A86" s="1">
        <v>2007</v>
      </c>
      <c r="C86" s="29"/>
      <c r="E86" s="29"/>
    </row>
    <row r="87" spans="1:5">
      <c r="A87" s="1">
        <v>2008</v>
      </c>
      <c r="C87" s="29"/>
      <c r="E87" s="29"/>
    </row>
    <row r="88" spans="1:5">
      <c r="A88" s="1">
        <v>2009</v>
      </c>
      <c r="C88" s="29"/>
      <c r="E88" s="29"/>
    </row>
    <row r="89" spans="1:5">
      <c r="A89" s="1">
        <v>2010</v>
      </c>
      <c r="C89" s="29"/>
      <c r="E89" s="29"/>
    </row>
    <row r="90" spans="1:5">
      <c r="A90" s="1">
        <v>2011</v>
      </c>
      <c r="C90" s="29"/>
      <c r="E90" s="29"/>
    </row>
    <row r="91" spans="1:5">
      <c r="A91" s="1">
        <v>2012</v>
      </c>
      <c r="C91" s="29"/>
      <c r="E91" s="29"/>
    </row>
    <row r="92" spans="1:5">
      <c r="A92" s="1">
        <v>2013</v>
      </c>
      <c r="C92" s="29"/>
      <c r="D92" s="41"/>
      <c r="E92" s="29"/>
    </row>
    <row r="93" spans="1:5">
      <c r="A93" s="1">
        <v>2014</v>
      </c>
      <c r="C93" s="29"/>
      <c r="D93" s="41"/>
      <c r="E93" s="30">
        <v>0.49</v>
      </c>
    </row>
    <row r="94" spans="1:5">
      <c r="A94" s="1">
        <v>2015</v>
      </c>
      <c r="C94" s="29"/>
      <c r="D94" s="41"/>
      <c r="E94" s="29"/>
    </row>
    <row r="95" spans="1:5">
      <c r="A95" s="1">
        <v>2016</v>
      </c>
      <c r="C95" s="29"/>
      <c r="D95" s="42">
        <v>5219</v>
      </c>
      <c r="E95" s="30">
        <v>0.56999999999999995</v>
      </c>
    </row>
    <row r="96" spans="1:5">
      <c r="A96" s="1">
        <v>2017</v>
      </c>
      <c r="C96" s="29"/>
      <c r="D96" s="41"/>
      <c r="E96" s="29"/>
    </row>
    <row r="97" spans="1:5">
      <c r="A97" s="1">
        <v>2018</v>
      </c>
      <c r="C97" s="33">
        <v>0.86</v>
      </c>
      <c r="D97" s="42"/>
      <c r="E97" s="30">
        <v>0.53</v>
      </c>
    </row>
    <row r="98" spans="1:5">
      <c r="A98" s="1">
        <v>2019</v>
      </c>
      <c r="C98" s="29"/>
      <c r="D98" s="41"/>
      <c r="E98" s="29"/>
    </row>
    <row r="99" spans="1:5">
      <c r="A99" s="1">
        <v>2020</v>
      </c>
      <c r="C99" s="29"/>
      <c r="D99" s="41"/>
      <c r="E99" s="29"/>
    </row>
    <row r="100" spans="1:5">
      <c r="A100" s="1">
        <v>2021</v>
      </c>
      <c r="C100" s="29"/>
      <c r="D100" s="41"/>
      <c r="E100" s="29"/>
    </row>
    <row r="101" spans="1:5">
      <c r="A101" s="1">
        <v>2022</v>
      </c>
      <c r="C101" s="29"/>
      <c r="D101" s="41"/>
      <c r="E101" s="29"/>
    </row>
    <row r="102" spans="1:5">
      <c r="A102" s="1">
        <v>2023</v>
      </c>
      <c r="C102" s="29"/>
      <c r="D102" s="41"/>
      <c r="E102" s="30">
        <v>0.64</v>
      </c>
    </row>
    <row r="103" spans="1:5">
      <c r="A103" s="1">
        <v>2024</v>
      </c>
      <c r="C103" s="29"/>
      <c r="D103" s="41"/>
      <c r="E103" s="29"/>
    </row>
    <row r="104" spans="1:5">
      <c r="A104" s="1">
        <v>2025</v>
      </c>
      <c r="C104" s="29"/>
      <c r="D104" s="41"/>
      <c r="E104" s="29"/>
    </row>
    <row r="105" spans="1:5">
      <c r="C105" s="29"/>
      <c r="D105" s="41"/>
      <c r="E105" s="29"/>
    </row>
    <row r="106" spans="1:5">
      <c r="C106" s="29"/>
      <c r="D106" s="41"/>
    </row>
    <row r="107" spans="1:5">
      <c r="D107" s="41"/>
    </row>
    <row r="108" spans="1:5">
      <c r="D108" s="41"/>
    </row>
  </sheetData>
  <mergeCells count="4">
    <mergeCell ref="B2:C2"/>
    <mergeCell ref="D2:E2"/>
    <mergeCell ref="B1:E1"/>
    <mergeCell ref="A1:A3"/>
  </mergeCells>
  <hyperlinks>
    <hyperlink ref="E95" r:id="rId1" display="https://www.raadgevers.nl/wp-content/uploads/2018/06/Artikel-feminisering-en-ondernemerschap-site-Raadgevers.pdf" xr:uid="{00000000-0004-0000-1500-000001000000}"/>
    <hyperlink ref="E93" r:id="rId2" display="https://www.colvet.es/files/portalcontenidos/documentos/document-2022-02-09t112347.069.pdf" xr:uid="{0355AD81-9B7E-4950-8226-127D7DF99BFA}"/>
    <hyperlink ref="E97" r:id="rId3" display="https://www.fve.org/cms/wp-content/uploads/FVE_Survey_2018_WEB.pdf" xr:uid="{BD80C2D9-31A4-4DEF-B29C-38535ED0101B}"/>
    <hyperlink ref="E102" r:id="rId4" display="https://fve.org/cms/wp-content/uploads/FVE-Survey-2023_updated-v3.pdf" xr:uid="{BC12D418-F438-467D-B513-8832EBFFF642}"/>
    <hyperlink ref="D95" r:id="rId5" display="https://www.raadgevers.nl/wp-content/uploads/2018/06/Artikel-feminisering-en-ondernemerschap-site-Raadgevers.pdf" xr:uid="{0BC0D80B-8E17-4B82-8968-E5A243605446}"/>
    <hyperlink ref="C3" r:id="rId6" xr:uid="{C4B2E7D6-3A89-4937-A57C-EFC72F65AFD4}"/>
    <hyperlink ref="B4" r:id="rId7" display="https://www.raadgevers.nl/wp-content/uploads/2018/06/Artikel-feminisering-en-ondernemerschap-site-Raadgevers.pdf" xr:uid="{4852F407-B90A-40FC-8380-04D6404D68DF}"/>
    <hyperlink ref="E49" r:id="rId8" display="https://www.researchgate.net/publication/43983529_APROXIMACION_A_LA_HISTORIA_DE_LA_MUJER_EN_LA_MEDICINA_VETERINARIA_EL_CASO_DEL_DECANATO_DE_CIENCIAS_VETERINARIAS_DE_LA_UNIVERSIDAD_CENTROCCIDENTAL_LISANDRO_ALVARADO" xr:uid="{6482B784-7C1C-41C8-92A4-B35E73F2C9E2}"/>
    <hyperlink ref="E79" r:id="rId9" display="https://www.researchgate.net/publication/43983529_APROXIMACION_A_LA_HISTORIA_DE_LA_MUJER_EN_LA_MEDICINA_VETERINARIA_EL_CASO_DEL_DECANATO_DE_CIENCIAS_VETERINARIAS_DE_LA_UNIVERSIDAD_CENTROCCIDENTAL_LISANDRO_ALVARADO" xr:uid="{8F339C7F-45DF-4DD3-A47A-E6037712AAE6}"/>
  </hyperlinks>
  <pageMargins left="0.7" right="0.7" top="0.75" bottom="0.75" header="0.3" footer="0.3"/>
  <legacyDrawing r:id="rId10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2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23" sqref="I23"/>
    </sheetView>
  </sheetViews>
  <sheetFormatPr defaultRowHeight="14.4"/>
  <cols>
    <col min="1" max="1" width="6.88671875" customWidth="1"/>
    <col min="2" max="2" width="11.33203125" customWidth="1"/>
    <col min="3" max="7" width="8.88671875" style="1"/>
  </cols>
  <sheetData>
    <row r="1" spans="1:7" ht="14.4" customHeight="1">
      <c r="A1" s="58" t="s">
        <v>0</v>
      </c>
      <c r="B1" s="53" t="s">
        <v>109</v>
      </c>
      <c r="C1" s="53"/>
      <c r="D1" s="53"/>
      <c r="E1" s="53"/>
      <c r="F1" s="53"/>
      <c r="G1" s="53"/>
    </row>
    <row r="2" spans="1:7">
      <c r="A2" s="58"/>
      <c r="B2" s="59" t="s">
        <v>108</v>
      </c>
      <c r="C2" s="54" t="s">
        <v>23</v>
      </c>
      <c r="D2" s="54"/>
      <c r="E2" s="54"/>
      <c r="F2" s="54"/>
      <c r="G2" s="54"/>
    </row>
    <row r="3" spans="1:7" ht="28.8" customHeight="1">
      <c r="A3" s="58"/>
      <c r="B3" s="59"/>
      <c r="C3" s="1" t="s">
        <v>110</v>
      </c>
      <c r="D3" s="1" t="s">
        <v>26</v>
      </c>
      <c r="E3" s="1" t="s">
        <v>111</v>
      </c>
      <c r="F3" s="1" t="s">
        <v>112</v>
      </c>
      <c r="G3" s="1" t="s">
        <v>113</v>
      </c>
    </row>
    <row r="4" spans="1:7">
      <c r="A4" s="38">
        <v>2008</v>
      </c>
      <c r="B4" s="38"/>
      <c r="C4" s="1">
        <v>2146</v>
      </c>
      <c r="D4" s="1">
        <v>904</v>
      </c>
      <c r="E4" s="29">
        <f>D4/C4</f>
        <v>0.4212488350419385</v>
      </c>
      <c r="G4" s="29"/>
    </row>
    <row r="5" spans="1:7">
      <c r="A5" s="38">
        <v>2009</v>
      </c>
      <c r="B5" s="38"/>
      <c r="E5" s="29"/>
      <c r="G5" s="29"/>
    </row>
    <row r="6" spans="1:7">
      <c r="A6" s="38">
        <v>2010</v>
      </c>
      <c r="B6" s="38">
        <v>2392</v>
      </c>
      <c r="E6" s="29"/>
      <c r="G6" s="29"/>
    </row>
    <row r="7" spans="1:7">
      <c r="A7" s="38">
        <v>2011</v>
      </c>
      <c r="B7" s="38">
        <v>2425</v>
      </c>
      <c r="E7" s="29"/>
      <c r="G7" s="29"/>
    </row>
    <row r="8" spans="1:7">
      <c r="A8" s="38">
        <v>2012</v>
      </c>
      <c r="B8" s="38">
        <v>2521</v>
      </c>
      <c r="E8" s="29"/>
      <c r="G8" s="29"/>
    </row>
    <row r="9" spans="1:7">
      <c r="A9" s="38">
        <v>2013</v>
      </c>
      <c r="B9" s="38">
        <v>2608</v>
      </c>
      <c r="E9" s="29">
        <v>0.47</v>
      </c>
      <c r="G9" s="29"/>
    </row>
    <row r="10" spans="1:7">
      <c r="A10" s="38">
        <v>2014</v>
      </c>
      <c r="B10" s="38">
        <v>2710</v>
      </c>
      <c r="E10" s="29"/>
      <c r="G10" s="29"/>
    </row>
    <row r="11" spans="1:7">
      <c r="A11" s="38">
        <v>2015</v>
      </c>
      <c r="B11" s="38">
        <v>2802</v>
      </c>
      <c r="E11" s="29"/>
      <c r="G11" s="29"/>
    </row>
    <row r="12" spans="1:7">
      <c r="A12" s="38">
        <v>2016</v>
      </c>
      <c r="B12" s="38">
        <v>2813</v>
      </c>
      <c r="E12" s="29"/>
      <c r="G12" s="29"/>
    </row>
    <row r="13" spans="1:7">
      <c r="A13" s="38">
        <v>2017</v>
      </c>
      <c r="B13" s="38">
        <v>2887</v>
      </c>
      <c r="E13" s="29"/>
      <c r="G13" s="29"/>
    </row>
    <row r="14" spans="1:7">
      <c r="A14" s="1">
        <v>2018</v>
      </c>
      <c r="B14" s="1">
        <v>2966</v>
      </c>
      <c r="C14" s="15">
        <v>2475</v>
      </c>
      <c r="D14" s="15">
        <v>1470</v>
      </c>
      <c r="E14" s="29">
        <f>D14/C14</f>
        <v>0.59393939393939399</v>
      </c>
      <c r="F14" s="1">
        <v>3</v>
      </c>
      <c r="G14" s="29">
        <f>F14/C14</f>
        <v>1.2121212121212121E-3</v>
      </c>
    </row>
    <row r="15" spans="1:7">
      <c r="A15" s="1">
        <v>2019</v>
      </c>
      <c r="B15" s="1">
        <v>3054</v>
      </c>
      <c r="E15" s="29"/>
      <c r="G15" s="29"/>
    </row>
    <row r="16" spans="1:7">
      <c r="A16" s="1">
        <v>2020</v>
      </c>
      <c r="B16" s="1"/>
      <c r="E16" s="29"/>
      <c r="G16" s="29"/>
    </row>
    <row r="17" spans="1:7">
      <c r="A17" s="1">
        <v>2021</v>
      </c>
      <c r="B17" s="1"/>
      <c r="E17" s="29"/>
      <c r="G17" s="29"/>
    </row>
    <row r="18" spans="1:7">
      <c r="A18" s="1"/>
      <c r="B18" s="1"/>
      <c r="E18" s="29"/>
      <c r="G18" s="29"/>
    </row>
    <row r="19" spans="1:7">
      <c r="E19" s="29"/>
      <c r="G19" s="29"/>
    </row>
    <row r="20" spans="1:7">
      <c r="E20" s="29"/>
      <c r="G20" s="29"/>
    </row>
    <row r="21" spans="1:7">
      <c r="E21" s="29"/>
      <c r="G21" s="29"/>
    </row>
    <row r="22" spans="1:7">
      <c r="E22" s="29"/>
      <c r="G22" s="29"/>
    </row>
    <row r="23" spans="1:7">
      <c r="G23" s="29"/>
    </row>
    <row r="24" spans="1:7">
      <c r="G24" s="29"/>
    </row>
    <row r="25" spans="1:7">
      <c r="G25" s="29"/>
    </row>
  </sheetData>
  <mergeCells count="4">
    <mergeCell ref="A1:A3"/>
    <mergeCell ref="C2:G2"/>
    <mergeCell ref="B1:G1"/>
    <mergeCell ref="B2:B3"/>
  </mergeCells>
  <hyperlinks>
    <hyperlink ref="C2:G2" r:id="rId1" display="Professionals" xr:uid="{00000000-0004-0000-1600-000000000000}"/>
    <hyperlink ref="C14" r:id="rId2" display="https://figure.nz/chart/m2Bsp1Y7bUFJiR8p" xr:uid="{00000000-0004-0000-1600-000001000000}"/>
    <hyperlink ref="D14" r:id="rId3" display="https://figure.nz/chart/m2Bsp1Y7bUFJiR8p" xr:uid="{00000000-0004-0000-1600-000002000000}"/>
  </hyperlinks>
  <pageMargins left="0.7" right="0.7" top="0.75" bottom="0.75" header="0.3" footer="0.3"/>
  <pageSetup orientation="portrait" r:id="rId4"/>
  <legacyDrawing r:id="rId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3E02E-0D5B-436D-863A-DC02930FEC80}">
  <dimension ref="A1:B14"/>
  <sheetViews>
    <sheetView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B4" sqref="B4:B13"/>
    </sheetView>
  </sheetViews>
  <sheetFormatPr defaultRowHeight="14.4"/>
  <sheetData>
    <row r="1" spans="1:2">
      <c r="A1" s="52" t="s">
        <v>0</v>
      </c>
      <c r="B1" t="s">
        <v>219</v>
      </c>
    </row>
    <row r="2" spans="1:2">
      <c r="A2" s="52"/>
      <c r="B2" t="s">
        <v>23</v>
      </c>
    </row>
    <row r="3" spans="1:2">
      <c r="A3" s="52"/>
      <c r="B3" t="s">
        <v>3</v>
      </c>
    </row>
    <row r="4" spans="1:2">
      <c r="A4">
        <v>2014</v>
      </c>
      <c r="B4" s="30">
        <v>0.19</v>
      </c>
    </row>
    <row r="5" spans="1:2">
      <c r="A5">
        <v>2015</v>
      </c>
      <c r="B5" s="33"/>
    </row>
    <row r="6" spans="1:2">
      <c r="A6">
        <v>2016</v>
      </c>
      <c r="B6" s="33"/>
    </row>
    <row r="7" spans="1:2">
      <c r="A7">
        <v>2017</v>
      </c>
      <c r="B7" s="33"/>
    </row>
    <row r="8" spans="1:2">
      <c r="A8">
        <v>2018</v>
      </c>
      <c r="B8" s="30">
        <v>0.32</v>
      </c>
    </row>
    <row r="9" spans="1:2">
      <c r="A9">
        <v>2019</v>
      </c>
      <c r="B9" s="33"/>
    </row>
    <row r="10" spans="1:2">
      <c r="A10">
        <v>2020</v>
      </c>
      <c r="B10" s="33"/>
    </row>
    <row r="11" spans="1:2">
      <c r="A11">
        <v>2021</v>
      </c>
      <c r="B11" s="33"/>
    </row>
    <row r="12" spans="1:2">
      <c r="A12">
        <v>2022</v>
      </c>
      <c r="B12" s="33"/>
    </row>
    <row r="13" spans="1:2">
      <c r="A13">
        <v>2023</v>
      </c>
      <c r="B13" s="30">
        <v>0.24</v>
      </c>
    </row>
    <row r="14" spans="1:2">
      <c r="A14">
        <v>2024</v>
      </c>
      <c r="B14" s="33"/>
    </row>
  </sheetData>
  <mergeCells count="1">
    <mergeCell ref="A1:A3"/>
  </mergeCells>
  <hyperlinks>
    <hyperlink ref="B4" r:id="rId1" display="https://www.colvet.es/files/portalcontenidos/documentos/document-2022-02-09t112347.069.pdf" xr:uid="{C6A7B4CF-8408-408C-9870-CAF98B35B38B}"/>
    <hyperlink ref="B8" r:id="rId2" display="https://www.fve.org/cms/wp-content/uploads/FVE_Survey_2018_WEB.pdf" xr:uid="{C8184AF9-049D-44FC-95DF-CF3398D6E79D}"/>
    <hyperlink ref="B13" r:id="rId3" display="https://fve.org/cms/wp-content/uploads/FVE-Survey-2023_updated-v3.pdf" xr:uid="{933055F4-6B25-4615-B88D-70AA854A5CBC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Z99"/>
  <sheetViews>
    <sheetView workbookViewId="0">
      <pane xSplit="1" ySplit="3" topLeftCell="B66" activePane="bottomRight" state="frozen"/>
      <selection pane="topRight" activeCell="B1" sqref="B1"/>
      <selection pane="bottomLeft" activeCell="A4" sqref="A4"/>
      <selection pane="bottomRight" sqref="A1:A3"/>
    </sheetView>
  </sheetViews>
  <sheetFormatPr defaultRowHeight="15" customHeight="1"/>
  <cols>
    <col min="1" max="1" width="5" style="1" customWidth="1"/>
    <col min="2" max="7" width="8.88671875" style="1"/>
    <col min="8" max="8" width="9.109375" style="1"/>
    <col min="22" max="23" width="8.88671875" style="1"/>
    <col min="26" max="26" width="8.88671875" style="47"/>
  </cols>
  <sheetData>
    <row r="1" spans="1:26" ht="14.4" customHeight="1">
      <c r="A1" s="53" t="s">
        <v>0</v>
      </c>
      <c r="B1" s="53" t="s">
        <v>114</v>
      </c>
      <c r="C1" s="53"/>
      <c r="D1" s="53"/>
      <c r="E1" s="53"/>
      <c r="F1" s="53"/>
      <c r="G1" s="53"/>
      <c r="H1" s="53"/>
      <c r="I1" s="53"/>
    </row>
    <row r="2" spans="1:26" ht="14.4">
      <c r="A2" s="53"/>
      <c r="B2" s="53" t="s">
        <v>31</v>
      </c>
      <c r="C2" s="53"/>
      <c r="D2" s="53"/>
      <c r="E2" s="53" t="s">
        <v>16</v>
      </c>
      <c r="F2" s="53"/>
      <c r="G2" s="53"/>
      <c r="H2" s="12" t="s">
        <v>115</v>
      </c>
      <c r="I2" t="s">
        <v>23</v>
      </c>
    </row>
    <row r="3" spans="1:26" ht="14.4">
      <c r="A3" s="53"/>
      <c r="B3" s="1" t="s">
        <v>34</v>
      </c>
      <c r="C3" s="1" t="s">
        <v>35</v>
      </c>
      <c r="D3" s="1" t="s">
        <v>33</v>
      </c>
      <c r="E3" s="1" t="s">
        <v>34</v>
      </c>
      <c r="F3" s="1" t="s">
        <v>35</v>
      </c>
      <c r="G3" s="1" t="s">
        <v>33</v>
      </c>
      <c r="H3" s="1" t="s">
        <v>35</v>
      </c>
      <c r="I3" t="s">
        <v>116</v>
      </c>
    </row>
    <row r="4" spans="1:26" ht="14.4">
      <c r="A4" s="1">
        <v>1935</v>
      </c>
      <c r="B4" s="15">
        <v>15</v>
      </c>
      <c r="C4" s="42">
        <v>0</v>
      </c>
      <c r="D4" s="29">
        <f>C4/B4</f>
        <v>0</v>
      </c>
      <c r="G4" s="29"/>
      <c r="H4" s="41"/>
      <c r="I4" s="33"/>
      <c r="V4" s="45">
        <v>1935</v>
      </c>
      <c r="W4" s="1">
        <v>15.315</v>
      </c>
      <c r="X4" s="46">
        <v>1935.0509999999999</v>
      </c>
      <c r="Y4" s="47">
        <v>0.90100000000000002</v>
      </c>
      <c r="Z4" s="47">
        <f>Y4-1</f>
        <v>-9.8999999999999977E-2</v>
      </c>
    </row>
    <row r="5" spans="1:26" ht="14.4">
      <c r="A5" s="45">
        <v>1936</v>
      </c>
      <c r="B5" s="41">
        <v>15.315</v>
      </c>
      <c r="C5" s="41">
        <v>1</v>
      </c>
      <c r="D5" s="29">
        <f t="shared" ref="D5:D68" si="0">C5/B5</f>
        <v>6.5295461965393403E-2</v>
      </c>
      <c r="G5" s="29"/>
      <c r="H5" s="41"/>
      <c r="I5" s="33"/>
      <c r="V5" s="45">
        <v>1936</v>
      </c>
      <c r="W5" s="1">
        <v>15.315</v>
      </c>
      <c r="X5" s="46">
        <v>1935.922</v>
      </c>
      <c r="Y5" s="47">
        <v>1.502</v>
      </c>
      <c r="Z5" s="47">
        <f t="shared" ref="Z5:Z68" si="1">Y5-1</f>
        <v>0.502</v>
      </c>
    </row>
    <row r="6" spans="1:26" ht="14.4">
      <c r="A6" s="45">
        <v>1937</v>
      </c>
      <c r="B6" s="41">
        <v>15.315</v>
      </c>
      <c r="C6" s="41">
        <v>0</v>
      </c>
      <c r="D6" s="29">
        <f t="shared" si="0"/>
        <v>0</v>
      </c>
      <c r="G6" s="29"/>
      <c r="H6" s="41"/>
      <c r="I6" s="33"/>
      <c r="V6" s="45">
        <v>1937</v>
      </c>
      <c r="W6" s="1">
        <v>15.315</v>
      </c>
      <c r="X6" s="46">
        <v>1936.8430000000001</v>
      </c>
      <c r="Y6" s="47">
        <v>0.60099999999999998</v>
      </c>
      <c r="Z6" s="47">
        <f t="shared" si="1"/>
        <v>-0.39900000000000002</v>
      </c>
    </row>
    <row r="7" spans="1:26" ht="14.4">
      <c r="A7" s="45">
        <v>1938</v>
      </c>
      <c r="B7" s="41">
        <v>15.315</v>
      </c>
      <c r="C7" s="41">
        <v>0</v>
      </c>
      <c r="D7" s="29">
        <f t="shared" si="0"/>
        <v>0</v>
      </c>
      <c r="G7" s="29"/>
      <c r="H7" s="41"/>
      <c r="I7" s="33"/>
      <c r="V7" s="45">
        <v>1938</v>
      </c>
      <c r="W7" s="1">
        <v>15.315</v>
      </c>
      <c r="X7" s="46">
        <v>1937.867</v>
      </c>
      <c r="Y7" s="47">
        <v>0.60099999999999998</v>
      </c>
      <c r="Z7" s="47">
        <f t="shared" si="1"/>
        <v>-0.39900000000000002</v>
      </c>
    </row>
    <row r="8" spans="1:26" ht="14.4">
      <c r="A8" s="45">
        <v>1939</v>
      </c>
      <c r="B8" s="41">
        <v>15.315</v>
      </c>
      <c r="C8" s="41">
        <v>0</v>
      </c>
      <c r="D8" s="29">
        <f t="shared" si="0"/>
        <v>0</v>
      </c>
      <c r="G8" s="29"/>
      <c r="H8" s="41"/>
      <c r="I8" s="33"/>
      <c r="V8" s="45">
        <v>1939</v>
      </c>
      <c r="W8" s="1">
        <v>15.315</v>
      </c>
      <c r="X8" s="46">
        <v>1938.9939999999999</v>
      </c>
      <c r="Y8" s="47">
        <v>0.60099999999999998</v>
      </c>
      <c r="Z8" s="47">
        <f t="shared" si="1"/>
        <v>-0.39900000000000002</v>
      </c>
    </row>
    <row r="9" spans="1:26" ht="14.4">
      <c r="A9" s="45">
        <v>1940</v>
      </c>
      <c r="B9" s="41">
        <v>13.212999999999999</v>
      </c>
      <c r="C9" s="41">
        <v>2</v>
      </c>
      <c r="D9" s="29">
        <f t="shared" si="0"/>
        <v>0.15136607886172709</v>
      </c>
      <c r="G9" s="29"/>
      <c r="H9" s="41"/>
      <c r="I9" s="33"/>
      <c r="V9" s="45">
        <v>1940</v>
      </c>
      <c r="W9" s="1">
        <v>13.212999999999999</v>
      </c>
      <c r="X9" s="46">
        <v>1939.9159999999999</v>
      </c>
      <c r="Y9" s="47">
        <v>2.1019999999999999</v>
      </c>
      <c r="Z9" s="47">
        <f t="shared" si="1"/>
        <v>1.1019999999999999</v>
      </c>
    </row>
    <row r="10" spans="1:26" ht="14.4">
      <c r="A10" s="45">
        <v>1941</v>
      </c>
      <c r="B10" s="41">
        <v>16.216000000000001</v>
      </c>
      <c r="C10" s="41">
        <v>1</v>
      </c>
      <c r="D10" s="29">
        <f t="shared" si="0"/>
        <v>6.1667488899851991E-2</v>
      </c>
      <c r="G10" s="29"/>
      <c r="H10" s="41"/>
      <c r="I10" s="33"/>
      <c r="V10" s="45">
        <v>1941</v>
      </c>
      <c r="W10" s="1">
        <v>16.216000000000001</v>
      </c>
      <c r="X10" s="46">
        <v>1940.94</v>
      </c>
      <c r="Y10" s="47">
        <v>1.502</v>
      </c>
      <c r="Z10" s="47">
        <f t="shared" si="1"/>
        <v>0.502</v>
      </c>
    </row>
    <row r="11" spans="1:26" ht="14.4">
      <c r="A11" s="45">
        <v>1942</v>
      </c>
      <c r="B11" s="41">
        <v>20.420000000000002</v>
      </c>
      <c r="C11" s="41">
        <v>2</v>
      </c>
      <c r="D11" s="29">
        <f t="shared" si="0"/>
        <v>9.7943192948090105E-2</v>
      </c>
      <c r="G11" s="29"/>
      <c r="H11" s="41"/>
      <c r="I11" s="33"/>
      <c r="V11" s="45">
        <v>1942</v>
      </c>
      <c r="W11" s="1">
        <v>20.420000000000002</v>
      </c>
      <c r="X11" s="46">
        <v>1941.9639999999999</v>
      </c>
      <c r="Y11" s="47">
        <v>2.4020000000000001</v>
      </c>
      <c r="Z11" s="47">
        <f t="shared" si="1"/>
        <v>1.4020000000000001</v>
      </c>
    </row>
    <row r="12" spans="1:26" ht="14.4">
      <c r="A12" s="45">
        <v>1943</v>
      </c>
      <c r="B12" s="41">
        <v>17.117000000000001</v>
      </c>
      <c r="C12" s="41">
        <v>0</v>
      </c>
      <c r="D12" s="29">
        <f t="shared" si="0"/>
        <v>0</v>
      </c>
      <c r="G12" s="29"/>
      <c r="H12" s="41"/>
      <c r="I12" s="33"/>
      <c r="V12" s="45">
        <v>1943</v>
      </c>
      <c r="W12" s="1">
        <v>17.117000000000001</v>
      </c>
      <c r="X12" s="46">
        <v>1942.886</v>
      </c>
      <c r="Y12" s="47">
        <v>0.60099999999999998</v>
      </c>
      <c r="Z12" s="47">
        <f t="shared" si="1"/>
        <v>-0.39900000000000002</v>
      </c>
    </row>
    <row r="13" spans="1:26" ht="14.4">
      <c r="A13" s="45">
        <v>1944</v>
      </c>
      <c r="B13" s="41">
        <v>20.12</v>
      </c>
      <c r="C13" s="41">
        <v>1</v>
      </c>
      <c r="D13" s="29">
        <f t="shared" si="0"/>
        <v>4.9701789264413515E-2</v>
      </c>
      <c r="G13" s="29"/>
      <c r="H13" s="41"/>
      <c r="I13" s="33"/>
      <c r="V13" s="45">
        <v>1944</v>
      </c>
      <c r="W13" s="1">
        <v>20.12</v>
      </c>
      <c r="X13" s="46">
        <v>1943.91</v>
      </c>
      <c r="Y13" s="47">
        <v>2.1019999999999999</v>
      </c>
      <c r="Z13" s="47">
        <f t="shared" si="1"/>
        <v>1.1019999999999999</v>
      </c>
    </row>
    <row r="14" spans="1:26" ht="14.4">
      <c r="A14" s="45">
        <v>1945</v>
      </c>
      <c r="B14" s="41">
        <v>32.131999999999998</v>
      </c>
      <c r="C14" s="41">
        <v>1</v>
      </c>
      <c r="D14" s="29">
        <f t="shared" si="0"/>
        <v>3.1121623303871533E-2</v>
      </c>
      <c r="G14" s="29"/>
      <c r="H14" s="42">
        <v>1</v>
      </c>
      <c r="I14" s="33"/>
      <c r="V14" s="45">
        <v>1945</v>
      </c>
      <c r="W14" s="1">
        <v>32.131999999999998</v>
      </c>
      <c r="X14" s="46">
        <v>1944.934</v>
      </c>
      <c r="Y14" s="47">
        <v>2.4020000000000001</v>
      </c>
      <c r="Z14" s="47">
        <f t="shared" si="1"/>
        <v>1.4020000000000001</v>
      </c>
    </row>
    <row r="15" spans="1:26" ht="14.4">
      <c r="A15" s="45">
        <v>1946</v>
      </c>
      <c r="B15" s="41">
        <v>17.117000000000001</v>
      </c>
      <c r="C15" s="41">
        <v>0</v>
      </c>
      <c r="D15" s="29">
        <f t="shared" si="0"/>
        <v>0</v>
      </c>
      <c r="G15" s="29"/>
      <c r="H15" s="41"/>
      <c r="I15" s="33"/>
      <c r="V15" s="45">
        <v>1946</v>
      </c>
      <c r="W15" s="1">
        <v>17.117000000000001</v>
      </c>
      <c r="X15" s="46">
        <v>1945.9580000000001</v>
      </c>
      <c r="Y15" s="47">
        <v>0.60099999999999998</v>
      </c>
      <c r="Z15" s="47">
        <f t="shared" si="1"/>
        <v>-0.39900000000000002</v>
      </c>
    </row>
    <row r="16" spans="1:26" ht="14.4">
      <c r="A16" s="45">
        <v>1947</v>
      </c>
      <c r="B16" s="41">
        <v>18.018000000000001</v>
      </c>
      <c r="C16" s="41">
        <v>0</v>
      </c>
      <c r="D16" s="29">
        <f t="shared" si="0"/>
        <v>0</v>
      </c>
      <c r="G16" s="29"/>
      <c r="H16" s="41"/>
      <c r="I16" s="33"/>
      <c r="V16" s="45">
        <v>1947</v>
      </c>
      <c r="W16" s="1">
        <v>18.018000000000001</v>
      </c>
      <c r="X16" s="46">
        <v>1946.982</v>
      </c>
      <c r="Y16" s="47">
        <v>0.60099999999999998</v>
      </c>
      <c r="Z16" s="47">
        <f t="shared" si="1"/>
        <v>-0.39900000000000002</v>
      </c>
    </row>
    <row r="17" spans="1:26" ht="14.4">
      <c r="A17" s="45">
        <v>1948</v>
      </c>
      <c r="B17" s="41">
        <v>20.12</v>
      </c>
      <c r="C17" s="41">
        <v>0</v>
      </c>
      <c r="D17" s="29">
        <f t="shared" si="0"/>
        <v>0</v>
      </c>
      <c r="G17" s="29"/>
      <c r="H17" s="41"/>
      <c r="I17" s="33"/>
      <c r="V17" s="45">
        <v>1948</v>
      </c>
      <c r="W17" s="1">
        <v>20.12</v>
      </c>
      <c r="X17" s="46">
        <v>1947.904</v>
      </c>
      <c r="Y17" s="47">
        <v>0.60099999999999998</v>
      </c>
      <c r="Z17" s="47">
        <f t="shared" si="1"/>
        <v>-0.39900000000000002</v>
      </c>
    </row>
    <row r="18" spans="1:26" ht="14.4">
      <c r="A18" s="45">
        <v>1949</v>
      </c>
      <c r="B18" s="41">
        <v>20.420000000000002</v>
      </c>
      <c r="C18" s="41">
        <v>0</v>
      </c>
      <c r="D18" s="29">
        <f t="shared" si="0"/>
        <v>0</v>
      </c>
      <c r="G18" s="29"/>
      <c r="H18" s="41"/>
      <c r="I18" s="33"/>
      <c r="V18" s="45">
        <v>1949</v>
      </c>
      <c r="W18" s="1">
        <v>20.420000000000002</v>
      </c>
      <c r="X18" s="46">
        <v>1948.9280000000001</v>
      </c>
      <c r="Y18" s="47">
        <v>0.60099999999999998</v>
      </c>
      <c r="Z18" s="47">
        <f t="shared" si="1"/>
        <v>-0.39900000000000002</v>
      </c>
    </row>
    <row r="19" spans="1:26" ht="14.4">
      <c r="A19" s="45">
        <v>1950</v>
      </c>
      <c r="B19" s="41">
        <v>23.123000000000001</v>
      </c>
      <c r="C19" s="41">
        <v>0</v>
      </c>
      <c r="D19" s="29">
        <f t="shared" si="0"/>
        <v>0</v>
      </c>
      <c r="G19" s="29"/>
      <c r="H19" s="41"/>
      <c r="I19" s="33"/>
      <c r="V19" s="45">
        <v>1950</v>
      </c>
      <c r="W19" s="1">
        <v>23.123000000000001</v>
      </c>
      <c r="X19" s="46">
        <v>1949.952</v>
      </c>
      <c r="Y19" s="47">
        <v>0.60099999999999998</v>
      </c>
      <c r="Z19" s="47">
        <f t="shared" si="1"/>
        <v>-0.39900000000000002</v>
      </c>
    </row>
    <row r="20" spans="1:26" ht="14.4">
      <c r="A20" s="45">
        <v>1951</v>
      </c>
      <c r="B20" s="41">
        <v>19.219000000000001</v>
      </c>
      <c r="C20" s="41">
        <v>2</v>
      </c>
      <c r="D20" s="29">
        <f t="shared" si="0"/>
        <v>0.10406368697642956</v>
      </c>
      <c r="G20" s="29"/>
      <c r="H20" s="41"/>
      <c r="I20" s="33"/>
      <c r="V20" s="45">
        <v>1951</v>
      </c>
      <c r="W20" s="1">
        <v>19.219000000000001</v>
      </c>
      <c r="X20" s="46">
        <v>1950.9760000000001</v>
      </c>
      <c r="Y20" s="47">
        <v>2.4020000000000001</v>
      </c>
      <c r="Z20" s="47">
        <f t="shared" si="1"/>
        <v>1.4020000000000001</v>
      </c>
    </row>
    <row r="21" spans="1:26" ht="14.4">
      <c r="A21" s="45">
        <v>1952</v>
      </c>
      <c r="B21" s="41">
        <v>20.12</v>
      </c>
      <c r="C21" s="41">
        <v>1</v>
      </c>
      <c r="D21" s="29">
        <f t="shared" si="0"/>
        <v>4.9701789264413515E-2</v>
      </c>
      <c r="G21" s="29"/>
      <c r="H21" s="41"/>
      <c r="I21" s="33"/>
      <c r="V21" s="45">
        <v>1952</v>
      </c>
      <c r="W21" s="1">
        <v>20.12</v>
      </c>
      <c r="X21" s="46">
        <v>1951.8979999999999</v>
      </c>
      <c r="Y21" s="47">
        <v>1.2010000000000001</v>
      </c>
      <c r="Z21" s="47">
        <f t="shared" si="1"/>
        <v>0.20100000000000007</v>
      </c>
    </row>
    <row r="22" spans="1:26" ht="14.4">
      <c r="A22" s="45">
        <v>1953</v>
      </c>
      <c r="B22" s="41">
        <v>22.222000000000001</v>
      </c>
      <c r="C22" s="41">
        <v>2</v>
      </c>
      <c r="D22" s="29">
        <f t="shared" si="0"/>
        <v>9.0000900009000087E-2</v>
      </c>
      <c r="G22" s="29"/>
      <c r="H22" s="41"/>
      <c r="I22" s="33"/>
      <c r="V22" s="45">
        <v>1953</v>
      </c>
      <c r="W22" s="1">
        <v>22.222000000000001</v>
      </c>
      <c r="X22" s="46">
        <v>1952.922</v>
      </c>
      <c r="Y22" s="47">
        <v>2.1019999999999999</v>
      </c>
      <c r="Z22" s="47">
        <f t="shared" si="1"/>
        <v>1.1019999999999999</v>
      </c>
    </row>
    <row r="23" spans="1:26" ht="14.4">
      <c r="A23" s="45">
        <v>1954</v>
      </c>
      <c r="B23" s="41">
        <v>19.219000000000001</v>
      </c>
      <c r="C23" s="41">
        <v>4</v>
      </c>
      <c r="D23" s="29">
        <f t="shared" si="0"/>
        <v>0.20812737395285913</v>
      </c>
      <c r="G23" s="29"/>
      <c r="H23" s="41"/>
      <c r="I23" s="33"/>
      <c r="V23" s="45">
        <v>1954</v>
      </c>
      <c r="W23" s="1">
        <v>19.219000000000001</v>
      </c>
      <c r="X23" s="46">
        <v>1953.9459999999999</v>
      </c>
      <c r="Y23" s="47">
        <v>4.2039999999999997</v>
      </c>
      <c r="Z23" s="47">
        <f t="shared" si="1"/>
        <v>3.2039999999999997</v>
      </c>
    </row>
    <row r="24" spans="1:26" ht="14.4">
      <c r="A24" s="45">
        <v>1955</v>
      </c>
      <c r="B24" s="41">
        <v>26.126000000000001</v>
      </c>
      <c r="C24" s="41">
        <v>2.1019999999999999</v>
      </c>
      <c r="D24" s="29">
        <f t="shared" si="0"/>
        <v>8.0456250478450578E-2</v>
      </c>
      <c r="G24" s="29"/>
      <c r="H24" s="41"/>
      <c r="I24" s="33"/>
      <c r="V24" s="45">
        <v>1955</v>
      </c>
      <c r="W24" s="1">
        <v>26.126000000000001</v>
      </c>
      <c r="X24" s="46">
        <v>1954.97</v>
      </c>
      <c r="Y24" s="47">
        <v>2.1019999999999999</v>
      </c>
      <c r="Z24" s="47">
        <f t="shared" si="1"/>
        <v>1.1019999999999999</v>
      </c>
    </row>
    <row r="25" spans="1:26" ht="14.4">
      <c r="A25" s="45">
        <v>1956</v>
      </c>
      <c r="B25" s="41">
        <v>25.225000000000001</v>
      </c>
      <c r="C25" s="41">
        <v>3.3029999999999999</v>
      </c>
      <c r="D25" s="29">
        <f t="shared" si="0"/>
        <v>0.13094152626362734</v>
      </c>
      <c r="G25" s="29"/>
      <c r="H25" s="41"/>
      <c r="I25" s="33"/>
      <c r="V25" s="45">
        <v>1956</v>
      </c>
      <c r="W25" s="1">
        <v>25.225000000000001</v>
      </c>
      <c r="X25" s="46">
        <v>1955.8920000000001</v>
      </c>
      <c r="Y25" s="47">
        <v>3.3029999999999999</v>
      </c>
      <c r="Z25" s="47">
        <f t="shared" si="1"/>
        <v>2.3029999999999999</v>
      </c>
    </row>
    <row r="26" spans="1:26" ht="14.4">
      <c r="A26" s="45">
        <v>1957</v>
      </c>
      <c r="B26" s="41">
        <v>20.12</v>
      </c>
      <c r="C26" s="41">
        <v>0</v>
      </c>
      <c r="D26" s="29">
        <f t="shared" si="0"/>
        <v>0</v>
      </c>
      <c r="G26" s="29"/>
      <c r="H26" s="41"/>
      <c r="I26" s="33"/>
      <c r="V26" s="45">
        <v>1957</v>
      </c>
      <c r="W26" s="1">
        <v>20.12</v>
      </c>
      <c r="X26" s="46">
        <v>1956.9159999999999</v>
      </c>
      <c r="Y26" s="47">
        <v>0.60099999999999998</v>
      </c>
      <c r="Z26" s="47">
        <f t="shared" si="1"/>
        <v>-0.39900000000000002</v>
      </c>
    </row>
    <row r="27" spans="1:26" ht="14.4">
      <c r="A27" s="45">
        <v>1958</v>
      </c>
      <c r="B27" s="41">
        <v>20.420000000000002</v>
      </c>
      <c r="C27" s="41">
        <v>1</v>
      </c>
      <c r="D27" s="29">
        <f t="shared" si="0"/>
        <v>4.8971596474045052E-2</v>
      </c>
      <c r="G27" s="29"/>
      <c r="H27" s="41"/>
      <c r="I27" s="33"/>
      <c r="V27" s="45">
        <v>1958</v>
      </c>
      <c r="W27" s="1">
        <v>20.420000000000002</v>
      </c>
      <c r="X27" s="46">
        <v>1957.837</v>
      </c>
      <c r="Y27" s="47">
        <v>1.502</v>
      </c>
      <c r="Z27" s="47">
        <f t="shared" si="1"/>
        <v>0.502</v>
      </c>
    </row>
    <row r="28" spans="1:26" ht="14.4">
      <c r="A28" s="45">
        <v>1959</v>
      </c>
      <c r="B28" s="41">
        <v>20.12</v>
      </c>
      <c r="C28" s="41">
        <v>1</v>
      </c>
      <c r="D28" s="29">
        <f t="shared" si="0"/>
        <v>4.9701789264413515E-2</v>
      </c>
      <c r="G28" s="29"/>
      <c r="H28" s="41"/>
      <c r="I28" s="33"/>
      <c r="V28" s="45">
        <v>1959</v>
      </c>
      <c r="W28" s="1">
        <v>20.12</v>
      </c>
      <c r="X28" s="46">
        <v>1958.8610000000001</v>
      </c>
      <c r="Y28" s="47">
        <v>1.2010000000000001</v>
      </c>
      <c r="Z28" s="47">
        <f t="shared" si="1"/>
        <v>0.20100000000000007</v>
      </c>
    </row>
    <row r="29" spans="1:26" ht="14.4">
      <c r="A29" s="45">
        <v>1960</v>
      </c>
      <c r="B29" s="41">
        <v>20.12</v>
      </c>
      <c r="C29" s="41">
        <v>0</v>
      </c>
      <c r="D29" s="29">
        <f t="shared" si="0"/>
        <v>0</v>
      </c>
      <c r="G29" s="29"/>
      <c r="H29" s="41"/>
      <c r="I29" s="33"/>
      <c r="V29" s="45">
        <v>1960</v>
      </c>
      <c r="W29" s="1">
        <v>20.12</v>
      </c>
      <c r="X29" s="46">
        <v>1959.886</v>
      </c>
      <c r="Y29" s="47">
        <v>0.60099999999999998</v>
      </c>
      <c r="Z29" s="47">
        <f t="shared" si="1"/>
        <v>-0.39900000000000002</v>
      </c>
    </row>
    <row r="30" spans="1:26" ht="14.4">
      <c r="A30" s="45">
        <v>1961</v>
      </c>
      <c r="B30" s="41">
        <v>23.123000000000001</v>
      </c>
      <c r="C30" s="41">
        <v>0</v>
      </c>
      <c r="D30" s="29">
        <f t="shared" si="0"/>
        <v>0</v>
      </c>
      <c r="G30" s="29"/>
      <c r="H30" s="41"/>
      <c r="I30" s="33"/>
      <c r="V30" s="45">
        <v>1961</v>
      </c>
      <c r="W30" s="1">
        <v>23.123000000000001</v>
      </c>
      <c r="X30" s="46">
        <v>1960.91</v>
      </c>
      <c r="Y30" s="47">
        <v>0.60099999999999998</v>
      </c>
      <c r="Z30" s="47">
        <f t="shared" si="1"/>
        <v>-0.39900000000000002</v>
      </c>
    </row>
    <row r="31" spans="1:26" ht="14.4">
      <c r="A31" s="45">
        <v>1962</v>
      </c>
      <c r="B31" s="41">
        <v>25.225000000000001</v>
      </c>
      <c r="C31" s="41">
        <v>4.2039999999999997</v>
      </c>
      <c r="D31" s="29">
        <f t="shared" si="0"/>
        <v>0.16666005946481663</v>
      </c>
      <c r="G31" s="29"/>
      <c r="H31" s="41"/>
      <c r="I31" s="33"/>
      <c r="V31" s="45">
        <v>1962</v>
      </c>
      <c r="W31" s="1">
        <v>25.225000000000001</v>
      </c>
      <c r="X31" s="46">
        <v>1961.934</v>
      </c>
      <c r="Y31" s="47">
        <v>4.2039999999999997</v>
      </c>
      <c r="Z31" s="47">
        <f t="shared" si="1"/>
        <v>3.2039999999999997</v>
      </c>
    </row>
    <row r="32" spans="1:26" ht="14.4">
      <c r="A32" s="45">
        <v>1963</v>
      </c>
      <c r="B32" s="41">
        <v>25.225000000000001</v>
      </c>
      <c r="C32" s="41">
        <v>3.0030000000000001</v>
      </c>
      <c r="D32" s="29">
        <f t="shared" si="0"/>
        <v>0.11904856293359761</v>
      </c>
      <c r="G32" s="29"/>
      <c r="H32" s="41"/>
      <c r="I32" s="33"/>
      <c r="V32" s="45">
        <v>1963</v>
      </c>
      <c r="W32" s="1">
        <v>25.225000000000001</v>
      </c>
      <c r="X32" s="46">
        <v>1962.9580000000001</v>
      </c>
      <c r="Y32" s="47">
        <v>3.0030000000000001</v>
      </c>
      <c r="Z32" s="47">
        <f t="shared" si="1"/>
        <v>2.0030000000000001</v>
      </c>
    </row>
    <row r="33" spans="1:26" ht="14.4">
      <c r="A33" s="45">
        <v>1964</v>
      </c>
      <c r="B33" s="41">
        <v>30.03</v>
      </c>
      <c r="C33" s="41">
        <v>1.2010000000000001</v>
      </c>
      <c r="D33" s="29">
        <f t="shared" si="0"/>
        <v>3.9993339993339996E-2</v>
      </c>
      <c r="G33" s="29"/>
      <c r="H33" s="41"/>
      <c r="I33" s="33"/>
      <c r="V33" s="45">
        <v>1964</v>
      </c>
      <c r="W33" s="1">
        <v>30.03</v>
      </c>
      <c r="X33" s="46">
        <v>1963.982</v>
      </c>
      <c r="Y33" s="47">
        <v>1.2010000000000001</v>
      </c>
      <c r="Z33" s="47">
        <f t="shared" si="1"/>
        <v>0.20100000000000007</v>
      </c>
    </row>
    <row r="34" spans="1:26" ht="14.4">
      <c r="A34" s="45">
        <v>1965</v>
      </c>
      <c r="B34" s="41">
        <v>30.33</v>
      </c>
      <c r="C34" s="41">
        <v>1.2010000000000001</v>
      </c>
      <c r="D34" s="29">
        <f t="shared" si="0"/>
        <v>3.9597757995384113E-2</v>
      </c>
      <c r="G34" s="29"/>
      <c r="H34" s="41"/>
      <c r="I34" s="33"/>
      <c r="V34" s="45">
        <v>1965</v>
      </c>
      <c r="W34" s="1">
        <v>30.33</v>
      </c>
      <c r="X34" s="46">
        <v>1964.904</v>
      </c>
      <c r="Y34" s="47">
        <v>1.2010000000000001</v>
      </c>
      <c r="Z34" s="47">
        <f t="shared" si="1"/>
        <v>0.20100000000000007</v>
      </c>
    </row>
    <row r="35" spans="1:26" ht="14.4">
      <c r="A35" s="45">
        <v>1966</v>
      </c>
      <c r="B35" s="41">
        <v>35.134999999999998</v>
      </c>
      <c r="C35" s="41">
        <v>4.2039999999999997</v>
      </c>
      <c r="D35" s="29">
        <f t="shared" si="0"/>
        <v>0.11965276789526114</v>
      </c>
      <c r="G35" s="29"/>
      <c r="H35" s="41"/>
      <c r="I35" s="33"/>
      <c r="V35" s="45">
        <v>1966</v>
      </c>
      <c r="W35" s="1">
        <v>35.134999999999998</v>
      </c>
      <c r="X35" s="46">
        <v>1965.9280000000001</v>
      </c>
      <c r="Y35" s="47">
        <v>4.2039999999999997</v>
      </c>
      <c r="Z35" s="47">
        <f t="shared" si="1"/>
        <v>3.2039999999999997</v>
      </c>
    </row>
    <row r="36" spans="1:26" ht="14.4">
      <c r="A36" s="45">
        <v>1967</v>
      </c>
      <c r="B36" s="41">
        <v>35.435000000000002</v>
      </c>
      <c r="C36" s="41">
        <v>4.2039999999999997</v>
      </c>
      <c r="D36" s="29">
        <f t="shared" si="0"/>
        <v>0.11863976294623958</v>
      </c>
      <c r="G36" s="29"/>
      <c r="H36" s="41"/>
      <c r="I36" s="33"/>
      <c r="V36" s="45">
        <v>1967</v>
      </c>
      <c r="W36" s="1">
        <v>35.435000000000002</v>
      </c>
      <c r="X36" s="46">
        <v>1966.952</v>
      </c>
      <c r="Y36" s="47">
        <v>4.2039999999999997</v>
      </c>
      <c r="Z36" s="47">
        <f t="shared" si="1"/>
        <v>3.2039999999999997</v>
      </c>
    </row>
    <row r="37" spans="1:26" ht="14.4">
      <c r="A37" s="1">
        <v>1968</v>
      </c>
      <c r="B37" s="41">
        <v>35.134999999999998</v>
      </c>
      <c r="C37" s="41">
        <v>4.2039999999999997</v>
      </c>
      <c r="D37" s="29">
        <f t="shared" si="0"/>
        <v>0.11965276789526114</v>
      </c>
      <c r="G37" s="29"/>
      <c r="H37" s="41"/>
      <c r="I37" s="33"/>
      <c r="V37" s="45">
        <v>1968</v>
      </c>
      <c r="W37" s="1">
        <v>35.134999999999998</v>
      </c>
      <c r="X37" s="46">
        <v>1967.873</v>
      </c>
      <c r="Y37" s="47">
        <v>4.2039999999999997</v>
      </c>
      <c r="Z37" s="47">
        <f t="shared" si="1"/>
        <v>3.2039999999999997</v>
      </c>
    </row>
    <row r="38" spans="1:26" ht="14.4">
      <c r="A38" s="1">
        <v>1969</v>
      </c>
      <c r="B38" s="1">
        <f>C38/0.25</f>
        <v>36.036000000000001</v>
      </c>
      <c r="C38" s="42">
        <v>9.0090000000000003</v>
      </c>
      <c r="D38" s="29">
        <f t="shared" si="0"/>
        <v>0.25</v>
      </c>
      <c r="G38" s="29"/>
      <c r="H38" s="41"/>
      <c r="I38" s="33"/>
      <c r="V38" s="45">
        <v>1969</v>
      </c>
      <c r="W38" s="1">
        <v>35.134999999999998</v>
      </c>
      <c r="X38" s="46">
        <v>1968.8979999999999</v>
      </c>
      <c r="Y38" s="47">
        <v>9.0090000000000003</v>
      </c>
      <c r="Z38" s="47">
        <f t="shared" si="1"/>
        <v>8.0090000000000003</v>
      </c>
    </row>
    <row r="39" spans="1:26" ht="14.4">
      <c r="A39" s="1">
        <v>1970</v>
      </c>
      <c r="B39" s="41">
        <v>35.134999999999998</v>
      </c>
      <c r="C39" s="41">
        <v>6.306</v>
      </c>
      <c r="D39" s="29">
        <f t="shared" si="0"/>
        <v>0.1794791518428917</v>
      </c>
      <c r="G39" s="30">
        <v>0.25</v>
      </c>
      <c r="H39" s="42"/>
      <c r="I39" s="33"/>
      <c r="V39" s="45">
        <v>1970</v>
      </c>
      <c r="W39" s="1">
        <v>35.134999999999998</v>
      </c>
      <c r="X39" s="46">
        <v>1969.922</v>
      </c>
      <c r="Y39" s="47">
        <v>6.306</v>
      </c>
      <c r="Z39" s="47">
        <f t="shared" si="1"/>
        <v>5.306</v>
      </c>
    </row>
    <row r="40" spans="1:26" ht="14.4">
      <c r="A40" s="1">
        <v>1971</v>
      </c>
      <c r="B40" s="41">
        <v>37.237000000000002</v>
      </c>
      <c r="C40" s="41">
        <v>10.210000000000001</v>
      </c>
      <c r="D40" s="29">
        <f t="shared" si="0"/>
        <v>0.2741896500792223</v>
      </c>
      <c r="G40" s="29"/>
      <c r="H40" s="41"/>
      <c r="I40" s="33"/>
      <c r="V40" s="45">
        <v>1971</v>
      </c>
      <c r="W40" s="1">
        <v>37.237000000000002</v>
      </c>
      <c r="X40" s="46">
        <v>1970.8430000000001</v>
      </c>
      <c r="Y40" s="47">
        <v>10.210000000000001</v>
      </c>
      <c r="Z40" s="47">
        <f t="shared" si="1"/>
        <v>9.2100000000000009</v>
      </c>
    </row>
    <row r="41" spans="1:26" ht="14.4">
      <c r="A41" s="1">
        <v>1972</v>
      </c>
      <c r="B41" s="41">
        <v>36.936999999999998</v>
      </c>
      <c r="C41" s="41">
        <v>8.4079999999999995</v>
      </c>
      <c r="D41" s="29">
        <f t="shared" si="0"/>
        <v>0.2276308308741912</v>
      </c>
      <c r="G41" s="29"/>
      <c r="H41" s="41"/>
      <c r="I41" s="33"/>
      <c r="V41" s="45">
        <v>1972</v>
      </c>
      <c r="W41" s="1">
        <v>36.936999999999998</v>
      </c>
      <c r="X41" s="46">
        <v>1971.867</v>
      </c>
      <c r="Y41" s="47">
        <v>8.4079999999999995</v>
      </c>
      <c r="Z41" s="47">
        <f t="shared" si="1"/>
        <v>7.4079999999999995</v>
      </c>
    </row>
    <row r="42" spans="1:26" ht="14.4">
      <c r="A42" s="1">
        <v>1973</v>
      </c>
      <c r="B42" s="41">
        <v>38.137999999999998</v>
      </c>
      <c r="C42" s="41">
        <v>10.210000000000001</v>
      </c>
      <c r="D42" s="29">
        <f t="shared" si="0"/>
        <v>0.26771199328753476</v>
      </c>
      <c r="G42" s="29"/>
      <c r="H42" s="41"/>
      <c r="I42" s="33"/>
      <c r="V42" s="45">
        <v>1973</v>
      </c>
      <c r="W42" s="1">
        <v>38.137999999999998</v>
      </c>
      <c r="X42" s="46">
        <v>1972.8920000000001</v>
      </c>
      <c r="Y42" s="47">
        <v>10.210000000000001</v>
      </c>
      <c r="Z42" s="47">
        <f t="shared" si="1"/>
        <v>9.2100000000000009</v>
      </c>
    </row>
    <row r="43" spans="1:26" ht="14.4">
      <c r="A43" s="1">
        <v>1974</v>
      </c>
      <c r="B43" s="41">
        <v>40.24</v>
      </c>
      <c r="C43" s="41">
        <v>14.414</v>
      </c>
      <c r="D43" s="29">
        <f t="shared" si="0"/>
        <v>0.35820079522862819</v>
      </c>
      <c r="G43" s="29"/>
      <c r="H43" s="41"/>
      <c r="I43" s="33"/>
      <c r="V43" s="45">
        <v>1974</v>
      </c>
      <c r="W43" s="1">
        <v>40.24</v>
      </c>
      <c r="X43" s="46">
        <v>1973.9159999999999</v>
      </c>
      <c r="Y43" s="47">
        <v>14.414</v>
      </c>
      <c r="Z43" s="47">
        <f t="shared" si="1"/>
        <v>13.414</v>
      </c>
    </row>
    <row r="44" spans="1:26" ht="14.4">
      <c r="A44" s="1">
        <v>1975</v>
      </c>
      <c r="B44" s="41">
        <v>36.936999999999998</v>
      </c>
      <c r="C44" s="41">
        <v>16.216000000000001</v>
      </c>
      <c r="D44" s="29">
        <f t="shared" si="0"/>
        <v>0.43901778704280264</v>
      </c>
      <c r="G44" s="29"/>
      <c r="H44" s="41"/>
      <c r="I44" s="33"/>
      <c r="V44" s="45">
        <v>1975</v>
      </c>
      <c r="W44" s="1">
        <v>36.936999999999998</v>
      </c>
      <c r="X44" s="46">
        <v>1974.94</v>
      </c>
      <c r="Y44" s="47">
        <v>16.216000000000001</v>
      </c>
      <c r="Z44" s="47">
        <f t="shared" si="1"/>
        <v>15.216000000000001</v>
      </c>
    </row>
    <row r="45" spans="1:26" ht="14.4">
      <c r="A45" s="1">
        <v>1976</v>
      </c>
      <c r="B45" s="41">
        <v>37.237000000000002</v>
      </c>
      <c r="C45" s="41">
        <v>15.315</v>
      </c>
      <c r="D45" s="29">
        <f t="shared" si="0"/>
        <v>0.41128447511883337</v>
      </c>
      <c r="G45" s="29"/>
      <c r="H45" s="41"/>
      <c r="I45" s="33"/>
      <c r="V45" s="45">
        <v>1976</v>
      </c>
      <c r="W45" s="1">
        <v>37.237000000000002</v>
      </c>
      <c r="X45" s="46">
        <v>1975.8610000000001</v>
      </c>
      <c r="Y45" s="47">
        <v>15.315</v>
      </c>
      <c r="Z45" s="47">
        <f t="shared" si="1"/>
        <v>14.315</v>
      </c>
    </row>
    <row r="46" spans="1:26" ht="14.4">
      <c r="A46" s="1">
        <v>1977</v>
      </c>
      <c r="B46" s="41">
        <v>39.338999999999999</v>
      </c>
      <c r="C46" s="41">
        <v>13.814</v>
      </c>
      <c r="D46" s="29">
        <f t="shared" si="0"/>
        <v>0.35115280002033605</v>
      </c>
      <c r="G46" s="29"/>
      <c r="H46" s="41"/>
      <c r="I46" s="33"/>
      <c r="V46" s="45">
        <v>1977</v>
      </c>
      <c r="W46" s="1">
        <v>39.338999999999999</v>
      </c>
      <c r="X46" s="46">
        <v>1976.886</v>
      </c>
      <c r="Y46" s="47">
        <v>13.814</v>
      </c>
      <c r="Z46" s="47">
        <f t="shared" si="1"/>
        <v>12.814</v>
      </c>
    </row>
    <row r="47" spans="1:26" ht="14.4">
      <c r="A47" s="11">
        <v>1978</v>
      </c>
      <c r="B47" s="41">
        <v>42.341999999999999</v>
      </c>
      <c r="C47" s="41">
        <v>15.015000000000001</v>
      </c>
      <c r="D47" s="29">
        <f t="shared" si="0"/>
        <v>0.35461244154739979</v>
      </c>
      <c r="G47" s="29"/>
      <c r="H47" s="41"/>
      <c r="I47" s="33"/>
      <c r="V47" s="45">
        <v>1978</v>
      </c>
      <c r="W47" s="1">
        <v>42.341999999999999</v>
      </c>
      <c r="X47" s="46">
        <v>1977.91</v>
      </c>
      <c r="Y47" s="47">
        <v>15.015000000000001</v>
      </c>
      <c r="Z47" s="47">
        <f t="shared" si="1"/>
        <v>14.015000000000001</v>
      </c>
    </row>
    <row r="48" spans="1:26" ht="14.4">
      <c r="A48" s="11">
        <v>1979</v>
      </c>
      <c r="B48" s="41">
        <v>44.143999999999998</v>
      </c>
      <c r="C48" s="41">
        <v>22.222000000000001</v>
      </c>
      <c r="D48" s="29">
        <f t="shared" si="0"/>
        <v>0.50339797027908673</v>
      </c>
      <c r="G48" s="29">
        <v>0.5</v>
      </c>
      <c r="H48" s="41"/>
      <c r="I48" s="33"/>
      <c r="V48" s="45">
        <v>1979</v>
      </c>
      <c r="W48" s="1">
        <v>44.143999999999998</v>
      </c>
      <c r="X48" s="46">
        <v>1978.934</v>
      </c>
      <c r="Y48" s="47">
        <v>22.222000000000001</v>
      </c>
      <c r="Z48" s="47">
        <f t="shared" si="1"/>
        <v>21.222000000000001</v>
      </c>
    </row>
    <row r="49" spans="1:26" ht="14.4">
      <c r="A49" s="11">
        <v>1980</v>
      </c>
      <c r="B49" s="41">
        <v>44.143999999999998</v>
      </c>
      <c r="C49" s="41">
        <v>15.315</v>
      </c>
      <c r="D49" s="29">
        <f t="shared" si="0"/>
        <v>0.3469327654947445</v>
      </c>
      <c r="G49" s="29"/>
      <c r="H49" s="41"/>
      <c r="I49" s="33"/>
      <c r="V49" s="45">
        <v>1980</v>
      </c>
      <c r="W49" s="1">
        <v>44.143999999999998</v>
      </c>
      <c r="X49" s="46">
        <v>1979.855</v>
      </c>
      <c r="Y49" s="47">
        <v>15.315</v>
      </c>
      <c r="Z49" s="47">
        <f t="shared" si="1"/>
        <v>14.315</v>
      </c>
    </row>
    <row r="50" spans="1:26" ht="14.4">
      <c r="A50" s="11">
        <v>1981</v>
      </c>
      <c r="B50" s="41">
        <v>45.045000000000002</v>
      </c>
      <c r="C50" s="41">
        <v>21.321000000000002</v>
      </c>
      <c r="D50" s="29">
        <f t="shared" si="0"/>
        <v>0.47332667332667333</v>
      </c>
      <c r="G50" s="29"/>
      <c r="H50" s="41"/>
      <c r="I50" s="33"/>
      <c r="V50" s="45">
        <v>1981</v>
      </c>
      <c r="W50" s="1">
        <v>45.045000000000002</v>
      </c>
      <c r="X50" s="46">
        <v>1980.88</v>
      </c>
      <c r="Y50" s="47">
        <v>21.321000000000002</v>
      </c>
      <c r="Z50" s="47">
        <f t="shared" si="1"/>
        <v>20.321000000000002</v>
      </c>
    </row>
    <row r="51" spans="1:26" ht="14.4">
      <c r="A51" s="11">
        <v>1982</v>
      </c>
      <c r="B51" s="41">
        <v>45.045000000000002</v>
      </c>
      <c r="C51" s="41">
        <v>27.327000000000002</v>
      </c>
      <c r="D51" s="29">
        <f t="shared" si="0"/>
        <v>0.60666000666000663</v>
      </c>
      <c r="G51" s="29"/>
      <c r="H51" s="41"/>
      <c r="I51" s="33"/>
      <c r="V51" s="45">
        <v>1982</v>
      </c>
      <c r="W51" s="1">
        <v>45.045000000000002</v>
      </c>
      <c r="X51" s="46">
        <v>1981.904</v>
      </c>
      <c r="Y51" s="47">
        <v>27.327000000000002</v>
      </c>
      <c r="Z51" s="47">
        <f t="shared" si="1"/>
        <v>26.327000000000002</v>
      </c>
    </row>
    <row r="52" spans="1:26" ht="14.4">
      <c r="A52" s="11">
        <v>1983</v>
      </c>
      <c r="B52" s="41">
        <v>44.143999999999998</v>
      </c>
      <c r="C52" s="41">
        <v>26.425999999999998</v>
      </c>
      <c r="D52" s="29">
        <f t="shared" si="0"/>
        <v>0.59863175063428775</v>
      </c>
      <c r="G52" s="29"/>
      <c r="H52" s="41"/>
      <c r="I52" s="33"/>
      <c r="V52" s="45">
        <v>1983</v>
      </c>
      <c r="W52" s="1">
        <v>44.143999999999998</v>
      </c>
      <c r="X52" s="46">
        <v>1982.9280000000001</v>
      </c>
      <c r="Y52" s="47">
        <v>26.425999999999998</v>
      </c>
      <c r="Z52" s="47">
        <f t="shared" si="1"/>
        <v>25.425999999999998</v>
      </c>
    </row>
    <row r="53" spans="1:26" ht="14.4">
      <c r="A53" s="11">
        <v>1984</v>
      </c>
      <c r="B53" s="41">
        <v>44.143999999999998</v>
      </c>
      <c r="C53" s="41">
        <v>24.324000000000002</v>
      </c>
      <c r="D53" s="29">
        <f t="shared" si="0"/>
        <v>0.55101486045668724</v>
      </c>
      <c r="G53" s="29"/>
      <c r="H53" s="41"/>
      <c r="I53" s="33"/>
      <c r="V53" s="45">
        <v>1984</v>
      </c>
      <c r="W53" s="1">
        <v>44.143999999999998</v>
      </c>
      <c r="X53" s="46">
        <v>1983.8489999999999</v>
      </c>
      <c r="Y53" s="47">
        <v>24.324000000000002</v>
      </c>
      <c r="Z53" s="47">
        <f t="shared" si="1"/>
        <v>23.324000000000002</v>
      </c>
    </row>
    <row r="54" spans="1:26" ht="14.4">
      <c r="A54" s="11">
        <v>1985</v>
      </c>
      <c r="B54" s="41">
        <v>44.143999999999998</v>
      </c>
      <c r="C54" s="41">
        <v>23.123000000000001</v>
      </c>
      <c r="D54" s="29">
        <f t="shared" si="0"/>
        <v>0.52380844508880031</v>
      </c>
      <c r="G54" s="29">
        <v>0.5</v>
      </c>
      <c r="H54" s="41"/>
      <c r="I54" s="33"/>
      <c r="V54" s="45">
        <v>1985</v>
      </c>
      <c r="W54" s="1">
        <v>44.143999999999998</v>
      </c>
      <c r="X54" s="46">
        <v>1984.873</v>
      </c>
      <c r="Y54" s="47">
        <v>23.123000000000001</v>
      </c>
      <c r="Z54" s="47">
        <f t="shared" si="1"/>
        <v>22.123000000000001</v>
      </c>
    </row>
    <row r="55" spans="1:26" ht="14.4">
      <c r="A55" s="11">
        <v>1986</v>
      </c>
      <c r="B55" s="41">
        <v>48.048000000000002</v>
      </c>
      <c r="C55" s="41">
        <v>34.234000000000002</v>
      </c>
      <c r="D55" s="29">
        <f t="shared" si="0"/>
        <v>0.71249583749583756</v>
      </c>
      <c r="G55" s="29"/>
      <c r="H55" s="41"/>
      <c r="I55" s="33"/>
      <c r="V55" s="45">
        <v>1986</v>
      </c>
      <c r="W55" s="1">
        <v>48.048000000000002</v>
      </c>
      <c r="X55" s="46">
        <v>1985.8979999999999</v>
      </c>
      <c r="Y55" s="47">
        <v>34.234000000000002</v>
      </c>
      <c r="Z55" s="47">
        <f t="shared" si="1"/>
        <v>33.234000000000002</v>
      </c>
    </row>
    <row r="56" spans="1:26" ht="14.4">
      <c r="A56" s="11">
        <v>1987</v>
      </c>
      <c r="B56" s="41">
        <v>48.347999999999999</v>
      </c>
      <c r="C56" s="41">
        <v>33.332999999999998</v>
      </c>
      <c r="D56" s="29">
        <f t="shared" si="0"/>
        <v>0.68943906676594691</v>
      </c>
      <c r="G56" s="29"/>
      <c r="H56" s="41"/>
      <c r="I56" s="33"/>
      <c r="V56" s="45">
        <v>1987</v>
      </c>
      <c r="W56" s="1">
        <v>48.347999999999999</v>
      </c>
      <c r="X56" s="46">
        <v>1986.922</v>
      </c>
      <c r="Y56" s="47">
        <v>33.332999999999998</v>
      </c>
      <c r="Z56" s="47">
        <f t="shared" si="1"/>
        <v>32.332999999999998</v>
      </c>
    </row>
    <row r="57" spans="1:26" ht="14.4">
      <c r="A57" s="11">
        <v>1988</v>
      </c>
      <c r="B57" s="41">
        <v>48.347999999999999</v>
      </c>
      <c r="C57" s="41">
        <v>27.327000000000002</v>
      </c>
      <c r="D57" s="29">
        <f t="shared" si="0"/>
        <v>0.56521469347232567</v>
      </c>
      <c r="G57" s="29"/>
      <c r="H57" s="41"/>
      <c r="I57" s="33"/>
      <c r="V57" s="45">
        <v>1988</v>
      </c>
      <c r="W57" s="1">
        <v>48.347999999999999</v>
      </c>
      <c r="X57" s="46">
        <v>1987.8430000000001</v>
      </c>
      <c r="Y57" s="47">
        <v>27.327000000000002</v>
      </c>
      <c r="Z57" s="47">
        <f t="shared" si="1"/>
        <v>26.327000000000002</v>
      </c>
    </row>
    <row r="58" spans="1:26" ht="14.4">
      <c r="A58" s="11">
        <v>1989</v>
      </c>
      <c r="B58" s="41">
        <v>48.347999999999999</v>
      </c>
      <c r="C58" s="41">
        <v>33.332999999999998</v>
      </c>
      <c r="D58" s="29">
        <f t="shared" si="0"/>
        <v>0.68943906676594691</v>
      </c>
      <c r="E58" s="1">
        <v>120</v>
      </c>
      <c r="F58" s="1">
        <v>80</v>
      </c>
      <c r="G58" s="29">
        <f>F58/E58</f>
        <v>0.66666666666666663</v>
      </c>
      <c r="H58" s="41"/>
      <c r="I58" s="33"/>
      <c r="V58" s="45">
        <v>1989</v>
      </c>
      <c r="W58" s="1">
        <v>48.347999999999999</v>
      </c>
      <c r="X58" s="46">
        <v>1988.867</v>
      </c>
      <c r="Y58" s="47">
        <v>33.332999999999998</v>
      </c>
      <c r="Z58" s="47">
        <f t="shared" si="1"/>
        <v>32.332999999999998</v>
      </c>
    </row>
    <row r="59" spans="1:26" ht="14.4">
      <c r="A59" s="11">
        <v>1990</v>
      </c>
      <c r="B59" s="41">
        <v>48.347999999999999</v>
      </c>
      <c r="C59" s="41">
        <v>34.234000000000002</v>
      </c>
      <c r="D59" s="29">
        <f t="shared" si="0"/>
        <v>0.70807479109787375</v>
      </c>
      <c r="G59" s="30">
        <v>0.7</v>
      </c>
      <c r="H59" s="42"/>
      <c r="I59" s="33"/>
      <c r="V59" s="45">
        <v>1990</v>
      </c>
      <c r="W59" s="1">
        <v>48.347999999999999</v>
      </c>
      <c r="X59" s="46">
        <v>1989.8920000000001</v>
      </c>
      <c r="Y59" s="47">
        <v>34.234000000000002</v>
      </c>
      <c r="Z59" s="47">
        <f t="shared" si="1"/>
        <v>33.234000000000002</v>
      </c>
    </row>
    <row r="60" spans="1:26" ht="14.4">
      <c r="A60" s="11">
        <v>1991</v>
      </c>
      <c r="B60" s="41">
        <v>56.155999999999999</v>
      </c>
      <c r="C60" s="41">
        <v>42.341999999999999</v>
      </c>
      <c r="D60" s="29">
        <f t="shared" si="0"/>
        <v>0.75400669563359213</v>
      </c>
      <c r="G60" s="29"/>
      <c r="H60" s="41"/>
      <c r="I60" s="33"/>
      <c r="V60" s="45">
        <v>1991</v>
      </c>
      <c r="W60" s="1">
        <v>56.155999999999999</v>
      </c>
      <c r="X60" s="46">
        <v>1990.8130000000001</v>
      </c>
      <c r="Y60" s="47">
        <v>42.341999999999999</v>
      </c>
      <c r="Z60" s="47">
        <f t="shared" si="1"/>
        <v>41.341999999999999</v>
      </c>
    </row>
    <row r="61" spans="1:26" ht="14.4">
      <c r="A61" s="11">
        <v>1992</v>
      </c>
      <c r="B61" s="41">
        <v>56.155999999999999</v>
      </c>
      <c r="C61" s="41">
        <v>44.444000000000003</v>
      </c>
      <c r="D61" s="29">
        <f t="shared" si="0"/>
        <v>0.79143813661941742</v>
      </c>
      <c r="G61" s="29"/>
      <c r="H61" s="41"/>
      <c r="I61" s="33"/>
      <c r="V61" s="45">
        <v>1992</v>
      </c>
      <c r="W61" s="1">
        <v>56.155999999999999</v>
      </c>
      <c r="X61" s="46">
        <v>1991.837</v>
      </c>
      <c r="Y61" s="47">
        <v>44.444000000000003</v>
      </c>
      <c r="Z61" s="47">
        <f t="shared" si="1"/>
        <v>43.444000000000003</v>
      </c>
    </row>
    <row r="62" spans="1:26" ht="14.4">
      <c r="A62" s="11">
        <v>1993</v>
      </c>
      <c r="B62" s="41">
        <v>56.155999999999999</v>
      </c>
      <c r="C62" s="41">
        <v>45.045000000000002</v>
      </c>
      <c r="D62" s="29">
        <f t="shared" si="0"/>
        <v>0.80214046584514576</v>
      </c>
      <c r="G62" s="29"/>
      <c r="H62" s="41"/>
      <c r="I62" s="33"/>
      <c r="V62" s="45">
        <v>1993</v>
      </c>
      <c r="W62" s="1">
        <v>56.155999999999999</v>
      </c>
      <c r="X62" s="46">
        <v>1992.8610000000001</v>
      </c>
      <c r="Y62" s="47">
        <v>45.045000000000002</v>
      </c>
      <c r="Z62" s="47">
        <f t="shared" si="1"/>
        <v>44.045000000000002</v>
      </c>
    </row>
    <row r="63" spans="1:26" ht="14.4">
      <c r="A63" s="11">
        <v>1994</v>
      </c>
      <c r="B63" s="41">
        <v>56.155999999999999</v>
      </c>
      <c r="C63" s="41">
        <v>40.24</v>
      </c>
      <c r="D63" s="29">
        <f t="shared" si="0"/>
        <v>0.71657525464776695</v>
      </c>
      <c r="G63" s="29"/>
      <c r="H63" s="41"/>
      <c r="I63" s="33"/>
      <c r="V63" s="45">
        <v>1994</v>
      </c>
      <c r="W63" s="1">
        <v>56.155999999999999</v>
      </c>
      <c r="X63" s="46">
        <v>1993.7829999999999</v>
      </c>
      <c r="Y63" s="47">
        <v>40.24</v>
      </c>
      <c r="Z63" s="47">
        <f t="shared" si="1"/>
        <v>39.24</v>
      </c>
    </row>
    <row r="64" spans="1:26" ht="14.4">
      <c r="A64" s="11">
        <v>1995</v>
      </c>
      <c r="B64" s="41">
        <v>57.957999999999998</v>
      </c>
      <c r="C64" s="41">
        <v>48.347999999999999</v>
      </c>
      <c r="D64" s="29">
        <f t="shared" si="0"/>
        <v>0.83419027571689841</v>
      </c>
      <c r="G64" s="29"/>
      <c r="H64" s="41"/>
      <c r="I64" s="33"/>
      <c r="V64" s="45">
        <v>1995</v>
      </c>
      <c r="W64" s="1">
        <v>57.957999999999998</v>
      </c>
      <c r="X64" s="46">
        <v>1994.807</v>
      </c>
      <c r="Y64" s="47">
        <v>48.347999999999999</v>
      </c>
      <c r="Z64" s="47">
        <f t="shared" si="1"/>
        <v>47.347999999999999</v>
      </c>
    </row>
    <row r="65" spans="1:26" ht="14.4">
      <c r="A65" s="11">
        <v>1996</v>
      </c>
      <c r="B65" s="41">
        <v>59.158999999999999</v>
      </c>
      <c r="C65" s="41">
        <v>46.246000000000002</v>
      </c>
      <c r="D65" s="29">
        <f t="shared" si="0"/>
        <v>0.78172382900319481</v>
      </c>
      <c r="G65" s="29"/>
      <c r="H65" s="41"/>
      <c r="I65" s="33"/>
      <c r="V65" s="45">
        <v>1996</v>
      </c>
      <c r="W65" s="1">
        <v>59.158999999999999</v>
      </c>
      <c r="X65" s="46">
        <v>1995.8309999999999</v>
      </c>
      <c r="Y65" s="47">
        <v>46.246000000000002</v>
      </c>
      <c r="Z65" s="47">
        <f t="shared" si="1"/>
        <v>45.246000000000002</v>
      </c>
    </row>
    <row r="66" spans="1:26" ht="14.4">
      <c r="A66" s="11">
        <v>1997</v>
      </c>
      <c r="B66" s="41">
        <v>60.36</v>
      </c>
      <c r="C66" s="41">
        <v>41.140999999999998</v>
      </c>
      <c r="D66" s="29">
        <f t="shared" si="0"/>
        <v>0.68159377070907878</v>
      </c>
      <c r="G66" s="29"/>
      <c r="H66" s="41"/>
      <c r="I66" s="33"/>
      <c r="V66" s="45">
        <v>1997</v>
      </c>
      <c r="W66" s="1">
        <v>60.36</v>
      </c>
      <c r="X66" s="46">
        <v>1996.855</v>
      </c>
      <c r="Y66" s="47">
        <v>41.140999999999998</v>
      </c>
      <c r="Z66" s="47">
        <f t="shared" si="1"/>
        <v>40.140999999999998</v>
      </c>
    </row>
    <row r="67" spans="1:26" ht="14.4">
      <c r="A67" s="11">
        <v>1998</v>
      </c>
      <c r="B67" s="41">
        <v>57.356999999999999</v>
      </c>
      <c r="C67" s="41">
        <v>41.140999999999998</v>
      </c>
      <c r="D67" s="29">
        <f t="shared" si="0"/>
        <v>0.71727949509214217</v>
      </c>
      <c r="G67" s="29"/>
      <c r="H67" s="41"/>
      <c r="I67" s="33"/>
      <c r="V67" s="45">
        <v>1998</v>
      </c>
      <c r="W67" s="1">
        <v>57.356999999999999</v>
      </c>
      <c r="X67" s="46">
        <v>1997.88</v>
      </c>
      <c r="Y67" s="47">
        <v>41.140999999999998</v>
      </c>
      <c r="Z67" s="47">
        <f t="shared" si="1"/>
        <v>40.140999999999998</v>
      </c>
    </row>
    <row r="68" spans="1:26" ht="14.4">
      <c r="A68" s="11">
        <v>1999</v>
      </c>
      <c r="B68" s="41">
        <v>55.255000000000003</v>
      </c>
      <c r="C68" s="41">
        <v>37.237000000000002</v>
      </c>
      <c r="D68" s="29">
        <f t="shared" si="0"/>
        <v>0.67391186317980278</v>
      </c>
      <c r="G68" s="30">
        <v>0.8</v>
      </c>
      <c r="H68" s="42"/>
      <c r="I68" s="30">
        <v>0.34</v>
      </c>
      <c r="V68" s="45">
        <v>1999</v>
      </c>
      <c r="W68" s="1">
        <v>55.255000000000003</v>
      </c>
      <c r="X68" s="46">
        <v>1998.8009999999999</v>
      </c>
      <c r="Y68" s="47">
        <v>37.237000000000002</v>
      </c>
      <c r="Z68" s="47">
        <f t="shared" si="1"/>
        <v>36.237000000000002</v>
      </c>
    </row>
    <row r="69" spans="1:26" ht="14.4">
      <c r="A69" s="11">
        <v>2000</v>
      </c>
      <c r="B69" s="41">
        <v>58.258000000000003</v>
      </c>
      <c r="C69" s="41">
        <v>49.249000000000002</v>
      </c>
      <c r="D69" s="29">
        <f t="shared" ref="D69:D89" si="2">C69/B69</f>
        <v>0.84536029386522027</v>
      </c>
      <c r="G69" s="29"/>
      <c r="H69" s="41"/>
      <c r="I69" s="33"/>
      <c r="V69" s="45">
        <v>2000</v>
      </c>
      <c r="W69" s="1">
        <v>58.258000000000003</v>
      </c>
      <c r="X69" s="46">
        <v>1999.825</v>
      </c>
      <c r="Y69" s="47">
        <v>49.249000000000002</v>
      </c>
      <c r="Z69" s="47">
        <f t="shared" ref="Z69:Z89" si="3">Y69-1</f>
        <v>48.249000000000002</v>
      </c>
    </row>
    <row r="70" spans="1:26" ht="14.4">
      <c r="A70" s="11">
        <v>2001</v>
      </c>
      <c r="B70" s="41">
        <v>53.152999999999999</v>
      </c>
      <c r="C70" s="41">
        <v>48.347999999999999</v>
      </c>
      <c r="D70" s="29">
        <f t="shared" si="2"/>
        <v>0.90960058698474211</v>
      </c>
      <c r="G70" s="29"/>
      <c r="H70" s="41"/>
      <c r="I70" s="33"/>
      <c r="V70" s="45">
        <v>2001</v>
      </c>
      <c r="W70" s="1">
        <v>53.152999999999999</v>
      </c>
      <c r="X70" s="46">
        <v>2000.8489999999999</v>
      </c>
      <c r="Y70" s="47">
        <v>48.347999999999999</v>
      </c>
      <c r="Z70" s="47">
        <f t="shared" si="3"/>
        <v>47.347999999999999</v>
      </c>
    </row>
    <row r="71" spans="1:26" ht="14.4">
      <c r="A71" s="1">
        <v>2002</v>
      </c>
      <c r="B71" s="41">
        <v>57.356999999999999</v>
      </c>
      <c r="C71" s="41">
        <v>49.249000000000002</v>
      </c>
      <c r="D71" s="29">
        <f t="shared" si="2"/>
        <v>0.8586397475460712</v>
      </c>
      <c r="G71" s="29"/>
      <c r="H71" s="41"/>
      <c r="I71" s="33"/>
      <c r="V71" s="45">
        <v>2002</v>
      </c>
      <c r="W71" s="1">
        <v>57.356999999999999</v>
      </c>
      <c r="X71" s="46">
        <v>2001.771</v>
      </c>
      <c r="Y71" s="47">
        <v>49.249000000000002</v>
      </c>
      <c r="Z71" s="47">
        <f t="shared" si="3"/>
        <v>48.249000000000002</v>
      </c>
    </row>
    <row r="72" spans="1:26" ht="14.4">
      <c r="A72" s="1">
        <v>2003</v>
      </c>
      <c r="B72" s="15">
        <v>58</v>
      </c>
      <c r="C72" s="42">
        <v>54</v>
      </c>
      <c r="D72" s="29">
        <f t="shared" si="2"/>
        <v>0.93103448275862066</v>
      </c>
      <c r="G72" s="29"/>
      <c r="H72" s="41"/>
      <c r="I72" s="33"/>
      <c r="V72" s="45">
        <v>2003</v>
      </c>
      <c r="W72" s="1">
        <v>57.957999999999998</v>
      </c>
      <c r="X72" s="46">
        <v>2002.8979999999999</v>
      </c>
      <c r="Y72" s="47">
        <v>52.252000000000002</v>
      </c>
      <c r="Z72" s="47">
        <f t="shared" si="3"/>
        <v>51.252000000000002</v>
      </c>
    </row>
    <row r="73" spans="1:26" ht="14.4">
      <c r="A73" s="1">
        <v>2004</v>
      </c>
      <c r="B73" s="15">
        <v>57</v>
      </c>
      <c r="C73" s="42">
        <v>39</v>
      </c>
      <c r="D73" s="29">
        <f t="shared" si="2"/>
        <v>0.68421052631578949</v>
      </c>
      <c r="G73" s="29"/>
      <c r="H73" s="41"/>
      <c r="I73" s="33"/>
      <c r="V73" s="45">
        <v>2004</v>
      </c>
      <c r="W73" s="1">
        <v>60.06</v>
      </c>
      <c r="X73" s="46">
        <v>2003.819</v>
      </c>
      <c r="Y73" s="47">
        <v>40.24</v>
      </c>
      <c r="Z73" s="47">
        <f t="shared" si="3"/>
        <v>39.24</v>
      </c>
    </row>
    <row r="74" spans="1:26" ht="14.4">
      <c r="A74" s="1">
        <v>2005</v>
      </c>
      <c r="B74" s="1">
        <v>49</v>
      </c>
      <c r="C74" s="41">
        <v>33.332999999999998</v>
      </c>
      <c r="D74" s="29">
        <f t="shared" si="2"/>
        <v>0.68026530612244895</v>
      </c>
      <c r="G74" s="29"/>
      <c r="H74" s="41"/>
      <c r="I74" s="33"/>
      <c r="V74" s="45">
        <v>2005</v>
      </c>
      <c r="W74" s="1">
        <v>48.948999999999998</v>
      </c>
      <c r="X74" s="46">
        <v>2004.8430000000001</v>
      </c>
      <c r="Y74" s="47">
        <v>33.332999999999998</v>
      </c>
      <c r="Z74" s="47">
        <f t="shared" si="3"/>
        <v>32.332999999999998</v>
      </c>
    </row>
    <row r="75" spans="1:26" ht="14.4">
      <c r="A75" s="1">
        <v>2006</v>
      </c>
      <c r="B75" s="1">
        <v>64</v>
      </c>
      <c r="C75" s="41">
        <v>45.344999999999999</v>
      </c>
      <c r="D75" s="29">
        <f t="shared" si="2"/>
        <v>0.70851562499999998</v>
      </c>
      <c r="G75" s="29"/>
      <c r="H75" s="41"/>
      <c r="I75" s="33"/>
      <c r="V75" s="45">
        <v>2006</v>
      </c>
      <c r="W75" s="1">
        <v>63.963999999999999</v>
      </c>
      <c r="X75" s="46">
        <v>2005.7650000000001</v>
      </c>
      <c r="Y75" s="47">
        <v>45.344999999999999</v>
      </c>
      <c r="Z75" s="47">
        <f t="shared" si="3"/>
        <v>44.344999999999999</v>
      </c>
    </row>
    <row r="76" spans="1:26" ht="14.4">
      <c r="A76" s="1">
        <v>2007</v>
      </c>
      <c r="B76" s="1">
        <v>76</v>
      </c>
      <c r="C76" s="41">
        <v>65.165000000000006</v>
      </c>
      <c r="D76" s="29">
        <f t="shared" si="2"/>
        <v>0.85743421052631585</v>
      </c>
      <c r="G76" s="30">
        <f>70/80</f>
        <v>0.875</v>
      </c>
      <c r="H76" s="42"/>
      <c r="I76" s="33"/>
      <c r="V76" s="45">
        <v>2007</v>
      </c>
      <c r="W76" s="1">
        <v>75.975999999999999</v>
      </c>
      <c r="X76" s="46">
        <v>2006.789</v>
      </c>
      <c r="Y76" s="47">
        <v>65.165000000000006</v>
      </c>
      <c r="Z76" s="47">
        <f t="shared" si="3"/>
        <v>64.165000000000006</v>
      </c>
    </row>
    <row r="77" spans="1:26" ht="14.4">
      <c r="A77" s="1">
        <v>2008</v>
      </c>
      <c r="B77" s="41">
        <v>78.978999999999999</v>
      </c>
      <c r="C77" s="41">
        <v>65.165000000000006</v>
      </c>
      <c r="D77" s="29">
        <f t="shared" si="2"/>
        <v>0.82509274617303341</v>
      </c>
      <c r="G77" s="29"/>
      <c r="H77" s="41"/>
      <c r="I77" s="33"/>
      <c r="V77" s="45">
        <v>2008</v>
      </c>
      <c r="W77" s="1">
        <v>78.978999999999999</v>
      </c>
      <c r="X77" s="46">
        <v>2007.8130000000001</v>
      </c>
      <c r="Y77" s="47">
        <v>65.165000000000006</v>
      </c>
      <c r="Z77" s="47">
        <f t="shared" si="3"/>
        <v>64.165000000000006</v>
      </c>
    </row>
    <row r="78" spans="1:26" ht="14.4">
      <c r="A78" s="1">
        <v>2009</v>
      </c>
      <c r="B78" s="41">
        <v>69.97</v>
      </c>
      <c r="C78" s="41">
        <v>63.363</v>
      </c>
      <c r="D78" s="29">
        <f t="shared" si="2"/>
        <v>0.90557381735029296</v>
      </c>
      <c r="G78" s="29"/>
      <c r="H78" s="41"/>
      <c r="I78" s="33"/>
      <c r="V78" s="45">
        <v>2009</v>
      </c>
      <c r="W78" s="1">
        <v>69.97</v>
      </c>
      <c r="X78" s="46">
        <v>2008.7349999999999</v>
      </c>
      <c r="Y78" s="47">
        <v>63.363</v>
      </c>
      <c r="Z78" s="47">
        <f t="shared" si="3"/>
        <v>62.363</v>
      </c>
    </row>
    <row r="79" spans="1:26" ht="14.4">
      <c r="A79" s="1">
        <v>2010</v>
      </c>
      <c r="B79" s="41">
        <v>71.772000000000006</v>
      </c>
      <c r="C79" s="41">
        <v>61.261000000000003</v>
      </c>
      <c r="D79" s="29">
        <f t="shared" si="2"/>
        <v>0.85355013097029475</v>
      </c>
      <c r="G79" s="29"/>
      <c r="H79" s="41"/>
      <c r="I79" s="33"/>
      <c r="V79" s="45">
        <v>2010</v>
      </c>
      <c r="W79" s="1">
        <v>71.772000000000006</v>
      </c>
      <c r="X79" s="46">
        <v>2009.759</v>
      </c>
      <c r="Y79" s="47">
        <v>61.261000000000003</v>
      </c>
      <c r="Z79" s="47">
        <f t="shared" si="3"/>
        <v>60.261000000000003</v>
      </c>
    </row>
    <row r="80" spans="1:26" ht="14.4">
      <c r="A80" s="1">
        <v>2011</v>
      </c>
      <c r="B80" s="41">
        <v>69.97</v>
      </c>
      <c r="C80" s="41">
        <v>61.261000000000003</v>
      </c>
      <c r="D80" s="29">
        <f t="shared" si="2"/>
        <v>0.87553237101614978</v>
      </c>
      <c r="G80" s="29"/>
      <c r="H80" s="41"/>
      <c r="I80" s="33"/>
      <c r="V80" s="45">
        <v>2011</v>
      </c>
      <c r="W80" s="1">
        <v>69.97</v>
      </c>
      <c r="X80" s="46">
        <v>2010.7829999999999</v>
      </c>
      <c r="Y80" s="47">
        <v>61.261000000000003</v>
      </c>
      <c r="Z80" s="47">
        <f t="shared" si="3"/>
        <v>60.261000000000003</v>
      </c>
    </row>
    <row r="81" spans="1:26" ht="14.4">
      <c r="A81" s="1">
        <v>2012</v>
      </c>
      <c r="B81" s="41">
        <v>69.97</v>
      </c>
      <c r="C81" s="41">
        <v>60.36</v>
      </c>
      <c r="D81" s="29">
        <f t="shared" si="2"/>
        <v>0.86265542375303705</v>
      </c>
      <c r="G81" s="29"/>
      <c r="H81" s="41"/>
      <c r="I81" s="33"/>
      <c r="V81" s="45">
        <v>2012</v>
      </c>
      <c r="W81" s="1">
        <v>69.97</v>
      </c>
      <c r="X81" s="46">
        <v>2011.807</v>
      </c>
      <c r="Y81" s="47">
        <v>60.36</v>
      </c>
      <c r="Z81" s="47">
        <f t="shared" si="3"/>
        <v>59.36</v>
      </c>
    </row>
    <row r="82" spans="1:26" ht="14.4">
      <c r="A82" s="1">
        <v>2013</v>
      </c>
      <c r="B82" s="41">
        <v>77.778000000000006</v>
      </c>
      <c r="C82" s="41">
        <v>65.165000000000006</v>
      </c>
      <c r="D82" s="29">
        <f t="shared" si="2"/>
        <v>0.83783332047622727</v>
      </c>
      <c r="G82" s="29"/>
      <c r="H82" s="41"/>
      <c r="I82" s="33"/>
      <c r="V82" s="45">
        <v>2013</v>
      </c>
      <c r="W82" s="1">
        <v>77.778000000000006</v>
      </c>
      <c r="X82" s="46">
        <v>2012.729</v>
      </c>
      <c r="Y82" s="47">
        <v>65.165000000000006</v>
      </c>
      <c r="Z82" s="47">
        <f t="shared" si="3"/>
        <v>64.165000000000006</v>
      </c>
    </row>
    <row r="83" spans="1:26" ht="14.4">
      <c r="A83" s="1">
        <v>2014</v>
      </c>
      <c r="B83" s="41">
        <v>78.679000000000002</v>
      </c>
      <c r="C83" s="41">
        <v>67.266999999999996</v>
      </c>
      <c r="D83" s="29">
        <f t="shared" si="2"/>
        <v>0.85495494350461998</v>
      </c>
      <c r="G83" s="29"/>
      <c r="H83" s="41"/>
      <c r="I83" s="30">
        <v>0.67</v>
      </c>
      <c r="V83" s="45">
        <v>2014</v>
      </c>
      <c r="W83" s="1">
        <v>78.679000000000002</v>
      </c>
      <c r="X83" s="46">
        <v>2013.7529999999999</v>
      </c>
      <c r="Y83" s="47">
        <v>67.266999999999996</v>
      </c>
      <c r="Z83" s="47">
        <f t="shared" si="3"/>
        <v>66.266999999999996</v>
      </c>
    </row>
    <row r="84" spans="1:26" ht="14.4">
      <c r="A84" s="1">
        <v>2015</v>
      </c>
      <c r="B84" s="41">
        <v>69.97</v>
      </c>
      <c r="C84" s="41">
        <v>62.462000000000003</v>
      </c>
      <c r="D84" s="29">
        <f t="shared" si="2"/>
        <v>0.89269687008718024</v>
      </c>
      <c r="G84" s="29"/>
      <c r="H84" s="41"/>
      <c r="I84" s="33"/>
      <c r="V84" s="45">
        <v>2015</v>
      </c>
      <c r="W84" s="1">
        <v>69.97</v>
      </c>
      <c r="X84" s="46">
        <v>2014.777</v>
      </c>
      <c r="Y84" s="47">
        <v>62.462000000000003</v>
      </c>
      <c r="Z84" s="47">
        <f t="shared" si="3"/>
        <v>61.462000000000003</v>
      </c>
    </row>
    <row r="85" spans="1:26" ht="14.4">
      <c r="A85" s="1">
        <v>2016</v>
      </c>
      <c r="B85" s="41">
        <v>80.180000000000007</v>
      </c>
      <c r="C85" s="41">
        <v>65.465000000000003</v>
      </c>
      <c r="D85" s="29">
        <f t="shared" si="2"/>
        <v>0.81647543028186575</v>
      </c>
      <c r="G85" s="29"/>
      <c r="H85" s="41"/>
      <c r="I85" s="33"/>
      <c r="V85" s="45">
        <v>2016</v>
      </c>
      <c r="W85" s="1">
        <v>80.180000000000007</v>
      </c>
      <c r="X85" s="46">
        <v>2015.8009999999999</v>
      </c>
      <c r="Y85" s="47">
        <v>65.465000000000003</v>
      </c>
      <c r="Z85" s="47">
        <f t="shared" si="3"/>
        <v>64.465000000000003</v>
      </c>
    </row>
    <row r="86" spans="1:26" ht="13.8" customHeight="1">
      <c r="A86" s="1">
        <v>2017</v>
      </c>
      <c r="B86" s="41">
        <v>69.97</v>
      </c>
      <c r="C86" s="41">
        <v>65.165000000000006</v>
      </c>
      <c r="D86" s="29">
        <f t="shared" si="2"/>
        <v>0.93132771187651864</v>
      </c>
      <c r="G86" s="29"/>
      <c r="H86" s="41"/>
      <c r="I86" s="30">
        <v>0.69199999999999995</v>
      </c>
      <c r="V86" s="45">
        <v>2017</v>
      </c>
      <c r="W86" s="1">
        <v>69.97</v>
      </c>
      <c r="X86" s="46">
        <v>2016.825</v>
      </c>
      <c r="Y86" s="47">
        <v>65.165000000000006</v>
      </c>
      <c r="Z86" s="47">
        <f t="shared" si="3"/>
        <v>64.165000000000006</v>
      </c>
    </row>
    <row r="87" spans="1:26" ht="14.4">
      <c r="A87" s="1">
        <v>2018</v>
      </c>
      <c r="B87" s="41">
        <v>78.978999999999999</v>
      </c>
      <c r="C87" s="41">
        <v>68.468000000000004</v>
      </c>
      <c r="D87" s="29">
        <f t="shared" si="2"/>
        <v>0.86691398979475565</v>
      </c>
      <c r="G87" s="29"/>
      <c r="H87" s="41"/>
      <c r="I87" s="30">
        <v>0.72</v>
      </c>
      <c r="V87" s="45">
        <v>2018</v>
      </c>
      <c r="W87" s="1">
        <v>78.978999999999999</v>
      </c>
      <c r="X87" s="46">
        <v>2017.8489999999999</v>
      </c>
      <c r="Y87" s="47">
        <v>68.468000000000004</v>
      </c>
      <c r="Z87" s="47">
        <f t="shared" si="3"/>
        <v>67.468000000000004</v>
      </c>
    </row>
    <row r="88" spans="1:26" ht="14.4">
      <c r="A88" s="1">
        <v>2019</v>
      </c>
      <c r="B88" s="15">
        <v>77</v>
      </c>
      <c r="C88" s="42">
        <v>61.261000000000003</v>
      </c>
      <c r="D88" s="29">
        <f t="shared" si="2"/>
        <v>0.79559740259740264</v>
      </c>
      <c r="G88" s="29"/>
      <c r="H88" s="41"/>
      <c r="I88" s="33"/>
      <c r="V88" s="45">
        <v>2019</v>
      </c>
      <c r="W88" s="1">
        <v>76.876999999999995</v>
      </c>
      <c r="X88" s="46">
        <v>2018.6690000000001</v>
      </c>
      <c r="Y88" s="47">
        <v>61.261000000000003</v>
      </c>
      <c r="Z88" s="47">
        <f t="shared" si="3"/>
        <v>60.261000000000003</v>
      </c>
    </row>
    <row r="89" spans="1:26" ht="14.4">
      <c r="A89" s="1">
        <v>2020</v>
      </c>
      <c r="B89">
        <v>89</v>
      </c>
      <c r="C89" s="42">
        <v>75.375</v>
      </c>
      <c r="D89" s="29">
        <f t="shared" si="2"/>
        <v>0.8469101123595506</v>
      </c>
      <c r="G89" s="29"/>
      <c r="H89" s="41"/>
      <c r="I89" s="33"/>
      <c r="V89" s="45">
        <v>2020</v>
      </c>
      <c r="W89" s="1">
        <v>89.188999999999993</v>
      </c>
      <c r="X89" s="46">
        <v>2019.846</v>
      </c>
      <c r="Y89" s="47">
        <v>75.375</v>
      </c>
      <c r="Z89" s="47">
        <f t="shared" si="3"/>
        <v>74.375</v>
      </c>
    </row>
    <row r="90" spans="1:26" ht="14.4">
      <c r="A90" s="1">
        <v>2021</v>
      </c>
      <c r="D90" s="29">
        <v>0.83</v>
      </c>
      <c r="G90" s="29"/>
      <c r="H90" s="41"/>
      <c r="I90" s="33"/>
    </row>
    <row r="91" spans="1:26" ht="14.4">
      <c r="A91" s="1">
        <v>2022</v>
      </c>
      <c r="D91" s="30">
        <v>0.9</v>
      </c>
      <c r="E91" s="1">
        <v>180</v>
      </c>
      <c r="F91" s="1">
        <v>155</v>
      </c>
      <c r="G91" s="29">
        <f>F91/E91</f>
        <v>0.86111111111111116</v>
      </c>
      <c r="H91" s="41"/>
      <c r="I91" s="33"/>
    </row>
    <row r="92" spans="1:26" ht="14.4">
      <c r="A92" s="1">
        <v>2023</v>
      </c>
      <c r="D92" s="30"/>
      <c r="G92" s="29"/>
      <c r="H92" s="41"/>
      <c r="I92" s="30">
        <v>0.8</v>
      </c>
    </row>
    <row r="93" spans="1:26" ht="15" customHeight="1">
      <c r="H93" s="41"/>
      <c r="I93" s="33"/>
    </row>
    <row r="94" spans="1:26" ht="15" customHeight="1">
      <c r="H94" s="41"/>
      <c r="I94" s="33"/>
    </row>
    <row r="95" spans="1:26" ht="15" customHeight="1">
      <c r="H95" s="41"/>
      <c r="I95" s="33"/>
    </row>
    <row r="96" spans="1:26" ht="15" customHeight="1">
      <c r="H96" s="41"/>
    </row>
    <row r="97" spans="8:8" ht="15" customHeight="1">
      <c r="H97" s="41"/>
    </row>
    <row r="98" spans="8:8" ht="15" customHeight="1">
      <c r="H98" s="41"/>
    </row>
    <row r="99" spans="8:8" ht="15" customHeight="1">
      <c r="H99" s="41"/>
    </row>
  </sheetData>
  <mergeCells count="4">
    <mergeCell ref="B2:D2"/>
    <mergeCell ref="E2:G2"/>
    <mergeCell ref="B1:I1"/>
    <mergeCell ref="A1:A3"/>
  </mergeCells>
  <hyperlinks>
    <hyperlink ref="B73" r:id="rId1" display="https://www.nationen.no/article/ni-av-ti-studenter-er-kvinner/" xr:uid="{00000000-0004-0000-1700-000002000000}"/>
    <hyperlink ref="G76" r:id="rId2" display="https://universitas.no/sak/50498/vellykket-mannskvotering/" xr:uid="{00000000-0004-0000-1700-000006000000}"/>
    <hyperlink ref="G39" r:id="rId3" display="https://universitas.no/sak/50498/vellykket-mannskvotering/" xr:uid="{00000000-0004-0000-1700-000007000000}"/>
    <hyperlink ref="B72" r:id="rId4" display="https://www.nationen.no/article/ni-av-ti-studenter-er-kvinner/" xr:uid="{00000000-0004-0000-1700-000009000000}"/>
    <hyperlink ref="G59" r:id="rId5" display="https://www.nmbu.no/fakultet/vet/aktuelt/node/34782" xr:uid="{00000000-0004-0000-1700-00000B000000}"/>
    <hyperlink ref="G68" r:id="rId6" display="80.0%" xr:uid="{0A306BBA-EA7D-4D70-85C6-F4A0FEAF085A}"/>
    <hyperlink ref="I68" r:id="rId7" display="34%" xr:uid="{36864401-5995-419C-9A74-A1F8FDAB2C6F}"/>
    <hyperlink ref="H14" r:id="rId8" display="1" xr:uid="{DE641B43-5BE3-4838-BBD6-4B9CF1998536}"/>
    <hyperlink ref="B4" r:id="rId9" display="https://www.nationen.no/article/ni-av-ti-studenter-er-kvinner/" xr:uid="{00000000-0004-0000-1700-000003000000}"/>
    <hyperlink ref="B88" r:id="rId10" display="https://www.nmbu.no/fakultet/vet/aktuelt/node/38092" xr:uid="{2B7DD413-70D4-41F2-A993-A5A4208AE8D3}"/>
    <hyperlink ref="C88" r:id="rId11" display="https://www.nmbu.no/fakultet/vet/aktuelt/node/38092" xr:uid="{A6AA110F-F870-4EC9-BE5D-42CED5FEBCE1}"/>
    <hyperlink ref="C4" r:id="rId12" display="https://www.nationen.no/article/ni-av-ti-studenter-er-kvinner/" xr:uid="{00000000-0004-0000-1700-000004000000}"/>
    <hyperlink ref="C38" r:id="rId13" display="https://www.nmbu.no/download/file/fid/32021../Downloads/veterinaerstudiets_omslag_fra_mannsstudium_til_kvinnestudium_-_ide_til_forskningsprosjekt_-_revidert_2017.pdf" xr:uid="{00000000-0004-0000-1700-00000D000000}"/>
    <hyperlink ref="C72" r:id="rId14" display="https://www.nationen.no/article/ni-av-ti-studenter-er-kvinner/" xr:uid="{00000000-0004-0000-1700-000008000000}"/>
    <hyperlink ref="C73" r:id="rId15" display="https://www.nationen.no/article/ni-av-ti-studenter-er-kvinner/" xr:uid="{00000000-0004-0000-1700-000005000000}"/>
    <hyperlink ref="I86" r:id="rId16" display="https://nvt.vetnett.no/asset/Utgaver/2017/02/nvt-2017-02.pdf" xr:uid="{4359F60E-3717-4B57-9FB6-D36349862001}"/>
    <hyperlink ref="I83" r:id="rId17" display="https://www.colvet.es/files/portalcontenidos/documentos/document-2022-02-09t112347.069.pdf" xr:uid="{25E4DC2B-8046-4AC2-A54D-BB2B8E6C0740}"/>
    <hyperlink ref="I87" r:id="rId18" display="https://www.fve.org/cms/wp-content/uploads/FVE_Survey_2018_WEB.pdf" xr:uid="{F86A345A-92D3-402A-B9FE-E552D9BCC8B7}"/>
    <hyperlink ref="I92" r:id="rId19" display="https://fve.org/cms/wp-content/uploads/FVE-Survey-2023_updated-v3.pdf" xr:uid="{6193E012-6C7D-4087-A8E6-B99B9A358411}"/>
  </hyperlinks>
  <pageMargins left="0.7" right="0.7" top="0.75" bottom="0.75" header="0.3" footer="0.3"/>
  <drawing r:id="rId20"/>
  <legacyDrawing r:id="rId2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96"/>
  <sheetViews>
    <sheetView workbookViewId="0">
      <pane xSplit="1" ySplit="3" topLeftCell="B70" activePane="bottomRight" state="frozen"/>
      <selection pane="topRight" activeCell="B1" sqref="B1"/>
      <selection pane="bottomLeft" activeCell="A4" sqref="A4"/>
      <selection pane="bottomRight" activeCell="D81" sqref="D81:D90"/>
    </sheetView>
  </sheetViews>
  <sheetFormatPr defaultRowHeight="14.4"/>
  <sheetData>
    <row r="1" spans="1:4">
      <c r="A1" t="s">
        <v>0</v>
      </c>
      <c r="B1" s="52" t="s">
        <v>117</v>
      </c>
      <c r="C1" s="52"/>
      <c r="D1" s="52"/>
    </row>
    <row r="2" spans="1:4">
      <c r="B2" t="s">
        <v>58</v>
      </c>
      <c r="C2" t="s">
        <v>119</v>
      </c>
      <c r="D2" t="s">
        <v>118</v>
      </c>
    </row>
    <row r="3" spans="1:4">
      <c r="B3" t="s">
        <v>33</v>
      </c>
      <c r="C3" t="s">
        <v>33</v>
      </c>
      <c r="D3" t="s">
        <v>33</v>
      </c>
    </row>
    <row r="4" spans="1:4">
      <c r="A4">
        <v>1937</v>
      </c>
      <c r="B4" s="33"/>
      <c r="C4" s="30">
        <v>0.1</v>
      </c>
      <c r="D4" s="33"/>
    </row>
    <row r="5" spans="1:4">
      <c r="A5">
        <v>1938</v>
      </c>
      <c r="B5" s="33"/>
      <c r="C5" s="30"/>
      <c r="D5" s="33"/>
    </row>
    <row r="6" spans="1:4">
      <c r="A6">
        <v>1939</v>
      </c>
      <c r="B6" s="33"/>
      <c r="C6" s="30"/>
      <c r="D6" s="33"/>
    </row>
    <row r="7" spans="1:4">
      <c r="A7">
        <v>1940</v>
      </c>
      <c r="B7" s="33"/>
      <c r="C7" s="30"/>
      <c r="D7" s="33"/>
    </row>
    <row r="8" spans="1:4">
      <c r="A8">
        <v>1941</v>
      </c>
      <c r="B8" s="33"/>
      <c r="C8" s="30"/>
      <c r="D8" s="33"/>
    </row>
    <row r="9" spans="1:4">
      <c r="A9">
        <v>1942</v>
      </c>
      <c r="B9" s="33"/>
      <c r="C9" s="30"/>
      <c r="D9" s="33"/>
    </row>
    <row r="10" spans="1:4">
      <c r="A10">
        <v>1943</v>
      </c>
      <c r="B10" s="33"/>
      <c r="C10" s="30"/>
      <c r="D10" s="33"/>
    </row>
    <row r="11" spans="1:4">
      <c r="A11">
        <v>1944</v>
      </c>
      <c r="B11" s="33"/>
      <c r="C11" s="30"/>
      <c r="D11" s="33"/>
    </row>
    <row r="12" spans="1:4">
      <c r="A12">
        <v>1945</v>
      </c>
      <c r="B12" s="33"/>
      <c r="C12" s="30"/>
      <c r="D12" s="33"/>
    </row>
    <row r="13" spans="1:4">
      <c r="A13">
        <v>1946</v>
      </c>
      <c r="B13" s="33"/>
      <c r="C13" s="30"/>
      <c r="D13" s="33"/>
    </row>
    <row r="14" spans="1:4">
      <c r="A14">
        <v>1947</v>
      </c>
      <c r="B14" s="33"/>
      <c r="C14" s="30"/>
      <c r="D14" s="33"/>
    </row>
    <row r="15" spans="1:4">
      <c r="A15">
        <v>1948</v>
      </c>
      <c r="B15" s="33"/>
      <c r="C15" s="30"/>
      <c r="D15" s="33"/>
    </row>
    <row r="16" spans="1:4">
      <c r="A16">
        <v>1949</v>
      </c>
      <c r="B16" s="33"/>
      <c r="C16" s="30"/>
      <c r="D16" s="33"/>
    </row>
    <row r="17" spans="1:4">
      <c r="A17">
        <v>1950</v>
      </c>
      <c r="B17" s="33"/>
      <c r="C17" s="30"/>
      <c r="D17" s="33"/>
    </row>
    <row r="18" spans="1:4">
      <c r="A18">
        <v>1951</v>
      </c>
      <c r="B18" s="33"/>
      <c r="C18" s="30"/>
      <c r="D18" s="33"/>
    </row>
    <row r="19" spans="1:4">
      <c r="A19">
        <v>1952</v>
      </c>
      <c r="B19" s="33"/>
      <c r="C19" s="30"/>
      <c r="D19" s="33"/>
    </row>
    <row r="20" spans="1:4">
      <c r="A20">
        <v>1953</v>
      </c>
      <c r="B20" s="33"/>
      <c r="C20" s="30"/>
      <c r="D20" s="33"/>
    </row>
    <row r="21" spans="1:4">
      <c r="A21">
        <v>1954</v>
      </c>
      <c r="B21" s="33"/>
      <c r="C21" s="30"/>
      <c r="D21" s="33"/>
    </row>
    <row r="22" spans="1:4">
      <c r="A22">
        <v>1955</v>
      </c>
      <c r="B22" s="33"/>
      <c r="C22" s="30"/>
      <c r="D22" s="33"/>
    </row>
    <row r="23" spans="1:4">
      <c r="A23">
        <v>1956</v>
      </c>
      <c r="B23" s="33"/>
      <c r="C23" s="30"/>
      <c r="D23" s="33"/>
    </row>
    <row r="24" spans="1:4">
      <c r="A24">
        <v>1957</v>
      </c>
      <c r="B24" s="33"/>
      <c r="C24" s="30"/>
      <c r="D24" s="33"/>
    </row>
    <row r="25" spans="1:4">
      <c r="A25">
        <v>1958</v>
      </c>
      <c r="B25" s="33"/>
      <c r="C25" s="30"/>
      <c r="D25" s="33"/>
    </row>
    <row r="26" spans="1:4">
      <c r="A26">
        <v>1959</v>
      </c>
      <c r="B26" s="33"/>
      <c r="C26" s="30"/>
      <c r="D26" s="33"/>
    </row>
    <row r="27" spans="1:4">
      <c r="A27">
        <v>1960</v>
      </c>
      <c r="B27" s="33"/>
      <c r="C27" s="30"/>
      <c r="D27" s="33"/>
    </row>
    <row r="28" spans="1:4">
      <c r="A28">
        <v>1961</v>
      </c>
      <c r="B28" s="33"/>
      <c r="C28" s="33"/>
      <c r="D28" s="33"/>
    </row>
    <row r="29" spans="1:4">
      <c r="A29">
        <v>1962</v>
      </c>
      <c r="B29" s="33"/>
      <c r="C29" s="33"/>
      <c r="D29" s="33"/>
    </row>
    <row r="30" spans="1:4">
      <c r="A30">
        <v>1963</v>
      </c>
      <c r="B30" s="33"/>
      <c r="C30" s="33"/>
      <c r="D30" s="33"/>
    </row>
    <row r="31" spans="1:4">
      <c r="A31">
        <v>1964</v>
      </c>
      <c r="B31" s="33"/>
      <c r="C31" s="33"/>
      <c r="D31" s="33"/>
    </row>
    <row r="32" spans="1:4">
      <c r="A32">
        <v>1965</v>
      </c>
      <c r="B32" s="33"/>
      <c r="C32" s="33"/>
      <c r="D32" s="33"/>
    </row>
    <row r="33" spans="1:4">
      <c r="A33">
        <v>1966</v>
      </c>
      <c r="B33" s="33"/>
      <c r="C33" s="33"/>
      <c r="D33" s="33"/>
    </row>
    <row r="34" spans="1:4">
      <c r="A34">
        <v>1967</v>
      </c>
      <c r="B34" s="33"/>
      <c r="C34" s="33"/>
      <c r="D34" s="33"/>
    </row>
    <row r="35" spans="1:4">
      <c r="A35">
        <v>1968</v>
      </c>
      <c r="B35" s="33"/>
      <c r="C35" s="33"/>
      <c r="D35" s="33"/>
    </row>
    <row r="36" spans="1:4">
      <c r="A36">
        <v>1969</v>
      </c>
      <c r="B36" s="33"/>
      <c r="C36" s="33"/>
      <c r="D36" s="33"/>
    </row>
    <row r="37" spans="1:4">
      <c r="A37">
        <v>1970</v>
      </c>
      <c r="B37" s="33"/>
      <c r="C37" s="33"/>
      <c r="D37" s="33"/>
    </row>
    <row r="38" spans="1:4">
      <c r="A38">
        <v>1971</v>
      </c>
      <c r="B38" s="33"/>
      <c r="C38" s="33"/>
      <c r="D38" s="33"/>
    </row>
    <row r="39" spans="1:4">
      <c r="A39">
        <v>1972</v>
      </c>
      <c r="B39" s="33"/>
      <c r="C39" s="33"/>
      <c r="D39" s="33"/>
    </row>
    <row r="40" spans="1:4">
      <c r="A40">
        <v>1973</v>
      </c>
      <c r="B40" s="33"/>
      <c r="C40" s="33"/>
      <c r="D40" s="33"/>
    </row>
    <row r="41" spans="1:4">
      <c r="A41">
        <v>1974</v>
      </c>
      <c r="B41" s="33"/>
      <c r="C41" s="33"/>
      <c r="D41" s="33"/>
    </row>
    <row r="42" spans="1:4">
      <c r="A42">
        <v>1975</v>
      </c>
      <c r="B42" s="33"/>
      <c r="C42" s="33"/>
      <c r="D42" s="33"/>
    </row>
    <row r="43" spans="1:4">
      <c r="A43">
        <v>1976</v>
      </c>
      <c r="B43" s="33"/>
      <c r="C43" s="33"/>
      <c r="D43" s="33"/>
    </row>
    <row r="44" spans="1:4">
      <c r="A44">
        <v>1977</v>
      </c>
      <c r="B44" s="33"/>
      <c r="C44" s="33"/>
      <c r="D44" s="33"/>
    </row>
    <row r="45" spans="1:4">
      <c r="A45">
        <v>1978</v>
      </c>
      <c r="B45" s="33"/>
      <c r="C45" s="33"/>
      <c r="D45" s="33"/>
    </row>
    <row r="46" spans="1:4">
      <c r="A46">
        <v>1979</v>
      </c>
      <c r="B46" s="33"/>
      <c r="C46" s="33"/>
      <c r="D46" s="33"/>
    </row>
    <row r="47" spans="1:4">
      <c r="A47">
        <v>1980</v>
      </c>
      <c r="B47" s="33"/>
      <c r="C47" s="33"/>
      <c r="D47" s="33"/>
    </row>
    <row r="48" spans="1:4">
      <c r="A48">
        <v>1981</v>
      </c>
      <c r="B48" s="33"/>
      <c r="C48" s="33"/>
      <c r="D48" s="33"/>
    </row>
    <row r="49" spans="1:4">
      <c r="A49">
        <v>1982</v>
      </c>
      <c r="B49" s="33"/>
      <c r="C49" s="33"/>
      <c r="D49" s="33"/>
    </row>
    <row r="50" spans="1:4">
      <c r="A50">
        <v>1983</v>
      </c>
      <c r="B50" s="33"/>
      <c r="C50" s="33"/>
      <c r="D50" s="33"/>
    </row>
    <row r="51" spans="1:4">
      <c r="A51">
        <v>1984</v>
      </c>
      <c r="B51" s="33"/>
      <c r="C51" s="33"/>
      <c r="D51" s="33"/>
    </row>
    <row r="52" spans="1:4">
      <c r="A52">
        <v>1985</v>
      </c>
      <c r="B52" s="33"/>
      <c r="C52" s="33"/>
      <c r="D52" s="33"/>
    </row>
    <row r="53" spans="1:4">
      <c r="A53">
        <v>1986</v>
      </c>
      <c r="B53" s="33"/>
      <c r="C53" s="33"/>
      <c r="D53" s="33"/>
    </row>
    <row r="54" spans="1:4">
      <c r="A54">
        <v>1987</v>
      </c>
      <c r="B54" s="33"/>
      <c r="C54" s="33"/>
      <c r="D54" s="33"/>
    </row>
    <row r="55" spans="1:4">
      <c r="A55">
        <v>1988</v>
      </c>
      <c r="B55" s="33"/>
      <c r="C55" s="33"/>
      <c r="D55" s="33"/>
    </row>
    <row r="56" spans="1:4">
      <c r="A56">
        <v>1989</v>
      </c>
      <c r="B56" s="33"/>
      <c r="C56" s="33"/>
      <c r="D56" s="33"/>
    </row>
    <row r="57" spans="1:4">
      <c r="A57">
        <v>1990</v>
      </c>
      <c r="B57" s="33"/>
      <c r="C57" s="33"/>
      <c r="D57" s="33"/>
    </row>
    <row r="58" spans="1:4">
      <c r="A58">
        <v>1991</v>
      </c>
      <c r="B58" s="33"/>
      <c r="C58" s="33"/>
      <c r="D58" s="33"/>
    </row>
    <row r="59" spans="1:4">
      <c r="A59">
        <v>1992</v>
      </c>
      <c r="B59" s="33"/>
      <c r="C59" s="33"/>
      <c r="D59" s="33"/>
    </row>
    <row r="60" spans="1:4">
      <c r="A60">
        <v>1993</v>
      </c>
      <c r="B60" s="33"/>
      <c r="C60" s="33"/>
      <c r="D60" s="33"/>
    </row>
    <row r="61" spans="1:4">
      <c r="A61">
        <v>1994</v>
      </c>
      <c r="B61" s="33"/>
      <c r="C61" s="33"/>
      <c r="D61" s="33"/>
    </row>
    <row r="62" spans="1:4">
      <c r="A62">
        <v>1995</v>
      </c>
      <c r="B62" s="33"/>
      <c r="C62" s="33"/>
      <c r="D62" s="33"/>
    </row>
    <row r="63" spans="1:4">
      <c r="A63">
        <v>1996</v>
      </c>
      <c r="B63" s="33"/>
      <c r="C63" s="33"/>
      <c r="D63" s="33"/>
    </row>
    <row r="64" spans="1:4">
      <c r="A64">
        <v>1997</v>
      </c>
      <c r="B64" s="33"/>
      <c r="C64" s="33"/>
      <c r="D64" s="33"/>
    </row>
    <row r="65" spans="1:4">
      <c r="A65">
        <v>1998</v>
      </c>
      <c r="B65" s="33"/>
      <c r="C65" s="33"/>
      <c r="D65" s="33"/>
    </row>
    <row r="66" spans="1:4">
      <c r="A66">
        <v>1999</v>
      </c>
      <c r="B66" s="33"/>
      <c r="C66" s="33"/>
      <c r="D66" s="33"/>
    </row>
    <row r="67" spans="1:4">
      <c r="A67">
        <v>2000</v>
      </c>
      <c r="B67" s="33"/>
      <c r="C67" s="33"/>
      <c r="D67" s="33"/>
    </row>
    <row r="68" spans="1:4">
      <c r="A68">
        <v>2001</v>
      </c>
      <c r="B68" s="33"/>
      <c r="C68" s="33"/>
      <c r="D68" s="33"/>
    </row>
    <row r="69" spans="1:4">
      <c r="A69">
        <v>2002</v>
      </c>
      <c r="B69" s="33"/>
      <c r="C69" s="33"/>
      <c r="D69" s="33"/>
    </row>
    <row r="70" spans="1:4">
      <c r="A70">
        <v>2003</v>
      </c>
      <c r="B70" s="33"/>
      <c r="C70" s="33"/>
      <c r="D70" s="33"/>
    </row>
    <row r="71" spans="1:4">
      <c r="A71">
        <v>2004</v>
      </c>
      <c r="B71" s="33"/>
      <c r="C71" s="33"/>
      <c r="D71" s="33"/>
    </row>
    <row r="72" spans="1:4">
      <c r="A72">
        <v>2005</v>
      </c>
      <c r="B72" s="33"/>
      <c r="C72" s="33"/>
      <c r="D72" s="33"/>
    </row>
    <row r="73" spans="1:4">
      <c r="A73">
        <v>2006</v>
      </c>
      <c r="B73" s="33"/>
      <c r="C73" s="33"/>
      <c r="D73" s="33"/>
    </row>
    <row r="74" spans="1:4">
      <c r="A74">
        <v>2007</v>
      </c>
      <c r="B74" s="33"/>
      <c r="C74" s="33"/>
      <c r="D74" s="33"/>
    </row>
    <row r="75" spans="1:4">
      <c r="A75">
        <v>2008</v>
      </c>
      <c r="B75" s="33"/>
      <c r="C75" s="33"/>
      <c r="D75" s="33"/>
    </row>
    <row r="76" spans="1:4">
      <c r="A76">
        <v>2009</v>
      </c>
      <c r="B76" s="33"/>
      <c r="C76" s="33"/>
      <c r="D76" s="33"/>
    </row>
    <row r="77" spans="1:4">
      <c r="A77">
        <v>2010</v>
      </c>
      <c r="B77" s="33"/>
      <c r="C77" s="33"/>
      <c r="D77" s="33"/>
    </row>
    <row r="78" spans="1:4">
      <c r="A78">
        <v>2011</v>
      </c>
      <c r="B78" s="33"/>
      <c r="C78" s="33"/>
      <c r="D78" s="33"/>
    </row>
    <row r="79" spans="1:4">
      <c r="A79">
        <v>2012</v>
      </c>
      <c r="B79" s="33"/>
      <c r="C79" s="33"/>
      <c r="D79" s="33"/>
    </row>
    <row r="80" spans="1:4">
      <c r="A80">
        <v>2013</v>
      </c>
      <c r="B80" s="33"/>
      <c r="C80" s="33"/>
      <c r="D80" s="33"/>
    </row>
    <row r="81" spans="1:4">
      <c r="A81">
        <v>2014</v>
      </c>
      <c r="B81" s="33"/>
      <c r="C81" s="33"/>
      <c r="D81" s="30">
        <v>0.38</v>
      </c>
    </row>
    <row r="82" spans="1:4">
      <c r="A82">
        <v>2015</v>
      </c>
      <c r="B82" s="33"/>
      <c r="C82" s="33"/>
      <c r="D82" s="33"/>
    </row>
    <row r="83" spans="1:4">
      <c r="A83">
        <v>2016</v>
      </c>
      <c r="B83" s="33"/>
      <c r="C83" s="33"/>
      <c r="D83" s="33"/>
    </row>
    <row r="84" spans="1:4">
      <c r="A84">
        <v>2017</v>
      </c>
      <c r="B84" s="33"/>
      <c r="C84" s="33"/>
      <c r="D84" s="33"/>
    </row>
    <row r="85" spans="1:4">
      <c r="A85">
        <v>2018</v>
      </c>
      <c r="B85" s="33"/>
      <c r="C85" s="33"/>
      <c r="D85" s="30">
        <v>0.57999999999999996</v>
      </c>
    </row>
    <row r="86" spans="1:4">
      <c r="A86">
        <v>2019</v>
      </c>
      <c r="B86" s="33"/>
      <c r="C86" s="33"/>
      <c r="D86" s="33"/>
    </row>
    <row r="87" spans="1:4">
      <c r="A87">
        <v>2020</v>
      </c>
      <c r="B87" s="30">
        <v>0.8</v>
      </c>
      <c r="C87" s="33"/>
      <c r="D87" s="30" t="s">
        <v>120</v>
      </c>
    </row>
    <row r="88" spans="1:4">
      <c r="A88">
        <v>2021</v>
      </c>
      <c r="B88" s="33"/>
      <c r="C88" s="33"/>
      <c r="D88" s="33"/>
    </row>
    <row r="89" spans="1:4">
      <c r="A89">
        <v>2022</v>
      </c>
      <c r="B89" s="33"/>
      <c r="C89" s="33"/>
      <c r="D89" s="33"/>
    </row>
    <row r="90" spans="1:4">
      <c r="A90">
        <v>2023</v>
      </c>
      <c r="B90" s="33"/>
      <c r="C90" s="33"/>
      <c r="D90" s="30">
        <v>0.63</v>
      </c>
    </row>
    <row r="91" spans="1:4">
      <c r="A91">
        <v>2024</v>
      </c>
      <c r="B91" s="33"/>
      <c r="C91" s="33"/>
      <c r="D91" s="33"/>
    </row>
    <row r="92" spans="1:4">
      <c r="A92">
        <v>2025</v>
      </c>
      <c r="B92" s="33"/>
      <c r="C92" s="33"/>
      <c r="D92" s="33"/>
    </row>
    <row r="93" spans="1:4">
      <c r="B93" s="33"/>
      <c r="C93" s="33"/>
      <c r="D93" s="33"/>
    </row>
    <row r="94" spans="1:4">
      <c r="B94" s="33"/>
      <c r="C94" s="33"/>
      <c r="D94" s="33"/>
    </row>
    <row r="95" spans="1:4">
      <c r="B95" s="33"/>
      <c r="C95" s="33"/>
      <c r="D95" s="33"/>
    </row>
    <row r="96" spans="1:4">
      <c r="B96" s="33"/>
      <c r="C96" s="33"/>
      <c r="D96" s="33"/>
    </row>
  </sheetData>
  <mergeCells count="1">
    <mergeCell ref="B1:D1"/>
  </mergeCells>
  <hyperlinks>
    <hyperlink ref="B87:D87" r:id="rId1" display="https://niesamowitykaktus.wordpress.com/2020/06/07/od-kilku-pionierek-do-wiekszosci-grupy-zawodowej-jak-kobiety-zdobyly-weterynarie/" xr:uid="{00000000-0004-0000-1800-000000000000}"/>
    <hyperlink ref="C4" r:id="rId2" display="https://prenumeratorka.pl/helena-jurgielewiczowa-pierwsza-lekarka-weterynarii-cz-2/" xr:uid="{00000000-0004-0000-1800-000001000000}"/>
    <hyperlink ref="D81" r:id="rId3" display="https://www.colvet.es/files/portalcontenidos/documentos/document-2022-02-09t112347.069.pdf" xr:uid="{B367B617-AA40-43FB-BD31-6B9A78A7106C}"/>
    <hyperlink ref="D85" r:id="rId4" display="https://www.fve.org/cms/wp-content/uploads/FVE_Survey_2018_WEB.pdf" xr:uid="{4AB03175-EE4F-48D1-B739-97C1F13FF5C2}"/>
    <hyperlink ref="D90" r:id="rId5" display="https://fve.org/cms/wp-content/uploads/FVE-Survey-2023_updated-v3.pdf" xr:uid="{94FDF535-D661-444D-A66C-D0DB6D8D126B}"/>
  </hyperlinks>
  <pageMargins left="0.7" right="0.7" top="0.75" bottom="0.75" header="0.3" footer="0.3"/>
  <legacyDrawing r:id="rId6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3C4D1-3654-44A1-BC64-C2FDD8458322}">
  <dimension ref="A1:B16"/>
  <sheetViews>
    <sheetView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B4" sqref="B4:B13"/>
    </sheetView>
  </sheetViews>
  <sheetFormatPr defaultRowHeight="14.4"/>
  <cols>
    <col min="1" max="1" width="5.44140625" customWidth="1"/>
  </cols>
  <sheetData>
    <row r="1" spans="1:2">
      <c r="A1" s="52" t="s">
        <v>0</v>
      </c>
      <c r="B1" t="s">
        <v>206</v>
      </c>
    </row>
    <row r="2" spans="1:2">
      <c r="A2" s="52"/>
      <c r="B2" t="s">
        <v>23</v>
      </c>
    </row>
    <row r="3" spans="1:2">
      <c r="A3" s="52"/>
      <c r="B3" t="s">
        <v>3</v>
      </c>
    </row>
    <row r="4" spans="1:2">
      <c r="A4">
        <v>2014</v>
      </c>
      <c r="B4" s="30">
        <v>0.62</v>
      </c>
    </row>
    <row r="5" spans="1:2">
      <c r="A5">
        <v>2015</v>
      </c>
      <c r="B5" s="33"/>
    </row>
    <row r="6" spans="1:2">
      <c r="A6">
        <v>2016</v>
      </c>
      <c r="B6" s="33"/>
    </row>
    <row r="7" spans="1:2">
      <c r="A7">
        <v>2017</v>
      </c>
      <c r="B7" s="33"/>
    </row>
    <row r="8" spans="1:2">
      <c r="A8">
        <v>2018</v>
      </c>
      <c r="B8" s="30">
        <v>0.7</v>
      </c>
    </row>
    <row r="9" spans="1:2">
      <c r="A9">
        <v>2019</v>
      </c>
      <c r="B9" s="33"/>
    </row>
    <row r="10" spans="1:2">
      <c r="A10">
        <v>2020</v>
      </c>
      <c r="B10" s="33"/>
    </row>
    <row r="11" spans="1:2">
      <c r="A11">
        <v>2021</v>
      </c>
      <c r="B11" s="33"/>
    </row>
    <row r="12" spans="1:2">
      <c r="A12">
        <v>2022</v>
      </c>
      <c r="B12" s="33"/>
    </row>
    <row r="13" spans="1:2">
      <c r="A13">
        <v>2023</v>
      </c>
      <c r="B13" s="30">
        <v>0.71</v>
      </c>
    </row>
    <row r="14" spans="1:2">
      <c r="A14">
        <v>2024</v>
      </c>
      <c r="B14" s="33"/>
    </row>
    <row r="15" spans="1:2">
      <c r="B15" s="33"/>
    </row>
    <row r="16" spans="1:2">
      <c r="B16" s="33"/>
    </row>
  </sheetData>
  <mergeCells count="1">
    <mergeCell ref="A1:A3"/>
  </mergeCells>
  <hyperlinks>
    <hyperlink ref="B4" r:id="rId1" display="https://www.colvet.es/files/portalcontenidos/documentos/document-2022-02-09t112347.069.pdf" xr:uid="{98853870-2FD2-4B1C-9B6E-EB09473FF8EE}"/>
    <hyperlink ref="B8" r:id="rId2" display="https://www.fve.org/cms/wp-content/uploads/FVE_Survey_2018_WEB.pdf" xr:uid="{307726F8-3C31-45A2-9F7F-E667FD757869}"/>
    <hyperlink ref="B13" r:id="rId3" display="https://fve.org/cms/wp-content/uploads/FVE-Survey-2023_updated-v3.pdf" xr:uid="{68483798-AE6C-40CE-A850-72F87D17256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7"/>
  <sheetViews>
    <sheetView workbookViewId="0">
      <pane xSplit="1" ySplit="3" topLeftCell="B48" activePane="bottomRight" state="frozen"/>
      <selection pane="topRight" activeCell="B1" sqref="B1"/>
      <selection pane="bottomLeft" activeCell="A4" sqref="A4"/>
      <selection pane="bottomRight" activeCell="N4" sqref="N4:N68"/>
    </sheetView>
  </sheetViews>
  <sheetFormatPr defaultRowHeight="14.4"/>
  <sheetData>
    <row r="1" spans="1:14">
      <c r="A1" t="s">
        <v>0</v>
      </c>
      <c r="B1" s="52" t="s">
        <v>8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</row>
    <row r="2" spans="1:14">
      <c r="B2" t="s">
        <v>9</v>
      </c>
      <c r="C2" s="54" t="s">
        <v>10</v>
      </c>
      <c r="D2" s="54"/>
      <c r="E2" s="54"/>
      <c r="F2" s="54"/>
      <c r="G2" s="15" t="s">
        <v>11</v>
      </c>
      <c r="H2" s="15" t="s">
        <v>12</v>
      </c>
      <c r="I2" s="54" t="s">
        <v>13</v>
      </c>
      <c r="J2" s="54"/>
      <c r="K2" s="15" t="s">
        <v>14</v>
      </c>
      <c r="N2" t="s">
        <v>16</v>
      </c>
    </row>
    <row r="3" spans="1:14">
      <c r="B3" t="s">
        <v>15</v>
      </c>
      <c r="C3" t="s">
        <v>16</v>
      </c>
      <c r="D3" t="s">
        <v>17</v>
      </c>
      <c r="E3" t="s">
        <v>18</v>
      </c>
      <c r="F3" t="s">
        <v>15</v>
      </c>
      <c r="H3" t="s">
        <v>19</v>
      </c>
      <c r="I3" t="s">
        <v>20</v>
      </c>
      <c r="J3" t="s">
        <v>21</v>
      </c>
      <c r="K3" t="s">
        <v>21</v>
      </c>
      <c r="N3" t="s">
        <v>33</v>
      </c>
    </row>
    <row r="4" spans="1:14">
      <c r="A4">
        <v>1960</v>
      </c>
      <c r="K4" s="14">
        <v>4.6699999999999998E-2</v>
      </c>
      <c r="N4" s="30">
        <v>0.04</v>
      </c>
    </row>
    <row r="5" spans="1:14">
      <c r="A5">
        <v>1961</v>
      </c>
      <c r="N5" s="30">
        <v>0.04</v>
      </c>
    </row>
    <row r="6" spans="1:14">
      <c r="A6">
        <v>1962</v>
      </c>
      <c r="N6" s="30">
        <v>0.04</v>
      </c>
    </row>
    <row r="7" spans="1:14">
      <c r="A7">
        <v>1963</v>
      </c>
      <c r="N7" s="30">
        <v>0.04</v>
      </c>
    </row>
    <row r="8" spans="1:14">
      <c r="A8">
        <v>1964</v>
      </c>
      <c r="N8" s="30">
        <v>0.04</v>
      </c>
    </row>
    <row r="9" spans="1:14">
      <c r="A9">
        <v>1965</v>
      </c>
      <c r="N9" s="30">
        <v>0.04</v>
      </c>
    </row>
    <row r="10" spans="1:14">
      <c r="A10">
        <v>1966</v>
      </c>
      <c r="N10" s="30">
        <v>0.04</v>
      </c>
    </row>
    <row r="11" spans="1:14">
      <c r="A11">
        <v>1967</v>
      </c>
      <c r="N11" s="30">
        <v>0.04</v>
      </c>
    </row>
    <row r="12" spans="1:14">
      <c r="A12">
        <v>1968</v>
      </c>
      <c r="N12" s="30">
        <v>0.04</v>
      </c>
    </row>
    <row r="13" spans="1:14">
      <c r="A13">
        <v>1967</v>
      </c>
      <c r="N13" s="30">
        <v>0.04</v>
      </c>
    </row>
    <row r="14" spans="1:14">
      <c r="A14">
        <v>1968</v>
      </c>
      <c r="N14" s="30">
        <v>0.04</v>
      </c>
    </row>
    <row r="15" spans="1:14">
      <c r="A15">
        <v>1969</v>
      </c>
      <c r="N15" s="30">
        <v>0.04</v>
      </c>
    </row>
    <row r="16" spans="1:14">
      <c r="A16">
        <v>1970</v>
      </c>
      <c r="N16" s="33"/>
    </row>
    <row r="17" spans="1:14">
      <c r="A17">
        <v>1971</v>
      </c>
      <c r="N17" s="33"/>
    </row>
    <row r="18" spans="1:14">
      <c r="A18">
        <v>1972</v>
      </c>
      <c r="N18" s="33"/>
    </row>
    <row r="19" spans="1:14">
      <c r="A19">
        <v>1973</v>
      </c>
      <c r="N19" s="33"/>
    </row>
    <row r="20" spans="1:14">
      <c r="A20">
        <v>1974</v>
      </c>
      <c r="G20">
        <v>17.5</v>
      </c>
      <c r="H20">
        <v>21.8</v>
      </c>
      <c r="K20" s="37">
        <v>0.1</v>
      </c>
      <c r="N20" s="33"/>
    </row>
    <row r="21" spans="1:14">
      <c r="A21">
        <v>1975</v>
      </c>
      <c r="N21" s="33"/>
    </row>
    <row r="22" spans="1:14">
      <c r="A22">
        <v>1976</v>
      </c>
      <c r="N22" s="33"/>
    </row>
    <row r="23" spans="1:14">
      <c r="A23">
        <v>1977</v>
      </c>
      <c r="N23" s="33"/>
    </row>
    <row r="24" spans="1:14">
      <c r="A24">
        <v>1978</v>
      </c>
      <c r="N24" s="33"/>
    </row>
    <row r="25" spans="1:14">
      <c r="A25">
        <v>1979</v>
      </c>
      <c r="N25" s="33"/>
    </row>
    <row r="26" spans="1:14">
      <c r="A26">
        <v>1980</v>
      </c>
      <c r="N26" s="33"/>
    </row>
    <row r="27" spans="1:14">
      <c r="A27">
        <v>1981</v>
      </c>
      <c r="N27" s="33"/>
    </row>
    <row r="28" spans="1:14">
      <c r="A28">
        <v>1982</v>
      </c>
      <c r="N28" s="33"/>
    </row>
    <row r="29" spans="1:14">
      <c r="A29">
        <v>1983</v>
      </c>
      <c r="N29" s="33"/>
    </row>
    <row r="30" spans="1:14">
      <c r="A30">
        <v>1984</v>
      </c>
      <c r="G30">
        <v>21.5</v>
      </c>
      <c r="H30">
        <v>27.8</v>
      </c>
      <c r="N30" s="33"/>
    </row>
    <row r="31" spans="1:14">
      <c r="A31">
        <v>1985</v>
      </c>
      <c r="N31" s="33"/>
    </row>
    <row r="32" spans="1:14">
      <c r="A32">
        <v>1986</v>
      </c>
      <c r="N32" s="33"/>
    </row>
    <row r="33" spans="1:14">
      <c r="A33">
        <v>1987</v>
      </c>
      <c r="N33" s="33"/>
    </row>
    <row r="34" spans="1:14">
      <c r="A34">
        <v>1988</v>
      </c>
      <c r="N34" s="33"/>
    </row>
    <row r="35" spans="1:14">
      <c r="A35">
        <v>1989</v>
      </c>
      <c r="N35" s="33"/>
    </row>
    <row r="36" spans="1:14">
      <c r="A36">
        <v>1990</v>
      </c>
      <c r="N36" s="33"/>
    </row>
    <row r="37" spans="1:14">
      <c r="A37">
        <v>1991</v>
      </c>
      <c r="N37" s="33"/>
    </row>
    <row r="38" spans="1:14">
      <c r="A38">
        <v>1992</v>
      </c>
      <c r="N38" s="33"/>
    </row>
    <row r="39" spans="1:14">
      <c r="A39">
        <v>1993</v>
      </c>
      <c r="N39" s="33"/>
    </row>
    <row r="40" spans="1:14">
      <c r="A40">
        <v>1994</v>
      </c>
      <c r="N40" s="33"/>
    </row>
    <row r="41" spans="1:14">
      <c r="A41">
        <v>1995</v>
      </c>
      <c r="N41" s="33"/>
    </row>
    <row r="42" spans="1:14">
      <c r="A42">
        <v>1996</v>
      </c>
      <c r="G42">
        <v>33.6</v>
      </c>
      <c r="H42">
        <v>56.8</v>
      </c>
      <c r="N42" s="33"/>
    </row>
    <row r="43" spans="1:14">
      <c r="A43">
        <v>1997</v>
      </c>
      <c r="N43" s="33"/>
    </row>
    <row r="44" spans="1:14">
      <c r="A44">
        <v>1998</v>
      </c>
      <c r="N44" s="33"/>
    </row>
    <row r="45" spans="1:14">
      <c r="A45">
        <v>1999</v>
      </c>
      <c r="N45" s="33"/>
    </row>
    <row r="46" spans="1:14">
      <c r="A46">
        <v>2000</v>
      </c>
      <c r="N46" s="33"/>
    </row>
    <row r="47" spans="1:14">
      <c r="A47">
        <v>2001</v>
      </c>
      <c r="K47" s="37">
        <v>0.5</v>
      </c>
      <c r="N47" s="33"/>
    </row>
    <row r="48" spans="1:14">
      <c r="A48">
        <v>2002</v>
      </c>
      <c r="I48" s="14">
        <v>0.745</v>
      </c>
      <c r="N48" s="33"/>
    </row>
    <row r="49" spans="1:14">
      <c r="A49">
        <v>2003</v>
      </c>
      <c r="N49" s="33"/>
    </row>
    <row r="50" spans="1:14">
      <c r="A50">
        <v>2004</v>
      </c>
      <c r="J50">
        <v>72.400000000000006</v>
      </c>
      <c r="N50" s="33"/>
    </row>
    <row r="51" spans="1:14">
      <c r="A51">
        <v>2005</v>
      </c>
      <c r="N51" s="33"/>
    </row>
    <row r="52" spans="1:14">
      <c r="A52">
        <v>2006</v>
      </c>
      <c r="N52" s="33"/>
    </row>
    <row r="53" spans="1:14">
      <c r="A53">
        <v>2007</v>
      </c>
      <c r="N53" s="33"/>
    </row>
    <row r="54" spans="1:14">
      <c r="A54">
        <v>2008</v>
      </c>
      <c r="N54" s="33"/>
    </row>
    <row r="55" spans="1:14">
      <c r="A55">
        <v>2009</v>
      </c>
      <c r="C55">
        <v>347</v>
      </c>
      <c r="D55">
        <v>180</v>
      </c>
      <c r="E55">
        <v>167</v>
      </c>
      <c r="F55" s="33">
        <f>E55/C55</f>
        <v>0.48126801152737753</v>
      </c>
      <c r="N55" s="33"/>
    </row>
    <row r="56" spans="1:14">
      <c r="A56">
        <v>2011</v>
      </c>
      <c r="C56">
        <v>306</v>
      </c>
      <c r="D56">
        <v>138</v>
      </c>
      <c r="E56">
        <v>168</v>
      </c>
      <c r="F56" s="33">
        <f t="shared" ref="F56:F60" si="0">E56/C56</f>
        <v>0.5490196078431373</v>
      </c>
      <c r="K56" s="37">
        <v>0.75</v>
      </c>
      <c r="N56" s="33"/>
    </row>
    <row r="57" spans="1:14">
      <c r="A57">
        <v>2012</v>
      </c>
      <c r="C57">
        <v>320</v>
      </c>
      <c r="D57">
        <v>153</v>
      </c>
      <c r="E57">
        <v>167</v>
      </c>
      <c r="F57" s="33">
        <f t="shared" si="0"/>
        <v>0.52187499999999998</v>
      </c>
      <c r="N57" s="33"/>
    </row>
    <row r="58" spans="1:14">
      <c r="A58">
        <v>2013</v>
      </c>
      <c r="C58">
        <v>470</v>
      </c>
      <c r="D58">
        <v>207</v>
      </c>
      <c r="E58">
        <v>263</v>
      </c>
      <c r="F58" s="33">
        <f t="shared" si="0"/>
        <v>0.55957446808510636</v>
      </c>
      <c r="G58">
        <v>51.5</v>
      </c>
      <c r="H58">
        <v>60.5</v>
      </c>
      <c r="N58" s="33"/>
    </row>
    <row r="59" spans="1:14">
      <c r="A59">
        <v>2014</v>
      </c>
      <c r="C59">
        <v>464</v>
      </c>
      <c r="D59">
        <v>202</v>
      </c>
      <c r="E59">
        <v>262</v>
      </c>
      <c r="F59" s="33">
        <f t="shared" si="0"/>
        <v>0.56465517241379315</v>
      </c>
      <c r="N59" s="33"/>
    </row>
    <row r="60" spans="1:14">
      <c r="A60">
        <v>2015</v>
      </c>
      <c r="B60" s="30">
        <v>0.77</v>
      </c>
      <c r="C60">
        <v>446</v>
      </c>
      <c r="D60">
        <v>196</v>
      </c>
      <c r="E60">
        <v>250</v>
      </c>
      <c r="F60" s="33">
        <f t="shared" si="0"/>
        <v>0.5605381165919282</v>
      </c>
      <c r="G60">
        <v>58.6</v>
      </c>
      <c r="H60">
        <v>62.1</v>
      </c>
      <c r="N60" s="33"/>
    </row>
    <row r="61" spans="1:14">
      <c r="A61">
        <v>2016</v>
      </c>
      <c r="B61" s="33"/>
      <c r="F61" s="33"/>
      <c r="N61" s="33"/>
    </row>
    <row r="62" spans="1:14">
      <c r="A62">
        <v>2017</v>
      </c>
      <c r="B62" s="33"/>
      <c r="F62" s="33"/>
      <c r="N62" s="33"/>
    </row>
    <row r="63" spans="1:14">
      <c r="A63">
        <v>2018</v>
      </c>
      <c r="B63" s="33"/>
      <c r="F63" s="33"/>
      <c r="N63" s="33"/>
    </row>
    <row r="64" spans="1:14">
      <c r="A64">
        <v>2019</v>
      </c>
      <c r="B64" s="33"/>
      <c r="F64" s="33"/>
      <c r="G64">
        <v>61.3</v>
      </c>
      <c r="H64">
        <v>68.400000000000006</v>
      </c>
      <c r="N64" s="33"/>
    </row>
    <row r="65" spans="1:14">
      <c r="A65">
        <v>2020</v>
      </c>
      <c r="B65" s="33"/>
      <c r="F65" s="33"/>
      <c r="N65" s="33"/>
    </row>
    <row r="66" spans="1:14">
      <c r="A66">
        <v>2021</v>
      </c>
      <c r="B66" s="33"/>
      <c r="F66" s="33"/>
      <c r="N66" s="33"/>
    </row>
    <row r="67" spans="1:14">
      <c r="A67">
        <v>2022</v>
      </c>
      <c r="B67" s="33"/>
      <c r="F67" s="33"/>
      <c r="N67" s="30">
        <v>0.7</v>
      </c>
    </row>
    <row r="68" spans="1:14">
      <c r="A68">
        <v>2023</v>
      </c>
      <c r="B68" s="33"/>
      <c r="F68" s="33"/>
      <c r="N68" s="30">
        <v>0.79</v>
      </c>
    </row>
    <row r="69" spans="1:14">
      <c r="A69">
        <v>2024</v>
      </c>
      <c r="B69" s="33"/>
      <c r="F69" s="33"/>
      <c r="N69" s="33"/>
    </row>
    <row r="70" spans="1:14">
      <c r="B70" s="33"/>
      <c r="F70" s="33"/>
      <c r="N70" s="33"/>
    </row>
    <row r="71" spans="1:14">
      <c r="B71" s="33"/>
      <c r="F71" s="33"/>
      <c r="N71" s="33"/>
    </row>
    <row r="72" spans="1:14">
      <c r="B72" s="33"/>
      <c r="F72" s="33"/>
      <c r="N72" s="33"/>
    </row>
    <row r="73" spans="1:14">
      <c r="B73" s="33"/>
      <c r="F73" s="33"/>
      <c r="N73" s="33"/>
    </row>
    <row r="74" spans="1:14">
      <c r="B74" s="33"/>
      <c r="F74" s="33"/>
      <c r="N74" s="33"/>
    </row>
    <row r="75" spans="1:14">
      <c r="B75" s="33"/>
      <c r="F75" s="33"/>
      <c r="N75" s="33"/>
    </row>
    <row r="76" spans="1:14">
      <c r="B76" s="33"/>
      <c r="F76" s="33"/>
      <c r="N76" s="33"/>
    </row>
    <row r="77" spans="1:14">
      <c r="B77" s="33"/>
      <c r="F77" s="33"/>
      <c r="N77" s="33"/>
    </row>
    <row r="78" spans="1:14">
      <c r="B78" s="33"/>
      <c r="F78" s="33"/>
    </row>
    <row r="79" spans="1:14">
      <c r="B79" s="33"/>
      <c r="F79" s="33"/>
    </row>
    <row r="80" spans="1:14">
      <c r="B80" s="33"/>
      <c r="F80" s="33"/>
    </row>
    <row r="81" spans="2:6">
      <c r="B81" s="33"/>
      <c r="F81" s="33"/>
    </row>
    <row r="82" spans="2:6">
      <c r="B82" s="33"/>
      <c r="F82" s="33"/>
    </row>
    <row r="83" spans="2:6">
      <c r="B83" s="33"/>
      <c r="F83" s="33"/>
    </row>
    <row r="84" spans="2:6">
      <c r="B84" s="33"/>
      <c r="F84" s="33"/>
    </row>
    <row r="85" spans="2:6">
      <c r="B85" s="33"/>
      <c r="F85" s="33"/>
    </row>
    <row r="86" spans="2:6">
      <c r="B86" s="33"/>
      <c r="F86" s="33"/>
    </row>
    <row r="87" spans="2:6">
      <c r="B87" s="33"/>
      <c r="F87" s="33"/>
    </row>
    <row r="88" spans="2:6">
      <c r="B88" s="33"/>
      <c r="F88" s="33"/>
    </row>
    <row r="89" spans="2:6">
      <c r="B89" s="33"/>
      <c r="F89" s="33"/>
    </row>
    <row r="90" spans="2:6">
      <c r="B90" s="33"/>
      <c r="F90" s="33"/>
    </row>
    <row r="91" spans="2:6">
      <c r="B91" s="33"/>
      <c r="F91" s="33"/>
    </row>
    <row r="92" spans="2:6">
      <c r="B92" s="33"/>
      <c r="F92" s="33"/>
    </row>
    <row r="93" spans="2:6">
      <c r="B93" s="33"/>
      <c r="F93" s="33"/>
    </row>
    <row r="94" spans="2:6">
      <c r="B94" s="33"/>
      <c r="F94" s="33"/>
    </row>
    <row r="95" spans="2:6">
      <c r="B95" s="33"/>
      <c r="F95" s="33"/>
    </row>
    <row r="96" spans="2:6">
      <c r="B96" s="33"/>
      <c r="F96" s="33"/>
    </row>
    <row r="97" spans="2:2">
      <c r="B97" s="33"/>
    </row>
    <row r="98" spans="2:2">
      <c r="B98" s="33"/>
    </row>
    <row r="99" spans="2:2">
      <c r="B99" s="33"/>
    </row>
    <row r="100" spans="2:2">
      <c r="B100" s="33"/>
    </row>
    <row r="101" spans="2:2">
      <c r="B101" s="33"/>
    </row>
    <row r="102" spans="2:2">
      <c r="B102" s="33"/>
    </row>
    <row r="103" spans="2:2">
      <c r="B103" s="33"/>
    </row>
    <row r="104" spans="2:2">
      <c r="B104" s="33"/>
    </row>
    <row r="105" spans="2:2">
      <c r="B105" s="33"/>
    </row>
    <row r="106" spans="2:2">
      <c r="B106" s="33"/>
    </row>
    <row r="107" spans="2:2">
      <c r="B107" s="33"/>
    </row>
  </sheetData>
  <mergeCells count="3">
    <mergeCell ref="C2:F2"/>
    <mergeCell ref="I2:J2"/>
    <mergeCell ref="B1:M1"/>
  </mergeCells>
  <hyperlinks>
    <hyperlink ref="B60" r:id="rId1" display="http://www.lavoz.com.ar/ciudadanos/cada-vez-mas-mujeres-estudian-veterinaria" xr:uid="{00000000-0004-0000-0100-000000000000}"/>
    <hyperlink ref="C2:F2" r:id="rId2" display="UNNE Students" xr:uid="{00000000-0004-0000-0100-000001000000}"/>
    <hyperlink ref="G2" r:id="rId3" xr:uid="{00000000-0004-0000-0100-000002000000}"/>
    <hyperlink ref="H2" r:id="rId4" xr:uid="{00000000-0004-0000-0100-000003000000}"/>
    <hyperlink ref="I2" r:id="rId5" xr:uid="{00000000-0004-0000-0100-000004000000}"/>
    <hyperlink ref="K2" r:id="rId6" xr:uid="{00000000-0004-0000-0100-000005000000}"/>
    <hyperlink ref="N68" r:id="rId7" display="https://vetmarketportal.com.ar/nota/2965/casi-el-80--de-las-nuevas-generaciones-de-profesionales-de-la-medicina-veterinaria-son-mujeres" xr:uid="{53A342BB-228D-403B-A4F4-880E3D746608}"/>
    <hyperlink ref="N67" r:id="rId8" display="https://vetmarketportal.com.ar/nota/2303/las-mujeres-son-mayoria-en-la-profesion-veterinaria/" xr:uid="{9C57ABC0-6BA3-4B68-846E-275A4B1DEEB4}"/>
    <hyperlink ref="N4" r:id="rId9" display="https://vetmarketportal.com.ar/nota/2303/las-mujeres-son-mayoria-en-la-profesion-veterinaria/" xr:uid="{2D9BA646-3470-49F2-B127-BF77A3772253}"/>
    <hyperlink ref="N5" r:id="rId10" display="https://vetmarketportal.com.ar/nota/2303/las-mujeres-son-mayoria-en-la-profesion-veterinaria/" xr:uid="{E48F285F-5253-4315-AD0E-C99BFFAAA8D0}"/>
    <hyperlink ref="N6" r:id="rId11" display="https://vetmarketportal.com.ar/nota/2303/las-mujeres-son-mayoria-en-la-profesion-veterinaria/" xr:uid="{F3A71CED-86A7-4DB9-8225-E6A9F732D592}"/>
    <hyperlink ref="N7" r:id="rId12" display="https://vetmarketportal.com.ar/nota/2303/las-mujeres-son-mayoria-en-la-profesion-veterinaria/" xr:uid="{7B2AE51B-26D1-4237-B3ED-EC12C9A6DDBE}"/>
    <hyperlink ref="N8" r:id="rId13" display="https://vetmarketportal.com.ar/nota/2303/las-mujeres-son-mayoria-en-la-profesion-veterinaria/" xr:uid="{977DEEA2-3362-450A-946F-724663FFB33C}"/>
    <hyperlink ref="N9" r:id="rId14" display="https://vetmarketportal.com.ar/nota/2303/las-mujeres-son-mayoria-en-la-profesion-veterinaria/" xr:uid="{B4511D09-FC1F-41A0-ACB6-7A762539E491}"/>
    <hyperlink ref="N10" r:id="rId15" display="https://vetmarketportal.com.ar/nota/2303/las-mujeres-son-mayoria-en-la-profesion-veterinaria/" xr:uid="{CBC43544-9F82-4F67-96B9-96A1850F2DC5}"/>
    <hyperlink ref="N11" r:id="rId16" display="https://vetmarketportal.com.ar/nota/2303/las-mujeres-son-mayoria-en-la-profesion-veterinaria/" xr:uid="{E82E4CA5-9935-47E8-B1D1-85D5C4AC7E8C}"/>
    <hyperlink ref="N12" r:id="rId17" display="https://vetmarketportal.com.ar/nota/2303/las-mujeres-son-mayoria-en-la-profesion-veterinaria/" xr:uid="{E365C7FF-3CDC-4A85-B1DB-6BFC0235E784}"/>
    <hyperlink ref="N13" r:id="rId18" display="https://vetmarketportal.com.ar/nota/2303/las-mujeres-son-mayoria-en-la-profesion-veterinaria/" xr:uid="{1DC1E48B-C04B-4F70-9256-D158207C6114}"/>
    <hyperlink ref="N14" r:id="rId19" display="https://vetmarketportal.com.ar/nota/2303/las-mujeres-son-mayoria-en-la-profesion-veterinaria/" xr:uid="{93CEF85A-F399-4AD6-8AC9-C5174FDA2B19}"/>
    <hyperlink ref="N15" r:id="rId20" display="https://vetmarketportal.com.ar/nota/2303/las-mujeres-son-mayoria-en-la-profesion-veterinaria/" xr:uid="{45B91A72-8847-48B2-AE90-3DB2CC481528}"/>
  </hyperlinks>
  <pageMargins left="0.7" right="0.7" top="0.75" bottom="0.75" header="0.3" footer="0.3"/>
  <pageSetup orientation="portrait" r:id="rId21"/>
  <legacyDrawing r:id="rId2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A5530-5AE0-4949-9353-8EDADB5002D7}">
  <dimension ref="A1:B15"/>
  <sheetViews>
    <sheetView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B4" sqref="B4:B13"/>
    </sheetView>
  </sheetViews>
  <sheetFormatPr defaultRowHeight="14.4"/>
  <cols>
    <col min="1" max="1" width="5.33203125" customWidth="1"/>
  </cols>
  <sheetData>
    <row r="1" spans="1:2">
      <c r="A1" s="52" t="s">
        <v>0</v>
      </c>
      <c r="B1" t="s">
        <v>205</v>
      </c>
    </row>
    <row r="2" spans="1:2">
      <c r="A2" s="52"/>
      <c r="B2" t="s">
        <v>23</v>
      </c>
    </row>
    <row r="3" spans="1:2">
      <c r="A3" s="52"/>
      <c r="B3" t="s">
        <v>3</v>
      </c>
    </row>
    <row r="4" spans="1:2">
      <c r="A4">
        <v>2014</v>
      </c>
      <c r="B4" s="30">
        <v>0.31</v>
      </c>
    </row>
    <row r="5" spans="1:2">
      <c r="A5">
        <v>2015</v>
      </c>
      <c r="B5" s="33"/>
    </row>
    <row r="6" spans="1:2">
      <c r="A6">
        <v>2016</v>
      </c>
      <c r="B6" s="33"/>
    </row>
    <row r="7" spans="1:2">
      <c r="A7">
        <v>2017</v>
      </c>
      <c r="B7" s="33"/>
    </row>
    <row r="8" spans="1:2">
      <c r="A8">
        <v>2018</v>
      </c>
      <c r="B8" s="30">
        <v>0.32</v>
      </c>
    </row>
    <row r="9" spans="1:2">
      <c r="A9">
        <v>2019</v>
      </c>
      <c r="B9" s="33"/>
    </row>
    <row r="10" spans="1:2">
      <c r="A10">
        <v>2020</v>
      </c>
      <c r="B10" s="33"/>
    </row>
    <row r="11" spans="1:2">
      <c r="A11">
        <v>2021</v>
      </c>
      <c r="B11" s="33"/>
    </row>
    <row r="12" spans="1:2">
      <c r="A12">
        <v>2022</v>
      </c>
      <c r="B12" s="33"/>
    </row>
    <row r="13" spans="1:2">
      <c r="A13">
        <v>2023</v>
      </c>
      <c r="B13" s="30">
        <v>0.44</v>
      </c>
    </row>
    <row r="14" spans="1:2">
      <c r="A14">
        <v>2024</v>
      </c>
      <c r="B14" s="33"/>
    </row>
    <row r="15" spans="1:2">
      <c r="B15" s="33"/>
    </row>
  </sheetData>
  <mergeCells count="1">
    <mergeCell ref="A1:A3"/>
  </mergeCells>
  <hyperlinks>
    <hyperlink ref="B4" r:id="rId1" display="https://www.colvet.es/files/portalcontenidos/documentos/document-2022-02-09t112347.069.pdf" xr:uid="{76BA8AAA-8FDB-43BE-9056-089ADD8628EB}"/>
    <hyperlink ref="B8" r:id="rId2" display="https://www.fve.org/cms/wp-content/uploads/FVE_Survey_2018_WEB.pdf" xr:uid="{D5F9B3A8-FFF3-49C2-A9C3-8B3DD9BE0F86}"/>
    <hyperlink ref="B13" r:id="rId3" display="https://fve.org/cms/wp-content/uploads/FVE-Survey-2023_updated-v3.pdf" xr:uid="{1A37400F-6894-4E0C-B10A-DD9394F8866E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24F0D-3158-4D80-8408-EEE7B6F3441B}">
  <dimension ref="A1:B1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:B13"/>
    </sheetView>
  </sheetViews>
  <sheetFormatPr defaultRowHeight="14.4"/>
  <cols>
    <col min="1" max="1" width="5.109375" customWidth="1"/>
  </cols>
  <sheetData>
    <row r="1" spans="1:2">
      <c r="A1" s="52" t="s">
        <v>0</v>
      </c>
      <c r="B1" t="s">
        <v>207</v>
      </c>
    </row>
    <row r="2" spans="1:2">
      <c r="A2" s="52"/>
      <c r="B2" t="s">
        <v>23</v>
      </c>
    </row>
    <row r="3" spans="1:2">
      <c r="A3" s="52"/>
      <c r="B3" t="s">
        <v>3</v>
      </c>
    </row>
    <row r="4" spans="1:2">
      <c r="A4">
        <v>2014</v>
      </c>
      <c r="B4" s="30"/>
    </row>
    <row r="5" spans="1:2">
      <c r="A5">
        <v>2015</v>
      </c>
      <c r="B5" s="33"/>
    </row>
    <row r="6" spans="1:2">
      <c r="A6">
        <v>2016</v>
      </c>
      <c r="B6" s="33"/>
    </row>
    <row r="7" spans="1:2">
      <c r="A7">
        <v>2017</v>
      </c>
      <c r="B7" s="33"/>
    </row>
    <row r="8" spans="1:2">
      <c r="A8">
        <v>2018</v>
      </c>
      <c r="B8" s="30">
        <v>0.79</v>
      </c>
    </row>
    <row r="9" spans="1:2">
      <c r="A9">
        <v>2019</v>
      </c>
      <c r="B9" s="33"/>
    </row>
    <row r="10" spans="1:2">
      <c r="A10">
        <v>2020</v>
      </c>
      <c r="B10" s="33"/>
    </row>
    <row r="11" spans="1:2">
      <c r="A11">
        <v>2021</v>
      </c>
      <c r="B11" s="33"/>
    </row>
    <row r="12" spans="1:2">
      <c r="A12">
        <v>2022</v>
      </c>
      <c r="B12" s="33"/>
    </row>
    <row r="13" spans="1:2">
      <c r="A13">
        <v>2023</v>
      </c>
      <c r="B13" s="30"/>
    </row>
    <row r="14" spans="1:2">
      <c r="A14">
        <v>2024</v>
      </c>
      <c r="B14" s="33"/>
    </row>
    <row r="15" spans="1:2">
      <c r="B15" s="33"/>
    </row>
  </sheetData>
  <mergeCells count="1">
    <mergeCell ref="A1:A3"/>
  </mergeCells>
  <hyperlinks>
    <hyperlink ref="B8" r:id="rId1" display="https://www.fve.org/cms/wp-content/uploads/FVE_Survey_2018_WEB.pdf" xr:uid="{D9D02E2B-4A95-4E6F-BD19-94B589168B78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1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4" sqref="C4:C14"/>
    </sheetView>
  </sheetViews>
  <sheetFormatPr defaultRowHeight="14.4"/>
  <cols>
    <col min="1" max="1" width="5" style="1" customWidth="1"/>
    <col min="2" max="2" width="8.88671875" style="1"/>
  </cols>
  <sheetData>
    <row r="1" spans="1:3">
      <c r="A1" s="53" t="s">
        <v>0</v>
      </c>
      <c r="B1" s="53" t="s">
        <v>121</v>
      </c>
      <c r="C1" s="53"/>
    </row>
    <row r="2" spans="1:3">
      <c r="A2" s="53"/>
      <c r="B2" s="1" t="s">
        <v>16</v>
      </c>
      <c r="C2" t="s">
        <v>23</v>
      </c>
    </row>
    <row r="3" spans="1:3">
      <c r="A3" s="53"/>
      <c r="B3" s="1" t="s">
        <v>33</v>
      </c>
      <c r="C3" t="s">
        <v>3</v>
      </c>
    </row>
    <row r="4" spans="1:3">
      <c r="A4" s="1">
        <v>2013</v>
      </c>
      <c r="B4" s="30">
        <v>0.5</v>
      </c>
      <c r="C4" s="33"/>
    </row>
    <row r="5" spans="1:3">
      <c r="A5" s="1">
        <v>2014</v>
      </c>
      <c r="B5" s="29"/>
      <c r="C5" s="30">
        <v>0.28000000000000003</v>
      </c>
    </row>
    <row r="6" spans="1:3">
      <c r="A6" s="1">
        <v>2015</v>
      </c>
      <c r="B6" s="29"/>
      <c r="C6" s="33"/>
    </row>
    <row r="7" spans="1:3">
      <c r="A7" s="1">
        <v>2016</v>
      </c>
      <c r="B7" s="29"/>
      <c r="C7" s="33"/>
    </row>
    <row r="8" spans="1:3">
      <c r="A8" s="1">
        <v>2017</v>
      </c>
      <c r="B8" s="29"/>
      <c r="C8" s="33"/>
    </row>
    <row r="9" spans="1:3">
      <c r="A9" s="1">
        <v>2018</v>
      </c>
      <c r="B9" s="29"/>
      <c r="C9" s="30">
        <v>0.32</v>
      </c>
    </row>
    <row r="10" spans="1:3">
      <c r="A10" s="1">
        <v>2019</v>
      </c>
      <c r="B10" s="29"/>
      <c r="C10" s="33"/>
    </row>
    <row r="11" spans="1:3">
      <c r="A11" s="1">
        <v>2020</v>
      </c>
      <c r="B11" s="29"/>
      <c r="C11" s="33"/>
    </row>
    <row r="12" spans="1:3">
      <c r="A12" s="1">
        <v>2021</v>
      </c>
      <c r="B12" s="29"/>
      <c r="C12" s="33"/>
    </row>
    <row r="13" spans="1:3">
      <c r="A13" s="1">
        <v>2022</v>
      </c>
      <c r="B13" s="29"/>
      <c r="C13" s="33"/>
    </row>
    <row r="14" spans="1:3">
      <c r="A14" s="1">
        <v>2023</v>
      </c>
      <c r="B14" s="29"/>
      <c r="C14" s="30">
        <v>0.36</v>
      </c>
    </row>
    <row r="15" spans="1:3">
      <c r="A15" s="1">
        <v>2024</v>
      </c>
      <c r="B15" s="29"/>
      <c r="C15" s="33"/>
    </row>
  </sheetData>
  <mergeCells count="2">
    <mergeCell ref="B1:C1"/>
    <mergeCell ref="A1:A3"/>
  </mergeCells>
  <hyperlinks>
    <hyperlink ref="B4" r:id="rId1" display="https://www.rts.rs/page/stories/ci/story/124/drustvo/1299554/ima-li-mesta-za-zene-rukovodioce.html" xr:uid="{00000000-0004-0000-1900-000000000000}"/>
    <hyperlink ref="C5" r:id="rId2" display="https://www.colvet.es/files/portalcontenidos/documentos/document-2022-02-09t112347.069.pdf" xr:uid="{EC32C5DE-6BFD-4B9E-8AAC-8F44B47834F9}"/>
    <hyperlink ref="C9" r:id="rId3" display="https://www.fve.org/cms/wp-content/uploads/FVE_Survey_2018_WEB.pdf" xr:uid="{22B24B3F-CFC7-4C5A-80BB-639E6722782D}"/>
    <hyperlink ref="C14" r:id="rId4" display="https://fve.org/cms/wp-content/uploads/FVE-Survey-2023_updated-v3.pdf" xr:uid="{8E708956-A168-400D-85C6-4718C838A8C3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C75"/>
  <sheetViews>
    <sheetView workbookViewId="0">
      <pane xSplit="1" ySplit="3" topLeftCell="B55" activePane="bottomRight" state="frozen"/>
      <selection pane="topRight" activeCell="B1" sqref="B1"/>
      <selection pane="bottomLeft" activeCell="A4" sqref="A4"/>
      <selection pane="bottomRight" activeCell="C64" sqref="C64:C73"/>
    </sheetView>
  </sheetViews>
  <sheetFormatPr defaultRowHeight="14.4"/>
  <cols>
    <col min="1" max="1" width="5" style="1" customWidth="1"/>
    <col min="2" max="2" width="9.109375" style="1"/>
  </cols>
  <sheetData>
    <row r="1" spans="1:3">
      <c r="A1" s="53" t="s">
        <v>0</v>
      </c>
      <c r="B1" s="53" t="s">
        <v>122</v>
      </c>
      <c r="C1" s="53"/>
    </row>
    <row r="2" spans="1:3">
      <c r="A2" s="53"/>
      <c r="B2" s="1" t="s">
        <v>16</v>
      </c>
      <c r="C2" t="s">
        <v>23</v>
      </c>
    </row>
    <row r="3" spans="1:3">
      <c r="A3" s="53"/>
      <c r="B3" s="1" t="s">
        <v>33</v>
      </c>
      <c r="C3" t="s">
        <v>3</v>
      </c>
    </row>
    <row r="4" spans="1:3">
      <c r="A4" s="1">
        <v>1954</v>
      </c>
      <c r="B4" s="21">
        <v>1.6500000000000001E-2</v>
      </c>
      <c r="C4" s="33"/>
    </row>
    <row r="5" spans="1:3">
      <c r="A5" s="1">
        <v>1955</v>
      </c>
      <c r="C5" s="33"/>
    </row>
    <row r="6" spans="1:3">
      <c r="A6" s="1">
        <v>1956</v>
      </c>
      <c r="C6" s="33"/>
    </row>
    <row r="7" spans="1:3">
      <c r="A7" s="1">
        <v>1957</v>
      </c>
      <c r="C7" s="33"/>
    </row>
    <row r="8" spans="1:3">
      <c r="A8" s="1">
        <v>1958</v>
      </c>
      <c r="C8" s="33"/>
    </row>
    <row r="9" spans="1:3">
      <c r="A9" s="1">
        <v>1959</v>
      </c>
      <c r="C9" s="33"/>
    </row>
    <row r="10" spans="1:3">
      <c r="A10" s="1">
        <v>1960</v>
      </c>
      <c r="C10" s="33"/>
    </row>
    <row r="11" spans="1:3">
      <c r="A11" s="1">
        <v>1961</v>
      </c>
      <c r="C11" s="33"/>
    </row>
    <row r="12" spans="1:3">
      <c r="A12" s="1">
        <v>1962</v>
      </c>
      <c r="C12" s="33"/>
    </row>
    <row r="13" spans="1:3">
      <c r="A13" s="1">
        <v>1963</v>
      </c>
      <c r="C13" s="33"/>
    </row>
    <row r="14" spans="1:3">
      <c r="A14" s="1">
        <v>1964</v>
      </c>
      <c r="C14" s="33"/>
    </row>
    <row r="15" spans="1:3">
      <c r="A15" s="1">
        <v>1965</v>
      </c>
      <c r="C15" s="33"/>
    </row>
    <row r="16" spans="1:3">
      <c r="A16" s="1">
        <v>1966</v>
      </c>
      <c r="C16" s="33"/>
    </row>
    <row r="17" spans="1:3">
      <c r="A17" s="1">
        <v>1967</v>
      </c>
      <c r="C17" s="33"/>
    </row>
    <row r="18" spans="1:3">
      <c r="A18" s="1">
        <v>1968</v>
      </c>
      <c r="C18" s="33"/>
    </row>
    <row r="19" spans="1:3">
      <c r="A19" s="1">
        <v>1969</v>
      </c>
      <c r="C19" s="33"/>
    </row>
    <row r="20" spans="1:3">
      <c r="A20" s="1">
        <v>1970</v>
      </c>
      <c r="C20" s="33"/>
    </row>
    <row r="21" spans="1:3">
      <c r="A21" s="1">
        <v>1971</v>
      </c>
      <c r="C21" s="33"/>
    </row>
    <row r="22" spans="1:3">
      <c r="A22" s="1">
        <v>1972</v>
      </c>
      <c r="C22" s="33"/>
    </row>
    <row r="23" spans="1:3">
      <c r="A23" s="1">
        <v>1973</v>
      </c>
      <c r="C23" s="33"/>
    </row>
    <row r="24" spans="1:3">
      <c r="A24" s="1">
        <v>1974</v>
      </c>
      <c r="C24" s="33"/>
    </row>
    <row r="25" spans="1:3">
      <c r="A25" s="1">
        <v>1975</v>
      </c>
      <c r="B25" s="22">
        <v>0.11</v>
      </c>
      <c r="C25" s="33"/>
    </row>
    <row r="26" spans="1:3">
      <c r="A26" s="1">
        <v>1976</v>
      </c>
      <c r="C26" s="33"/>
    </row>
    <row r="27" spans="1:3">
      <c r="A27" s="1">
        <v>1977</v>
      </c>
      <c r="C27" s="33"/>
    </row>
    <row r="28" spans="1:3">
      <c r="A28" s="11">
        <v>1978</v>
      </c>
      <c r="C28" s="33"/>
    </row>
    <row r="29" spans="1:3">
      <c r="A29" s="11">
        <v>1979</v>
      </c>
      <c r="C29" s="33"/>
    </row>
    <row r="30" spans="1:3">
      <c r="A30" s="11">
        <v>1980</v>
      </c>
      <c r="C30" s="33"/>
    </row>
    <row r="31" spans="1:3">
      <c r="A31" s="11">
        <v>1981</v>
      </c>
      <c r="C31" s="33"/>
    </row>
    <row r="32" spans="1:3">
      <c r="A32" s="11">
        <v>1982</v>
      </c>
      <c r="C32" s="33"/>
    </row>
    <row r="33" spans="1:3">
      <c r="A33" s="11">
        <v>1983</v>
      </c>
      <c r="C33" s="33"/>
    </row>
    <row r="34" spans="1:3">
      <c r="A34" s="11">
        <v>1984</v>
      </c>
      <c r="C34" s="33"/>
    </row>
    <row r="35" spans="1:3">
      <c r="A35" s="11">
        <v>1985</v>
      </c>
      <c r="C35" s="33"/>
    </row>
    <row r="36" spans="1:3">
      <c r="A36" s="11">
        <v>1986</v>
      </c>
      <c r="C36" s="33"/>
    </row>
    <row r="37" spans="1:3">
      <c r="A37" s="11">
        <v>1987</v>
      </c>
      <c r="C37" s="33"/>
    </row>
    <row r="38" spans="1:3">
      <c r="A38" s="11">
        <v>1988</v>
      </c>
      <c r="C38" s="33"/>
    </row>
    <row r="39" spans="1:3">
      <c r="A39" s="11">
        <v>1989</v>
      </c>
      <c r="C39" s="33"/>
    </row>
    <row r="40" spans="1:3">
      <c r="A40" s="11">
        <v>1990</v>
      </c>
      <c r="C40" s="33"/>
    </row>
    <row r="41" spans="1:3">
      <c r="A41" s="11">
        <v>1991</v>
      </c>
      <c r="C41" s="33"/>
    </row>
    <row r="42" spans="1:3">
      <c r="A42" s="11">
        <v>1992</v>
      </c>
      <c r="C42" s="33"/>
    </row>
    <row r="43" spans="1:3">
      <c r="A43" s="11">
        <v>1993</v>
      </c>
      <c r="C43" s="33"/>
    </row>
    <row r="44" spans="1:3">
      <c r="A44" s="11">
        <v>1994</v>
      </c>
      <c r="C44" s="33"/>
    </row>
    <row r="45" spans="1:3">
      <c r="A45" s="11">
        <v>1995</v>
      </c>
      <c r="C45" s="33"/>
    </row>
    <row r="46" spans="1:3">
      <c r="A46" s="11">
        <v>1996</v>
      </c>
      <c r="C46" s="33"/>
    </row>
    <row r="47" spans="1:3">
      <c r="A47" s="11">
        <v>1997</v>
      </c>
      <c r="C47" s="33"/>
    </row>
    <row r="48" spans="1:3">
      <c r="A48" s="11">
        <v>1998</v>
      </c>
      <c r="C48" s="33"/>
    </row>
    <row r="49" spans="1:3">
      <c r="A49" s="11">
        <v>1999</v>
      </c>
      <c r="C49" s="33"/>
    </row>
    <row r="50" spans="1:3">
      <c r="A50" s="11">
        <v>2000</v>
      </c>
      <c r="C50" s="33"/>
    </row>
    <row r="51" spans="1:3">
      <c r="A51" s="11">
        <v>2001</v>
      </c>
      <c r="C51" s="33"/>
    </row>
    <row r="52" spans="1:3">
      <c r="A52" s="1">
        <v>2002</v>
      </c>
      <c r="C52" s="33"/>
    </row>
    <row r="53" spans="1:3">
      <c r="A53" s="1">
        <v>2003</v>
      </c>
      <c r="C53" s="33"/>
    </row>
    <row r="54" spans="1:3">
      <c r="A54" s="1">
        <v>2004</v>
      </c>
      <c r="C54" s="33"/>
    </row>
    <row r="55" spans="1:3">
      <c r="A55" s="1">
        <v>2005</v>
      </c>
      <c r="C55" s="33"/>
    </row>
    <row r="56" spans="1:3">
      <c r="A56" s="1">
        <v>2006</v>
      </c>
      <c r="C56" s="33"/>
    </row>
    <row r="57" spans="1:3">
      <c r="A57" s="1">
        <v>2007</v>
      </c>
      <c r="C57" s="33"/>
    </row>
    <row r="58" spans="1:3">
      <c r="A58" s="1">
        <v>2008</v>
      </c>
      <c r="C58" s="33"/>
    </row>
    <row r="59" spans="1:3">
      <c r="A59" s="1">
        <v>2009</v>
      </c>
      <c r="C59" s="33"/>
    </row>
    <row r="60" spans="1:3">
      <c r="A60" s="1">
        <v>2010</v>
      </c>
      <c r="C60" s="33"/>
    </row>
    <row r="61" spans="1:3">
      <c r="A61" s="1">
        <v>2011</v>
      </c>
      <c r="C61" s="33"/>
    </row>
    <row r="62" spans="1:3">
      <c r="A62" s="1">
        <v>2012</v>
      </c>
      <c r="C62" s="33"/>
    </row>
    <row r="63" spans="1:3">
      <c r="A63" s="1">
        <v>2013</v>
      </c>
      <c r="C63" s="33"/>
    </row>
    <row r="64" spans="1:3">
      <c r="A64" s="1">
        <v>2014</v>
      </c>
      <c r="C64" s="30">
        <v>0.28000000000000003</v>
      </c>
    </row>
    <row r="65" spans="1:3">
      <c r="A65" s="1">
        <v>2015</v>
      </c>
      <c r="C65" s="33"/>
    </row>
    <row r="66" spans="1:3">
      <c r="A66" s="1">
        <v>2016</v>
      </c>
      <c r="C66" s="33"/>
    </row>
    <row r="67" spans="1:3">
      <c r="A67" s="1">
        <v>2017</v>
      </c>
      <c r="C67" s="33"/>
    </row>
    <row r="68" spans="1:3">
      <c r="A68" s="1">
        <v>2018</v>
      </c>
      <c r="C68" s="30">
        <v>0.48</v>
      </c>
    </row>
    <row r="69" spans="1:3">
      <c r="A69" s="1">
        <v>2019</v>
      </c>
      <c r="C69" s="33"/>
    </row>
    <row r="70" spans="1:3">
      <c r="A70" s="1">
        <v>2020</v>
      </c>
      <c r="C70" s="33"/>
    </row>
    <row r="71" spans="1:3">
      <c r="A71" s="1">
        <v>2021</v>
      </c>
      <c r="C71" s="33"/>
    </row>
    <row r="72" spans="1:3">
      <c r="A72" s="1">
        <v>2022</v>
      </c>
      <c r="C72" s="33"/>
    </row>
    <row r="73" spans="1:3">
      <c r="A73" s="1">
        <v>2023</v>
      </c>
      <c r="C73" s="30">
        <v>0.54</v>
      </c>
    </row>
    <row r="74" spans="1:3">
      <c r="A74" s="1">
        <v>2024</v>
      </c>
      <c r="C74" s="33"/>
    </row>
    <row r="75" spans="1:3">
      <c r="C75" s="33"/>
    </row>
  </sheetData>
  <mergeCells count="2">
    <mergeCell ref="B1:C1"/>
    <mergeCell ref="A1:A3"/>
  </mergeCells>
  <hyperlinks>
    <hyperlink ref="B25" r:id="rId1" display="https://veterina.com.hr/?p=65885" xr:uid="{00000000-0004-0000-1A00-000000000000}"/>
    <hyperlink ref="B4" r:id="rId2" display="https://veterina.com.hr/?p=65885" xr:uid="{00000000-0004-0000-1A00-000001000000}"/>
    <hyperlink ref="C64" r:id="rId3" display="https://www.colvet.es/files/portalcontenidos/documentos/document-2022-02-09t112347.069.pdf" xr:uid="{E04EB1A7-0C10-4E94-B2FD-EC9877E74883}"/>
    <hyperlink ref="C68" r:id="rId4" display="https://www.fve.org/cms/wp-content/uploads/FVE_Survey_2018_WEB.pdf" xr:uid="{6D8B6489-1250-4CC8-8931-D9EB130D0218}"/>
    <hyperlink ref="C73" r:id="rId5" display="https://fve.org/cms/wp-content/uploads/FVE-Survey-2023_updated-v3.pdf" xr:uid="{2082A9A0-6E9C-4DAB-A1A7-F37E3A4F6E33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B8627-C36E-4629-9144-BFEB96A862DE}">
  <dimension ref="A1:B14"/>
  <sheetViews>
    <sheetView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B4" sqref="B4:B13"/>
    </sheetView>
  </sheetViews>
  <sheetFormatPr defaultRowHeight="14.4"/>
  <cols>
    <col min="1" max="2" width="6.5546875" customWidth="1"/>
  </cols>
  <sheetData>
    <row r="1" spans="1:2">
      <c r="A1" s="52" t="s">
        <v>0</v>
      </c>
      <c r="B1" t="s">
        <v>208</v>
      </c>
    </row>
    <row r="2" spans="1:2">
      <c r="A2" s="52"/>
      <c r="B2" t="s">
        <v>23</v>
      </c>
    </row>
    <row r="3" spans="1:2">
      <c r="A3" s="52"/>
      <c r="B3" t="s">
        <v>3</v>
      </c>
    </row>
    <row r="4" spans="1:2">
      <c r="A4">
        <v>2014</v>
      </c>
      <c r="B4" s="30"/>
    </row>
    <row r="5" spans="1:2">
      <c r="A5">
        <v>2015</v>
      </c>
      <c r="B5" s="33"/>
    </row>
    <row r="6" spans="1:2">
      <c r="A6">
        <v>2016</v>
      </c>
      <c r="B6" s="33"/>
    </row>
    <row r="7" spans="1:2">
      <c r="A7">
        <v>2017</v>
      </c>
      <c r="B7" s="33"/>
    </row>
    <row r="8" spans="1:2">
      <c r="A8">
        <v>2018</v>
      </c>
      <c r="B8" s="30">
        <v>0.55000000000000004</v>
      </c>
    </row>
    <row r="9" spans="1:2">
      <c r="A9">
        <v>2019</v>
      </c>
      <c r="B9" s="33"/>
    </row>
    <row r="10" spans="1:2">
      <c r="A10">
        <v>2020</v>
      </c>
      <c r="B10" s="33"/>
    </row>
    <row r="11" spans="1:2">
      <c r="A11">
        <v>2021</v>
      </c>
      <c r="B11" s="33"/>
    </row>
    <row r="12" spans="1:2">
      <c r="A12">
        <v>2022</v>
      </c>
      <c r="B12" s="33"/>
    </row>
    <row r="13" spans="1:2">
      <c r="A13">
        <v>2023</v>
      </c>
      <c r="B13" s="30">
        <v>0.71</v>
      </c>
    </row>
    <row r="14" spans="1:2">
      <c r="A14">
        <v>2024</v>
      </c>
      <c r="B14" s="33"/>
    </row>
  </sheetData>
  <mergeCells count="1">
    <mergeCell ref="A1:A3"/>
  </mergeCells>
  <hyperlinks>
    <hyperlink ref="B8" r:id="rId1" display="https://www.fve.org/cms/wp-content/uploads/FVE_Survey_2018_WEB.pdf" xr:uid="{6D45D6E0-B657-4ED8-BC1B-3B1A11361EA5}"/>
    <hyperlink ref="B13" r:id="rId2" display="https://fve.org/cms/wp-content/uploads/FVE-Survey-2023_updated-v3.pdf" xr:uid="{9358BF64-3D05-4CC0-9DBE-E968ECADC784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1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RowHeight="14.4"/>
  <cols>
    <col min="1" max="1" width="6.88671875" customWidth="1"/>
    <col min="2" max="3" width="8.88671875" style="1"/>
  </cols>
  <sheetData>
    <row r="1" spans="1:3">
      <c r="A1" s="55" t="s">
        <v>0</v>
      </c>
      <c r="B1" s="1" t="s">
        <v>123</v>
      </c>
    </row>
    <row r="2" spans="1:3">
      <c r="A2" s="55"/>
      <c r="B2" s="1" t="s">
        <v>23</v>
      </c>
      <c r="C2" s="1" t="s">
        <v>81</v>
      </c>
    </row>
    <row r="3" spans="1:3">
      <c r="A3" s="55"/>
      <c r="B3" s="1" t="s">
        <v>44</v>
      </c>
      <c r="C3" s="1" t="s">
        <v>44</v>
      </c>
    </row>
    <row r="4" spans="1:3">
      <c r="A4" s="1">
        <v>2011</v>
      </c>
      <c r="B4" s="15">
        <v>35</v>
      </c>
      <c r="C4" s="15">
        <v>69</v>
      </c>
    </row>
    <row r="5" spans="1:3">
      <c r="A5" s="1">
        <v>2012</v>
      </c>
    </row>
    <row r="6" spans="1:3">
      <c r="A6" s="1">
        <v>2013</v>
      </c>
    </row>
    <row r="7" spans="1:3">
      <c r="A7" s="1">
        <v>2014</v>
      </c>
    </row>
    <row r="8" spans="1:3">
      <c r="A8" s="1">
        <v>2015</v>
      </c>
    </row>
    <row r="9" spans="1:3">
      <c r="A9" s="1">
        <v>2016</v>
      </c>
    </row>
    <row r="10" spans="1:3">
      <c r="A10" s="1">
        <v>2017</v>
      </c>
    </row>
    <row r="11" spans="1:3">
      <c r="A11" s="1">
        <v>2018</v>
      </c>
    </row>
    <row r="12" spans="1:3">
      <c r="A12" s="1">
        <v>2019</v>
      </c>
    </row>
    <row r="13" spans="1:3">
      <c r="A13" s="1">
        <v>2020</v>
      </c>
    </row>
    <row r="14" spans="1:3">
      <c r="A14" s="1">
        <v>2021</v>
      </c>
    </row>
    <row r="15" spans="1:3">
      <c r="A15" s="1"/>
    </row>
  </sheetData>
  <mergeCells count="1">
    <mergeCell ref="A1:A3"/>
  </mergeCells>
  <hyperlinks>
    <hyperlink ref="B4" r:id="rId1" location=":~:text=Veterinary%20vacancies%20at%20state%20level,to%20a%2037%25%20vacancy%20rate." display="https://www.farmersweekly.co.za/bottomline/addressing-the-veterinary-shortage/ - :~:text=Veterinary%20vacancies%20at%20state%20level,to%20a%2037%25%20vacancy%20rate." xr:uid="{00000000-0004-0000-1B00-000000000000}"/>
    <hyperlink ref="C4" r:id="rId2" location=":~:text=Veterinary%20vacancies%20at%20state%20level,to%20a%2037%25%20vacancy%20rate." display="https://www.farmersweekly.co.za/bottomline/addressing-the-veterinary-shortage/ - :~:text=Veterinary%20vacancies%20at%20state%20level,to%20a%2037%25%20vacancy%20rate." xr:uid="{00000000-0004-0000-1B00-000001000000}"/>
  </hyperlinks>
  <pageMargins left="0.7" right="0.7" top="0.75" bottom="0.75" header="0.3" footer="0.3"/>
  <legacyDrawing r:id="rId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1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6" sqref="K16"/>
    </sheetView>
  </sheetViews>
  <sheetFormatPr defaultRowHeight="14.4"/>
  <cols>
    <col min="1" max="1" width="6.88671875" customWidth="1"/>
    <col min="2" max="5" width="8.88671875" style="1"/>
  </cols>
  <sheetData>
    <row r="1" spans="1:5">
      <c r="A1" s="55" t="s">
        <v>0</v>
      </c>
      <c r="B1" s="53" t="s">
        <v>124</v>
      </c>
      <c r="C1" s="53"/>
      <c r="D1" s="53"/>
      <c r="E1" s="53"/>
    </row>
    <row r="2" spans="1:5">
      <c r="A2" s="55"/>
      <c r="B2" s="54" t="s">
        <v>23</v>
      </c>
      <c r="C2" s="54"/>
      <c r="D2" s="54"/>
      <c r="E2" s="15" t="s">
        <v>125</v>
      </c>
    </row>
    <row r="3" spans="1:5">
      <c r="A3" s="55"/>
      <c r="B3" s="1" t="s">
        <v>49</v>
      </c>
      <c r="C3" s="1" t="s">
        <v>50</v>
      </c>
      <c r="D3" s="1" t="s">
        <v>111</v>
      </c>
      <c r="E3" s="1" t="s">
        <v>27</v>
      </c>
    </row>
    <row r="4" spans="1:5">
      <c r="A4" s="1">
        <v>2011</v>
      </c>
      <c r="E4" s="1">
        <v>29.7</v>
      </c>
    </row>
    <row r="5" spans="1:5">
      <c r="A5" s="1">
        <v>2012</v>
      </c>
      <c r="E5" s="1">
        <v>28.9</v>
      </c>
    </row>
    <row r="6" spans="1:5">
      <c r="A6" s="1">
        <v>2013</v>
      </c>
      <c r="B6" s="3">
        <v>2184</v>
      </c>
      <c r="C6" s="1">
        <v>463</v>
      </c>
      <c r="D6" s="1">
        <f>(C6/B6)*100</f>
        <v>21.199633699633701</v>
      </c>
      <c r="E6" s="1">
        <v>35.1</v>
      </c>
    </row>
    <row r="7" spans="1:5">
      <c r="A7" s="1">
        <v>2014</v>
      </c>
      <c r="B7" s="3">
        <v>2358</v>
      </c>
      <c r="C7" s="1">
        <v>528</v>
      </c>
      <c r="D7" s="1">
        <f t="shared" ref="D7:D12" si="0">(C7/B7)*100</f>
        <v>22.391857506361323</v>
      </c>
      <c r="E7" s="1">
        <v>39</v>
      </c>
    </row>
    <row r="8" spans="1:5">
      <c r="A8" s="1">
        <v>2015</v>
      </c>
      <c r="B8" s="3">
        <v>2646</v>
      </c>
      <c r="C8" s="1">
        <v>639</v>
      </c>
      <c r="D8" s="1">
        <f t="shared" si="0"/>
        <v>24.149659863945576</v>
      </c>
      <c r="E8" s="1">
        <v>38.6</v>
      </c>
    </row>
    <row r="9" spans="1:5">
      <c r="A9" s="1">
        <v>2016</v>
      </c>
      <c r="B9" s="3">
        <v>2919</v>
      </c>
      <c r="C9" s="1">
        <v>726</v>
      </c>
      <c r="D9" s="1">
        <f t="shared" si="0"/>
        <v>24.871531346351492</v>
      </c>
      <c r="E9" s="1">
        <v>38.6</v>
      </c>
    </row>
    <row r="10" spans="1:5">
      <c r="A10" s="1">
        <v>2017</v>
      </c>
      <c r="B10" s="3">
        <v>3245</v>
      </c>
      <c r="C10" s="1">
        <v>774</v>
      </c>
      <c r="D10" s="1">
        <f t="shared" si="0"/>
        <v>23.852080123266564</v>
      </c>
      <c r="E10" s="1">
        <v>39</v>
      </c>
    </row>
    <row r="11" spans="1:5">
      <c r="A11" s="1">
        <v>2018</v>
      </c>
      <c r="B11" s="3">
        <v>2976</v>
      </c>
      <c r="C11" s="1">
        <v>753</v>
      </c>
      <c r="D11" s="1">
        <f t="shared" si="0"/>
        <v>25.302419354838712</v>
      </c>
      <c r="E11" s="1">
        <v>46.9</v>
      </c>
    </row>
    <row r="12" spans="1:5">
      <c r="A12" s="1">
        <v>2019</v>
      </c>
      <c r="B12" s="3">
        <v>3498</v>
      </c>
      <c r="C12" s="1">
        <v>912</v>
      </c>
      <c r="D12" s="1">
        <f t="shared" si="0"/>
        <v>26.072041166380789</v>
      </c>
      <c r="E12" s="1">
        <v>45.1</v>
      </c>
    </row>
    <row r="13" spans="1:5">
      <c r="A13" s="1">
        <v>2020</v>
      </c>
      <c r="E13" s="1">
        <v>45.4</v>
      </c>
    </row>
    <row r="14" spans="1:5">
      <c r="A14" s="1">
        <v>2021</v>
      </c>
    </row>
    <row r="15" spans="1:5">
      <c r="A15" s="1"/>
    </row>
  </sheetData>
  <mergeCells count="3">
    <mergeCell ref="A1:A3"/>
    <mergeCell ref="B1:E1"/>
    <mergeCell ref="B2:D2"/>
  </mergeCells>
  <hyperlinks>
    <hyperlink ref="B2" r:id="rId1" xr:uid="{00000000-0004-0000-1C00-000000000000}"/>
    <hyperlink ref="E2" r:id="rId2" xr:uid="{00000000-0004-0000-1C00-000001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78"/>
  <sheetViews>
    <sheetView workbookViewId="0">
      <pane xSplit="1" ySplit="3" topLeftCell="B12" activePane="bottomRight" state="frozen"/>
      <selection pane="topRight" activeCell="B1" sqref="B1"/>
      <selection pane="bottomLeft" activeCell="A4" sqref="A4"/>
      <selection pane="bottomRight" activeCell="H71" sqref="H71"/>
    </sheetView>
  </sheetViews>
  <sheetFormatPr defaultRowHeight="14.4"/>
  <cols>
    <col min="1" max="1" width="5" style="1" customWidth="1"/>
    <col min="2" max="8" width="8.88671875" style="1"/>
  </cols>
  <sheetData>
    <row r="1" spans="1:8">
      <c r="A1" s="1" t="s">
        <v>0</v>
      </c>
      <c r="B1" s="53" t="s">
        <v>126</v>
      </c>
      <c r="C1" s="53"/>
      <c r="D1" s="53"/>
      <c r="E1" s="53"/>
      <c r="F1" s="53"/>
      <c r="G1" s="53"/>
      <c r="H1" s="53"/>
    </row>
    <row r="2" spans="1:8">
      <c r="B2" s="54" t="s">
        <v>58</v>
      </c>
      <c r="C2" s="54"/>
      <c r="D2" s="54"/>
      <c r="E2" s="15" t="s">
        <v>47</v>
      </c>
      <c r="F2" s="54" t="s">
        <v>23</v>
      </c>
      <c r="G2" s="54"/>
      <c r="H2" s="54"/>
    </row>
    <row r="3" spans="1:8">
      <c r="B3" s="1" t="s">
        <v>34</v>
      </c>
      <c r="C3" s="1" t="s">
        <v>35</v>
      </c>
      <c r="D3" s="1" t="s">
        <v>33</v>
      </c>
      <c r="E3" s="1" t="s">
        <v>33</v>
      </c>
      <c r="F3" s="1" t="s">
        <v>34</v>
      </c>
      <c r="G3" s="1" t="s">
        <v>35</v>
      </c>
      <c r="H3" s="1" t="s">
        <v>33</v>
      </c>
    </row>
    <row r="4" spans="1:8">
      <c r="A4" s="1">
        <v>1953</v>
      </c>
      <c r="D4" s="29"/>
      <c r="F4" s="15">
        <v>5829</v>
      </c>
      <c r="G4" s="15">
        <v>7</v>
      </c>
      <c r="H4" s="21">
        <v>1.1999999999999999E-3</v>
      </c>
    </row>
    <row r="5" spans="1:8">
      <c r="A5" s="1">
        <v>1954</v>
      </c>
      <c r="D5" s="29"/>
      <c r="F5" s="15"/>
      <c r="G5" s="15"/>
      <c r="H5" s="15"/>
    </row>
    <row r="6" spans="1:8">
      <c r="A6" s="1">
        <v>1955</v>
      </c>
      <c r="D6" s="29"/>
      <c r="F6" s="15"/>
      <c r="G6" s="15"/>
      <c r="H6" s="15"/>
    </row>
    <row r="7" spans="1:8">
      <c r="A7" s="1">
        <v>1956</v>
      </c>
      <c r="D7" s="29"/>
      <c r="F7" s="15"/>
      <c r="G7" s="15"/>
      <c r="H7" s="15"/>
    </row>
    <row r="8" spans="1:8">
      <c r="A8" s="1">
        <v>1957</v>
      </c>
      <c r="D8" s="29"/>
      <c r="F8" s="15"/>
      <c r="G8" s="15"/>
      <c r="H8" s="15"/>
    </row>
    <row r="9" spans="1:8">
      <c r="A9" s="1">
        <v>1958</v>
      </c>
      <c r="D9" s="29"/>
      <c r="F9" s="15"/>
      <c r="G9" s="15"/>
      <c r="H9" s="15"/>
    </row>
    <row r="10" spans="1:8">
      <c r="A10" s="1">
        <v>1959</v>
      </c>
      <c r="D10" s="29"/>
      <c r="F10" s="15"/>
      <c r="G10" s="15"/>
      <c r="H10" s="15"/>
    </row>
    <row r="11" spans="1:8">
      <c r="A11" s="1">
        <v>1960</v>
      </c>
      <c r="D11" s="29"/>
      <c r="F11" s="15">
        <v>7275</v>
      </c>
      <c r="G11" s="15">
        <v>11</v>
      </c>
      <c r="H11" s="21">
        <v>1.5E-3</v>
      </c>
    </row>
    <row r="12" spans="1:8">
      <c r="A12" s="1">
        <v>1961</v>
      </c>
      <c r="D12" s="29"/>
      <c r="F12" s="15"/>
      <c r="G12" s="15"/>
      <c r="H12" s="15"/>
    </row>
    <row r="13" spans="1:8">
      <c r="A13" s="1">
        <v>1962</v>
      </c>
      <c r="D13" s="29"/>
      <c r="F13" s="15"/>
      <c r="G13" s="15"/>
      <c r="H13" s="15"/>
    </row>
    <row r="14" spans="1:8">
      <c r="A14" s="1">
        <v>1963</v>
      </c>
      <c r="D14" s="29"/>
      <c r="F14" s="15"/>
      <c r="G14" s="15"/>
      <c r="H14" s="15"/>
    </row>
    <row r="15" spans="1:8">
      <c r="A15" s="1">
        <v>1964</v>
      </c>
      <c r="D15" s="29"/>
      <c r="F15" s="15"/>
      <c r="G15" s="15"/>
      <c r="H15" s="15"/>
    </row>
    <row r="16" spans="1:8">
      <c r="A16" s="1">
        <v>1965</v>
      </c>
      <c r="D16" s="30">
        <v>0.04</v>
      </c>
      <c r="F16" s="15"/>
      <c r="G16" s="15"/>
      <c r="H16" s="15"/>
    </row>
    <row r="17" spans="1:8">
      <c r="A17" s="1">
        <v>1966</v>
      </c>
      <c r="D17" s="29"/>
      <c r="F17" s="15"/>
      <c r="G17" s="15"/>
      <c r="H17" s="15"/>
    </row>
    <row r="18" spans="1:8">
      <c r="A18" s="1">
        <v>1967</v>
      </c>
      <c r="D18" s="29"/>
      <c r="F18" s="15"/>
      <c r="G18" s="15"/>
      <c r="H18" s="15"/>
    </row>
    <row r="19" spans="1:8">
      <c r="A19" s="1">
        <v>1968</v>
      </c>
      <c r="D19" s="29"/>
      <c r="F19" s="15"/>
      <c r="G19" s="15"/>
      <c r="H19" s="15"/>
    </row>
    <row r="20" spans="1:8">
      <c r="A20" s="1">
        <v>1969</v>
      </c>
      <c r="D20" s="29"/>
      <c r="F20" s="15"/>
      <c r="G20" s="15"/>
      <c r="H20" s="15"/>
    </row>
    <row r="21" spans="1:8">
      <c r="A21" s="1">
        <v>1970</v>
      </c>
      <c r="D21" s="29"/>
      <c r="F21" s="15">
        <v>7661</v>
      </c>
      <c r="G21" s="15">
        <v>15</v>
      </c>
      <c r="H21" s="21">
        <v>2E-3</v>
      </c>
    </row>
    <row r="22" spans="1:8">
      <c r="A22" s="1">
        <v>1971</v>
      </c>
      <c r="D22" s="29"/>
      <c r="F22" s="15"/>
      <c r="G22" s="15"/>
      <c r="H22" s="15"/>
    </row>
    <row r="23" spans="1:8">
      <c r="A23" s="1">
        <v>1972</v>
      </c>
      <c r="D23" s="29"/>
      <c r="F23" s="15"/>
      <c r="G23" s="15"/>
      <c r="H23" s="15"/>
    </row>
    <row r="24" spans="1:8">
      <c r="A24" s="1">
        <v>1973</v>
      </c>
      <c r="D24" s="29"/>
      <c r="F24" s="15"/>
      <c r="G24" s="15"/>
      <c r="H24" s="15"/>
    </row>
    <row r="25" spans="1:8">
      <c r="A25" s="1">
        <v>1974</v>
      </c>
      <c r="D25" s="29"/>
      <c r="F25" s="15"/>
      <c r="G25" s="15"/>
      <c r="H25" s="15"/>
    </row>
    <row r="26" spans="1:8">
      <c r="A26" s="1">
        <v>1975</v>
      </c>
      <c r="D26" s="29"/>
      <c r="F26" s="15"/>
      <c r="G26" s="15"/>
      <c r="H26" s="15"/>
    </row>
    <row r="27" spans="1:8">
      <c r="A27" s="1">
        <v>1976</v>
      </c>
      <c r="D27" s="29"/>
      <c r="F27" s="15"/>
      <c r="G27" s="15"/>
      <c r="H27" s="15"/>
    </row>
    <row r="28" spans="1:8">
      <c r="A28" s="1">
        <v>1977</v>
      </c>
      <c r="D28" s="29"/>
      <c r="F28" s="15"/>
      <c r="G28" s="15"/>
      <c r="H28" s="15"/>
    </row>
    <row r="29" spans="1:8">
      <c r="A29" s="11">
        <v>1978</v>
      </c>
      <c r="D29" s="29"/>
      <c r="F29" s="15"/>
      <c r="G29" s="15"/>
      <c r="H29" s="15"/>
    </row>
    <row r="30" spans="1:8">
      <c r="A30" s="11">
        <v>1979</v>
      </c>
      <c r="D30" s="29"/>
      <c r="F30" s="15"/>
      <c r="G30" s="15"/>
      <c r="H30" s="15"/>
    </row>
    <row r="31" spans="1:8">
      <c r="A31" s="11">
        <v>1980</v>
      </c>
      <c r="D31" s="29"/>
      <c r="F31" s="15">
        <v>8178</v>
      </c>
      <c r="G31" s="15">
        <v>168</v>
      </c>
      <c r="H31" s="21">
        <v>2.0500000000000001E-2</v>
      </c>
    </row>
    <row r="32" spans="1:8">
      <c r="A32" s="11">
        <v>1981</v>
      </c>
      <c r="D32" s="29"/>
      <c r="F32" s="15"/>
      <c r="G32" s="15"/>
      <c r="H32" s="15"/>
    </row>
    <row r="33" spans="1:8">
      <c r="A33" s="11">
        <v>1982</v>
      </c>
      <c r="D33" s="29"/>
      <c r="F33" s="15"/>
      <c r="G33" s="15"/>
      <c r="H33" s="15"/>
    </row>
    <row r="34" spans="1:8">
      <c r="A34" s="11">
        <v>1983</v>
      </c>
      <c r="D34" s="29"/>
      <c r="F34" s="15"/>
      <c r="G34" s="15"/>
      <c r="H34" s="15"/>
    </row>
    <row r="35" spans="1:8">
      <c r="A35" s="11">
        <v>1984</v>
      </c>
      <c r="D35" s="29"/>
      <c r="F35" s="15"/>
      <c r="G35" s="15"/>
      <c r="H35" s="15"/>
    </row>
    <row r="36" spans="1:8">
      <c r="A36" s="11">
        <v>1985</v>
      </c>
      <c r="D36" s="29"/>
      <c r="F36" s="15"/>
      <c r="G36" s="15"/>
      <c r="H36" s="15"/>
    </row>
    <row r="37" spans="1:8">
      <c r="A37" s="11">
        <v>1986</v>
      </c>
      <c r="D37" s="30">
        <v>0.37769999999999998</v>
      </c>
      <c r="E37" s="21">
        <v>0.34329999999999999</v>
      </c>
      <c r="F37" s="15"/>
      <c r="G37" s="15"/>
      <c r="H37" s="15"/>
    </row>
    <row r="38" spans="1:8">
      <c r="A38" s="11">
        <v>1987</v>
      </c>
      <c r="D38" s="30"/>
      <c r="E38" s="15"/>
      <c r="F38" s="15"/>
      <c r="G38" s="15"/>
      <c r="H38" s="15"/>
    </row>
    <row r="39" spans="1:8">
      <c r="A39" s="11">
        <v>1988</v>
      </c>
      <c r="D39" s="30"/>
      <c r="E39" s="15"/>
      <c r="F39" s="15"/>
      <c r="G39" s="15"/>
      <c r="H39" s="15"/>
    </row>
    <row r="40" spans="1:8">
      <c r="A40" s="11">
        <v>1989</v>
      </c>
      <c r="D40" s="30"/>
      <c r="E40" s="15"/>
      <c r="F40" s="15"/>
      <c r="G40" s="15"/>
      <c r="H40" s="15"/>
    </row>
    <row r="41" spans="1:8">
      <c r="A41" s="11">
        <v>1990</v>
      </c>
      <c r="D41" s="30">
        <v>0.45419999999999999</v>
      </c>
      <c r="E41" s="21">
        <v>0.42420000000000002</v>
      </c>
      <c r="F41" s="15">
        <v>12584</v>
      </c>
      <c r="G41" s="15">
        <v>2790</v>
      </c>
      <c r="H41" s="21">
        <v>0.22170000000000001</v>
      </c>
    </row>
    <row r="42" spans="1:8">
      <c r="A42" s="11">
        <v>1991</v>
      </c>
      <c r="D42" s="30"/>
      <c r="E42" s="15"/>
      <c r="F42" s="15"/>
      <c r="G42" s="15"/>
      <c r="H42" s="15"/>
    </row>
    <row r="43" spans="1:8">
      <c r="A43" s="11">
        <v>1992</v>
      </c>
      <c r="D43" s="30"/>
      <c r="E43" s="15"/>
      <c r="F43" s="15"/>
      <c r="G43" s="15"/>
      <c r="H43" s="15"/>
    </row>
    <row r="44" spans="1:8">
      <c r="A44" s="11">
        <v>1993</v>
      </c>
      <c r="D44" s="30"/>
      <c r="E44" s="15"/>
      <c r="F44" s="15"/>
      <c r="G44" s="15"/>
      <c r="H44" s="15"/>
    </row>
    <row r="45" spans="1:8">
      <c r="A45" s="11">
        <v>1994</v>
      </c>
      <c r="D45" s="30"/>
      <c r="E45" s="15"/>
      <c r="F45" s="15"/>
      <c r="G45" s="15"/>
      <c r="H45" s="15"/>
    </row>
    <row r="46" spans="1:8">
      <c r="A46" s="11">
        <v>1995</v>
      </c>
      <c r="D46" s="30">
        <v>0.5494</v>
      </c>
      <c r="E46" s="21">
        <v>0.56510000000000005</v>
      </c>
      <c r="F46" s="15"/>
      <c r="G46" s="15"/>
      <c r="H46" s="15"/>
    </row>
    <row r="47" spans="1:8">
      <c r="A47" s="11">
        <v>1996</v>
      </c>
      <c r="D47" s="30"/>
      <c r="E47" s="15"/>
      <c r="F47" s="15"/>
      <c r="G47" s="15"/>
      <c r="H47" s="15"/>
    </row>
    <row r="48" spans="1:8">
      <c r="A48" s="11">
        <v>1997</v>
      </c>
      <c r="D48" s="30"/>
      <c r="E48" s="15"/>
      <c r="F48" s="15"/>
      <c r="G48" s="15"/>
      <c r="H48" s="15"/>
    </row>
    <row r="49" spans="1:8">
      <c r="A49" s="11">
        <v>1998</v>
      </c>
      <c r="D49" s="30"/>
      <c r="E49" s="15"/>
      <c r="F49" s="15"/>
      <c r="G49" s="15"/>
      <c r="H49" s="15"/>
    </row>
    <row r="50" spans="1:8">
      <c r="A50" s="11">
        <v>1999</v>
      </c>
      <c r="D50" s="30"/>
      <c r="E50" s="15"/>
      <c r="F50" s="15"/>
      <c r="G50" s="15"/>
      <c r="H50" s="15"/>
    </row>
    <row r="51" spans="1:8">
      <c r="A51" s="11">
        <v>2000</v>
      </c>
      <c r="D51" s="30">
        <v>0.59760000000000002</v>
      </c>
      <c r="E51" s="21">
        <v>0.56110000000000004</v>
      </c>
      <c r="F51" s="15">
        <v>21734</v>
      </c>
      <c r="G51" s="15">
        <v>6317</v>
      </c>
      <c r="H51" s="21">
        <v>0.29070000000000001</v>
      </c>
    </row>
    <row r="52" spans="1:8">
      <c r="A52" s="11">
        <v>2001</v>
      </c>
      <c r="D52" s="30"/>
      <c r="E52" s="15"/>
      <c r="F52" s="15"/>
      <c r="G52" s="15"/>
      <c r="H52" s="15"/>
    </row>
    <row r="53" spans="1:8">
      <c r="A53" s="1">
        <v>2002</v>
      </c>
      <c r="D53" s="30"/>
      <c r="E53" s="15"/>
      <c r="F53" s="15"/>
      <c r="G53" s="15"/>
      <c r="H53" s="15"/>
    </row>
    <row r="54" spans="1:8">
      <c r="A54" s="1">
        <v>2003</v>
      </c>
      <c r="D54" s="30"/>
      <c r="E54" s="15"/>
      <c r="F54" s="15"/>
      <c r="G54" s="15"/>
      <c r="H54" s="15"/>
    </row>
    <row r="55" spans="1:8">
      <c r="A55" s="1">
        <v>2004</v>
      </c>
      <c r="D55" s="30"/>
      <c r="E55" s="15"/>
      <c r="F55" s="15"/>
      <c r="G55" s="15"/>
      <c r="H55" s="15"/>
    </row>
    <row r="56" spans="1:8">
      <c r="A56" s="1">
        <v>2005</v>
      </c>
      <c r="D56" s="30">
        <v>0.68120000000000003</v>
      </c>
      <c r="E56" s="21">
        <v>0.6401</v>
      </c>
      <c r="F56" s="15"/>
      <c r="G56" s="15"/>
      <c r="H56" s="15"/>
    </row>
    <row r="57" spans="1:8">
      <c r="A57" s="1">
        <v>2006</v>
      </c>
      <c r="D57" s="30"/>
      <c r="E57" s="15"/>
      <c r="F57" s="15"/>
      <c r="G57" s="15"/>
      <c r="H57" s="15"/>
    </row>
    <row r="58" spans="1:8">
      <c r="A58" s="1">
        <v>2007</v>
      </c>
      <c r="D58" s="30"/>
      <c r="E58" s="15"/>
      <c r="F58" s="15"/>
      <c r="G58" s="15"/>
      <c r="H58" s="15"/>
    </row>
    <row r="59" spans="1:8">
      <c r="A59" s="1">
        <v>2008</v>
      </c>
      <c r="D59" s="30"/>
      <c r="E59" s="15"/>
      <c r="F59" s="15"/>
      <c r="G59" s="15"/>
      <c r="H59" s="15"/>
    </row>
    <row r="60" spans="1:8">
      <c r="A60" s="1">
        <v>2009</v>
      </c>
      <c r="D60" s="30"/>
      <c r="E60" s="15"/>
      <c r="F60" s="15"/>
      <c r="G60" s="15"/>
      <c r="H60" s="15"/>
    </row>
    <row r="61" spans="1:8">
      <c r="A61" s="1">
        <v>2010</v>
      </c>
      <c r="D61" s="30">
        <v>0.68479999999999996</v>
      </c>
      <c r="E61" s="21">
        <v>0.70250000000000001</v>
      </c>
      <c r="F61" s="15">
        <v>28949</v>
      </c>
      <c r="G61" s="15">
        <v>12242</v>
      </c>
      <c r="H61" s="21">
        <v>0.4229</v>
      </c>
    </row>
    <row r="62" spans="1:8">
      <c r="A62" s="1">
        <v>2011</v>
      </c>
      <c r="D62" s="29"/>
      <c r="F62" s="15"/>
      <c r="G62" s="15"/>
      <c r="H62" s="15"/>
    </row>
    <row r="63" spans="1:8">
      <c r="A63" s="1">
        <v>2012</v>
      </c>
      <c r="B63" s="22"/>
      <c r="C63" s="22"/>
      <c r="D63" s="29"/>
      <c r="F63" s="15"/>
      <c r="G63" s="15"/>
      <c r="H63" s="15"/>
    </row>
    <row r="64" spans="1:8">
      <c r="A64" s="1">
        <v>2013</v>
      </c>
      <c r="D64" s="29"/>
      <c r="F64" s="15"/>
      <c r="G64" s="15"/>
      <c r="H64" s="15"/>
    </row>
    <row r="65" spans="1:8">
      <c r="A65" s="1">
        <v>2014</v>
      </c>
      <c r="B65" s="22"/>
      <c r="C65" s="22"/>
      <c r="D65" s="29"/>
      <c r="F65" s="15"/>
      <c r="G65" s="15"/>
      <c r="H65" s="15">
        <v>52</v>
      </c>
    </row>
    <row r="66" spans="1:8">
      <c r="A66" s="1">
        <v>2015</v>
      </c>
      <c r="B66" s="32">
        <v>9373</v>
      </c>
      <c r="C66" s="32">
        <v>6741</v>
      </c>
      <c r="D66" s="33">
        <f>C66/B66</f>
        <v>0.71919342793129204</v>
      </c>
      <c r="E66" s="21">
        <v>0.70930000000000004</v>
      </c>
      <c r="F66" s="15"/>
      <c r="G66" s="15"/>
      <c r="H66" s="15"/>
    </row>
    <row r="67" spans="1:8">
      <c r="A67" s="1">
        <v>2016</v>
      </c>
      <c r="B67" s="15">
        <v>9480</v>
      </c>
      <c r="C67" s="15">
        <v>6897</v>
      </c>
      <c r="D67" s="33">
        <f>C67/B67</f>
        <v>0.72753164556962024</v>
      </c>
      <c r="F67" s="15"/>
      <c r="G67" s="15"/>
      <c r="H67" s="15"/>
    </row>
    <row r="68" spans="1:8">
      <c r="A68" s="1">
        <v>2017</v>
      </c>
      <c r="B68" s="15">
        <v>9651</v>
      </c>
      <c r="C68" s="15">
        <v>7162</v>
      </c>
      <c r="D68" s="33">
        <f t="shared" ref="D68:D70" si="0">C68/B68</f>
        <v>0.74209926432494044</v>
      </c>
      <c r="F68" s="15"/>
      <c r="G68" s="15"/>
      <c r="H68" s="30"/>
    </row>
    <row r="69" spans="1:8">
      <c r="A69" s="1">
        <v>2018</v>
      </c>
      <c r="B69" s="15">
        <v>9670</v>
      </c>
      <c r="C69" s="15">
        <v>7262</v>
      </c>
      <c r="D69" s="33">
        <f t="shared" si="0"/>
        <v>0.75098241985522229</v>
      </c>
      <c r="E69" s="21">
        <v>0.72099999999999997</v>
      </c>
      <c r="F69" s="15"/>
      <c r="G69" s="15"/>
      <c r="H69" s="30">
        <v>0.62</v>
      </c>
    </row>
    <row r="70" spans="1:8">
      <c r="A70" s="1">
        <v>2019</v>
      </c>
      <c r="B70" s="15">
        <v>9704</v>
      </c>
      <c r="C70" s="15">
        <v>7370</v>
      </c>
      <c r="D70" s="33">
        <f t="shared" si="0"/>
        <v>0.75948062654575432</v>
      </c>
      <c r="F70" s="15">
        <v>33752</v>
      </c>
      <c r="G70" s="15">
        <v>16901</v>
      </c>
      <c r="H70" s="30">
        <v>0.50070000000000003</v>
      </c>
    </row>
    <row r="71" spans="1:8">
      <c r="A71" s="1">
        <v>2020</v>
      </c>
      <c r="B71" s="15">
        <v>9713</v>
      </c>
      <c r="C71" s="15">
        <v>7436</v>
      </c>
      <c r="D71" s="33">
        <f>C71/B71</f>
        <v>0.76557191392978485</v>
      </c>
      <c r="F71" s="16">
        <v>34443</v>
      </c>
      <c r="G71" s="16">
        <v>17555</v>
      </c>
      <c r="H71" s="30">
        <f>G71/F71</f>
        <v>0.50968266411172081</v>
      </c>
    </row>
    <row r="72" spans="1:8">
      <c r="A72" s="1">
        <v>2021</v>
      </c>
      <c r="D72" s="30">
        <v>0.76</v>
      </c>
      <c r="G72" s="16">
        <v>18490</v>
      </c>
      <c r="H72" s="30">
        <v>0.51600000000000001</v>
      </c>
    </row>
    <row r="73" spans="1:8">
      <c r="A73" s="1">
        <v>2022</v>
      </c>
      <c r="D73" s="29"/>
      <c r="H73" s="29"/>
    </row>
    <row r="74" spans="1:8">
      <c r="A74" s="1">
        <v>2023</v>
      </c>
      <c r="D74" s="29"/>
      <c r="H74" s="30">
        <v>0.63</v>
      </c>
    </row>
    <row r="75" spans="1:8">
      <c r="A75" s="1">
        <v>2024</v>
      </c>
      <c r="D75" s="29"/>
      <c r="H75" s="30">
        <v>0.65</v>
      </c>
    </row>
    <row r="76" spans="1:8">
      <c r="H76" s="29"/>
    </row>
    <row r="77" spans="1:8">
      <c r="H77" s="29"/>
    </row>
    <row r="78" spans="1:8">
      <c r="H78" s="29"/>
    </row>
  </sheetData>
  <mergeCells count="3">
    <mergeCell ref="B1:H1"/>
    <mergeCell ref="B2:D2"/>
    <mergeCell ref="F2:H2"/>
  </mergeCells>
  <hyperlinks>
    <hyperlink ref="E69" r:id="rId1" display="https://ceve.es/wp-content/uploads/2020/10/Informe-CEVE-2020-1.pdf" xr:uid="{00000000-0004-0000-1D00-000000000000}"/>
    <hyperlink ref="F2" r:id="rId2" location="_ftnref1" xr:uid="{00000000-0004-0000-1D00-000001000000}"/>
    <hyperlink ref="E2" r:id="rId3" xr:uid="{00000000-0004-0000-1D00-000002000000}"/>
    <hyperlink ref="B2" r:id="rId4" xr:uid="{00000000-0004-0000-1D00-000003000000}"/>
    <hyperlink ref="C67" r:id="rId5" display="http://estadisticas.mecd.gob.es/EducaJaxiPx/Tabla.htm?path=/Universitaria/Alumnado/EEU_2021/GradoCiclo/Matriculados//l0/&amp;file=Mat_GradCiclo_Sex_Edad(1)_Amb_Tot.px&amp;type=pcaxis&amp;L=0" xr:uid="{00000000-0004-0000-1D00-000004000000}"/>
    <hyperlink ref="C68" r:id="rId6" display="http://estadisticas.mecd.gob.es/EducaJaxiPx/Tabla.htm?path=/Universitaria/Alumnado/EEU_2021/GradoCiclo/Matriculados//l0/&amp;file=Mat_GradCiclo_Sex_Edad(1)_Amb_Tot.px&amp;type=pcaxis&amp;L=0" xr:uid="{00000000-0004-0000-1D00-000005000000}"/>
    <hyperlink ref="C69" r:id="rId7" display="http://estadisticas.mecd.gob.es/EducaJaxiPx/Tabla.htm?path=/Universitaria/Alumnado/EEU_2021/GradoCiclo/Matriculados//l0/&amp;file=Mat_GradCiclo_Sex_Edad(1)_Amb_Tot.px&amp;type=pcaxis&amp;L=0" xr:uid="{00000000-0004-0000-1D00-000006000000}"/>
    <hyperlink ref="C71" r:id="rId8" display="http://estadisticas.mecd.gob.es/EducaJaxiPx/Tabla.htm?path=/Universitaria/Alumnado/EEU_2021/GradoCiclo/Matriculados//l0/&amp;file=Mat_GradCiclo_Sex_Edad(1)_Amb_Tot.px&amp;type=pcaxis&amp;L=0" xr:uid="{00000000-0004-0000-1D00-000007000000}"/>
    <hyperlink ref="B67" r:id="rId9" display="http://estadisticas.mecd.gob.es/EducaJaxiPx/Tabla.htm?path=/Universitaria/Alumnado/EEU_2021/GradoCiclo/Matriculados//l0/&amp;file=Mat_GradCiclo_Sex_Edad(1)_Amb_Tot.px&amp;type=pcaxis&amp;L=0" xr:uid="{00000000-0004-0000-1D00-000008000000}"/>
    <hyperlink ref="B68" r:id="rId10" display="http://estadisticas.mecd.gob.es/EducaJaxiPx/Tabla.htm?path=/Universitaria/Alumnado/EEU_2021/GradoCiclo/Matriculados//l0/&amp;file=Mat_GradCiclo_Sex_Edad(1)_Amb_Tot.px&amp;type=pcaxis&amp;L=0" xr:uid="{00000000-0004-0000-1D00-000009000000}"/>
    <hyperlink ref="B69" r:id="rId11" display="http://estadisticas.mecd.gob.es/EducaJaxiPx/Tabla.htm?path=/Universitaria/Alumnado/EEU_2021/GradoCiclo/Matriculados//l0/&amp;file=Mat_GradCiclo_Sex_Edad(1)_Amb_Tot.px&amp;type=pcaxis&amp;L=0" xr:uid="{00000000-0004-0000-1D00-00000A000000}"/>
    <hyperlink ref="B71" r:id="rId12" display="http://estadisticas.mecd.gob.es/EducaJaxiPx/Tabla.htm?path=/Universitaria/Alumnado/EEU_2021/GradoCiclo/Matriculados//l0/&amp;file=Mat_GradCiclo_Sex_Edad(1)_Amb_Tot.px&amp;type=pcaxis&amp;L=0" xr:uid="{00000000-0004-0000-1D00-00000B000000}"/>
    <hyperlink ref="C70" r:id="rId13" display="http://estadisticas.mecd.gob.es/EducaJaxiPx/Tabla.htm?path=/Universitaria/Alumnado/EEU_2021/GradoCiclo/Matriculados//l0/&amp;file=Mat_GradCiclo_Sex_Edad(1)_Amb_Tot.px&amp;type=pcaxis&amp;L=0" xr:uid="{00000000-0004-0000-1D00-00000C000000}"/>
    <hyperlink ref="B70" r:id="rId14" display="http://estadisticas.mecd.gob.es/EducaJaxiPx/Tabla.htm?path=/Universitaria/Alumnado/EEU_2021/GradoCiclo/Matriculados//l0/&amp;file=Mat_GradCiclo_Sex_Edad(1)_Amb_Tot.px&amp;type=pcaxis&amp;L=0" xr:uid="{00000000-0004-0000-1D00-00000D000000}"/>
    <hyperlink ref="B66:C66" r:id="rId15" display="http://estadisticas.mecd.gob.es/EducaJaxiPx/Tabla.htm?path=/Universitaria/Alumnado/EEU_2021/GradoCiclo/Matriculados//l0/&amp;file=Mat_GradCiclo_Sex_Edad(1)_Amb_Tot.px&amp;type=pcaxis&amp;L=0" xr:uid="{00000000-0004-0000-1D00-00000E000000}"/>
    <hyperlink ref="D37:E61" r:id="rId16" display="https://ceve.es/wp-content/uploads/2020/10/Informe-CEVE-2020-1.pdf" xr:uid="{00000000-0004-0000-1D00-00000F000000}"/>
    <hyperlink ref="E66" r:id="rId17" display="https://ceve.es/wp-content/uploads/2020/10/Informe-CEVE-2020-1.pdf" xr:uid="{00000000-0004-0000-1D00-000010000000}"/>
    <hyperlink ref="F4:H70" r:id="rId18" display="https://ceve.es/wp-content/uploads/2020/10/Informe-CEVE-2020-1.pdf" xr:uid="{00000000-0004-0000-1D00-000011000000}"/>
    <hyperlink ref="H65" r:id="rId19" display="https://www.colvet.es/files/portalcontenidos/documentos/document-2022-02-09t112347.069.pdf" xr:uid="{06E18786-5451-47AF-AA9C-2F9A03A9947F}"/>
    <hyperlink ref="H69" r:id="rId20" display="https://www.fve.org/cms/wp-content/uploads/FVE_Survey_2018_WEB.pdf" xr:uid="{9B5D98A4-6CEB-411F-A32B-92E61D2C1503}"/>
    <hyperlink ref="H74" r:id="rId21" display="https://fve.org/cms/wp-content/uploads/FVE-Survey-2023_updated-v3.pdf" xr:uid="{FAAE53B4-9D72-4EC8-AB1B-6BFB14079CBA}"/>
    <hyperlink ref="H75" r:id="rId22" display="https://www.diarioveterinario.com/t/4284880/analizan-dificultades-mujeres-veterinarias-prosperar-profesion" xr:uid="{55DF1E95-3FFB-477A-8393-E2332872E077}"/>
    <hyperlink ref="D72" r:id="rId23" display="https://axoncomunicacion.net/las-mujeres-suponen-el-70-de-los-veterinarios-colegiados-menores-de-35-anos-en-espana/" xr:uid="{8FEFE3E6-266A-4641-BF9B-766AEC79F056}"/>
    <hyperlink ref="H71" r:id="rId24" display="https://axoncomunicacion.net/las-mujeres-suponen-el-70-de-los-veterinarios-colegiados-menores-de-35-anos-en-espana/" xr:uid="{63F93837-0C05-48AF-9534-726DA78DF051}"/>
    <hyperlink ref="G71" r:id="rId25" display="https://axoncomunicacion.net/las-mujeres-suponen-el-70-de-los-veterinarios-colegiados-menores-de-35-anos-en-espana/" xr:uid="{E1A71C7A-2BA1-4E34-83DA-D8940E607803}"/>
    <hyperlink ref="F71" r:id="rId26" display="https://axoncomunicacion.net/las-mujeres-suponen-el-70-de-los-veterinarios-colegiados-menores-de-35-anos-en-espana/" xr:uid="{751B17DF-3580-4939-AD23-664FAAD55700}"/>
    <hyperlink ref="D16" r:id="rId27" display="https://efeverde.com/veterinarios-mujeres/" xr:uid="{E5D583DB-1959-4D4F-BE67-C8172B871D38}"/>
    <hyperlink ref="H72" r:id="rId28" display="https://efeverde.com/veterinarios-mujeres/" xr:uid="{098072A4-C43B-422B-9961-7ECF24554B69}"/>
    <hyperlink ref="G72" r:id="rId29" display="https://efeverde.com/veterinarios-mujeres/" xr:uid="{987DF9B8-B3FA-405E-A6CA-6D5FDF54B3D6}"/>
  </hyperlinks>
  <pageMargins left="0.7" right="0.7" top="0.75" bottom="0.75" header="0.3" footer="0.3"/>
  <legacyDrawing r:id="rId30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F89"/>
  <sheetViews>
    <sheetView workbookViewId="0">
      <pane xSplit="1" ySplit="3" topLeftCell="B67" activePane="bottomRight" state="frozen"/>
      <selection pane="topRight" activeCell="B1" sqref="B1"/>
      <selection pane="bottomLeft" activeCell="A4" sqref="A4"/>
      <selection pane="bottomRight" activeCell="F4" sqref="F4:F82"/>
    </sheetView>
  </sheetViews>
  <sheetFormatPr defaultRowHeight="14.4"/>
  <cols>
    <col min="1" max="1" width="5" style="1" customWidth="1"/>
    <col min="2" max="6" width="8.88671875" style="1"/>
  </cols>
  <sheetData>
    <row r="1" spans="1:6">
      <c r="A1" s="1" t="s">
        <v>0</v>
      </c>
      <c r="B1" s="53" t="s">
        <v>127</v>
      </c>
      <c r="C1" s="53"/>
      <c r="D1" s="53"/>
      <c r="E1" s="53"/>
      <c r="F1" s="53"/>
    </row>
    <row r="2" spans="1:6">
      <c r="B2" s="1" t="s">
        <v>58</v>
      </c>
      <c r="C2" s="1" t="s">
        <v>128</v>
      </c>
      <c r="D2" s="53" t="s">
        <v>23</v>
      </c>
      <c r="E2" s="53"/>
      <c r="F2" s="53"/>
    </row>
    <row r="3" spans="1:6">
      <c r="B3" s="15" t="s">
        <v>3</v>
      </c>
      <c r="C3" s="31" t="s">
        <v>33</v>
      </c>
      <c r="D3" s="1" t="s">
        <v>34</v>
      </c>
      <c r="E3" s="1" t="s">
        <v>35</v>
      </c>
      <c r="F3" s="1" t="s">
        <v>33</v>
      </c>
    </row>
    <row r="4" spans="1:6">
      <c r="A4" s="1">
        <v>1945</v>
      </c>
      <c r="B4" s="29"/>
      <c r="C4" s="29"/>
      <c r="D4" s="1">
        <v>550</v>
      </c>
      <c r="E4" s="1">
        <v>6</v>
      </c>
      <c r="F4" s="29">
        <v>0.01</v>
      </c>
    </row>
    <row r="5" spans="1:6">
      <c r="A5" s="1">
        <v>1946</v>
      </c>
      <c r="B5" s="29"/>
      <c r="C5" s="29"/>
      <c r="F5" s="29"/>
    </row>
    <row r="6" spans="1:6">
      <c r="A6" s="1">
        <v>1947</v>
      </c>
      <c r="B6" s="29"/>
      <c r="C6" s="29"/>
      <c r="F6" s="29"/>
    </row>
    <row r="7" spans="1:6">
      <c r="A7" s="1">
        <v>1948</v>
      </c>
      <c r="B7" s="29"/>
      <c r="C7" s="29"/>
      <c r="F7" s="29"/>
    </row>
    <row r="8" spans="1:6">
      <c r="A8" s="1">
        <v>1949</v>
      </c>
      <c r="B8" s="29"/>
      <c r="C8" s="29"/>
      <c r="F8" s="29"/>
    </row>
    <row r="9" spans="1:6">
      <c r="A9" s="1">
        <v>1950</v>
      </c>
      <c r="B9" s="29"/>
      <c r="C9" s="29"/>
      <c r="F9" s="29"/>
    </row>
    <row r="10" spans="1:6">
      <c r="A10" s="1">
        <v>1951</v>
      </c>
      <c r="B10" s="29"/>
      <c r="C10" s="29"/>
      <c r="F10" s="29"/>
    </row>
    <row r="11" spans="1:6">
      <c r="A11" s="1">
        <v>1952</v>
      </c>
      <c r="B11" s="29"/>
      <c r="C11" s="29"/>
      <c r="F11" s="29"/>
    </row>
    <row r="12" spans="1:6">
      <c r="A12" s="1">
        <v>1953</v>
      </c>
      <c r="B12" s="29"/>
      <c r="C12" s="29"/>
      <c r="F12" s="29"/>
    </row>
    <row r="13" spans="1:6">
      <c r="A13" s="1">
        <v>1954</v>
      </c>
      <c r="B13" s="29"/>
      <c r="C13" s="29"/>
      <c r="F13" s="29"/>
    </row>
    <row r="14" spans="1:6">
      <c r="A14" s="1">
        <v>1955</v>
      </c>
      <c r="B14" s="29"/>
      <c r="C14" s="29"/>
      <c r="F14" s="29"/>
    </row>
    <row r="15" spans="1:6">
      <c r="A15" s="1">
        <v>1956</v>
      </c>
      <c r="B15" s="29"/>
      <c r="C15" s="29"/>
      <c r="F15" s="29"/>
    </row>
    <row r="16" spans="1:6">
      <c r="A16" s="1">
        <v>1957</v>
      </c>
      <c r="B16" s="29"/>
      <c r="C16" s="29"/>
      <c r="F16" s="29"/>
    </row>
    <row r="17" spans="1:6">
      <c r="A17" s="1">
        <v>1958</v>
      </c>
      <c r="B17" s="29"/>
      <c r="C17" s="29"/>
      <c r="F17" s="29"/>
    </row>
    <row r="18" spans="1:6">
      <c r="A18" s="1">
        <v>1959</v>
      </c>
      <c r="B18" s="29"/>
      <c r="C18" s="29"/>
      <c r="F18" s="29"/>
    </row>
    <row r="19" spans="1:6">
      <c r="A19" s="1">
        <v>1960</v>
      </c>
      <c r="B19" s="29"/>
      <c r="C19" s="29"/>
      <c r="F19" s="29"/>
    </row>
    <row r="20" spans="1:6">
      <c r="A20" s="1">
        <v>1961</v>
      </c>
      <c r="B20" s="29"/>
      <c r="C20" s="29"/>
      <c r="F20" s="29"/>
    </row>
    <row r="21" spans="1:6">
      <c r="A21" s="1">
        <v>1962</v>
      </c>
      <c r="B21" s="29"/>
      <c r="C21" s="29"/>
      <c r="F21" s="29"/>
    </row>
    <row r="22" spans="1:6">
      <c r="A22" s="1">
        <v>1963</v>
      </c>
      <c r="B22" s="29"/>
      <c r="C22" s="29"/>
      <c r="F22" s="29"/>
    </row>
    <row r="23" spans="1:6">
      <c r="A23" s="1">
        <v>1964</v>
      </c>
      <c r="B23" s="29"/>
      <c r="C23" s="29"/>
      <c r="F23" s="29"/>
    </row>
    <row r="24" spans="1:6">
      <c r="A24" s="1">
        <v>1965</v>
      </c>
      <c r="B24" s="29"/>
      <c r="C24" s="29"/>
      <c r="F24" s="29"/>
    </row>
    <row r="25" spans="1:6">
      <c r="A25" s="1">
        <v>1966</v>
      </c>
      <c r="B25" s="29"/>
      <c r="C25" s="29"/>
      <c r="F25" s="29"/>
    </row>
    <row r="26" spans="1:6">
      <c r="A26" s="1">
        <v>1967</v>
      </c>
      <c r="B26" s="29"/>
      <c r="C26" s="29"/>
      <c r="F26" s="29"/>
    </row>
    <row r="27" spans="1:6">
      <c r="A27" s="1">
        <v>1968</v>
      </c>
      <c r="B27" s="29"/>
      <c r="C27" s="30">
        <v>0.31</v>
      </c>
      <c r="F27" s="29"/>
    </row>
    <row r="28" spans="1:6">
      <c r="A28" s="1">
        <v>1969</v>
      </c>
      <c r="B28" s="29"/>
      <c r="C28" s="29"/>
      <c r="F28" s="29"/>
    </row>
    <row r="29" spans="1:6">
      <c r="A29" s="1">
        <v>1970</v>
      </c>
      <c r="B29" s="29"/>
      <c r="C29" s="29"/>
      <c r="F29" s="29"/>
    </row>
    <row r="30" spans="1:6">
      <c r="A30" s="1">
        <v>1971</v>
      </c>
      <c r="B30" s="29"/>
      <c r="C30" s="29"/>
      <c r="F30" s="29"/>
    </row>
    <row r="31" spans="1:6">
      <c r="A31" s="1">
        <v>1972</v>
      </c>
      <c r="B31" s="29"/>
      <c r="C31" s="29"/>
      <c r="F31" s="29"/>
    </row>
    <row r="32" spans="1:6">
      <c r="A32" s="1">
        <v>1973</v>
      </c>
      <c r="B32" s="29"/>
      <c r="C32" s="29"/>
      <c r="F32" s="29"/>
    </row>
    <row r="33" spans="1:6">
      <c r="A33" s="1">
        <v>1974</v>
      </c>
      <c r="B33" s="29"/>
      <c r="C33" s="29"/>
      <c r="F33" s="29"/>
    </row>
    <row r="34" spans="1:6">
      <c r="A34" s="1">
        <v>1975</v>
      </c>
      <c r="B34" s="29"/>
      <c r="C34" s="29"/>
      <c r="F34" s="29"/>
    </row>
    <row r="35" spans="1:6">
      <c r="A35" s="1">
        <v>1976</v>
      </c>
      <c r="B35" s="29"/>
      <c r="C35" s="29"/>
      <c r="F35" s="29"/>
    </row>
    <row r="36" spans="1:6">
      <c r="A36" s="1">
        <v>1977</v>
      </c>
      <c r="B36" s="29"/>
      <c r="C36" s="29"/>
      <c r="F36" s="29"/>
    </row>
    <row r="37" spans="1:6">
      <c r="A37" s="11">
        <v>1978</v>
      </c>
      <c r="B37" s="29"/>
      <c r="C37" s="29"/>
      <c r="F37" s="29"/>
    </row>
    <row r="38" spans="1:6">
      <c r="A38" s="11">
        <v>1979</v>
      </c>
      <c r="B38" s="29"/>
      <c r="C38" s="29"/>
      <c r="F38" s="29"/>
    </row>
    <row r="39" spans="1:6">
      <c r="A39" s="11">
        <v>1980</v>
      </c>
      <c r="B39" s="29"/>
      <c r="C39" s="30">
        <v>0.65</v>
      </c>
      <c r="F39" s="29"/>
    </row>
    <row r="40" spans="1:6">
      <c r="A40" s="11">
        <v>1981</v>
      </c>
      <c r="B40" s="29"/>
      <c r="C40" s="29"/>
      <c r="F40" s="29"/>
    </row>
    <row r="41" spans="1:6">
      <c r="A41" s="11">
        <v>1982</v>
      </c>
      <c r="B41" s="29"/>
      <c r="C41" s="29"/>
      <c r="F41" s="29"/>
    </row>
    <row r="42" spans="1:6">
      <c r="A42" s="11">
        <v>1983</v>
      </c>
      <c r="B42" s="29"/>
      <c r="C42" s="29"/>
      <c r="F42" s="29"/>
    </row>
    <row r="43" spans="1:6">
      <c r="A43" s="11">
        <v>1984</v>
      </c>
      <c r="B43" s="29"/>
      <c r="C43" s="29"/>
      <c r="F43" s="29"/>
    </row>
    <row r="44" spans="1:6">
      <c r="A44" s="11">
        <v>1985</v>
      </c>
      <c r="B44" s="29"/>
      <c r="C44" s="29"/>
      <c r="F44" s="29"/>
    </row>
    <row r="45" spans="1:6">
      <c r="A45" s="11">
        <v>1986</v>
      </c>
      <c r="B45" s="29"/>
      <c r="C45" s="30">
        <v>0.82</v>
      </c>
      <c r="F45" s="29"/>
    </row>
    <row r="46" spans="1:6">
      <c r="A46" s="11">
        <v>1987</v>
      </c>
      <c r="B46" s="29"/>
      <c r="C46" s="29"/>
      <c r="F46" s="29"/>
    </row>
    <row r="47" spans="1:6">
      <c r="A47" s="11">
        <v>1988</v>
      </c>
      <c r="B47" s="29"/>
      <c r="C47" s="29"/>
      <c r="F47" s="29"/>
    </row>
    <row r="48" spans="1:6">
      <c r="A48" s="11">
        <v>1989</v>
      </c>
      <c r="B48" s="29"/>
      <c r="C48" s="29"/>
      <c r="F48" s="29"/>
    </row>
    <row r="49" spans="1:6">
      <c r="A49" s="11">
        <v>1990</v>
      </c>
      <c r="B49" s="29">
        <v>0.4</v>
      </c>
      <c r="C49" s="29"/>
      <c r="F49" s="29"/>
    </row>
    <row r="50" spans="1:6">
      <c r="A50" s="11">
        <v>1991</v>
      </c>
      <c r="B50" s="29"/>
      <c r="C50" s="29"/>
      <c r="F50" s="29"/>
    </row>
    <row r="51" spans="1:6">
      <c r="A51" s="11">
        <v>1992</v>
      </c>
      <c r="B51" s="29"/>
      <c r="C51" s="29"/>
      <c r="F51" s="29"/>
    </row>
    <row r="52" spans="1:6">
      <c r="A52" s="11">
        <v>1993</v>
      </c>
      <c r="B52" s="29"/>
      <c r="C52" s="29"/>
      <c r="F52" s="29"/>
    </row>
    <row r="53" spans="1:6">
      <c r="A53" s="11">
        <v>1994</v>
      </c>
      <c r="B53" s="29"/>
      <c r="C53" s="29"/>
      <c r="F53" s="29"/>
    </row>
    <row r="54" spans="1:6">
      <c r="A54" s="11">
        <v>1995</v>
      </c>
      <c r="B54" s="29"/>
      <c r="C54" s="29"/>
      <c r="F54" s="29"/>
    </row>
    <row r="55" spans="1:6">
      <c r="A55" s="11">
        <v>1996</v>
      </c>
      <c r="B55" s="29"/>
      <c r="C55" s="29"/>
      <c r="F55" s="29"/>
    </row>
    <row r="56" spans="1:6">
      <c r="A56" s="11">
        <v>1997</v>
      </c>
      <c r="B56" s="29"/>
      <c r="C56" s="29"/>
      <c r="F56" s="29"/>
    </row>
    <row r="57" spans="1:6">
      <c r="A57" s="11">
        <v>1998</v>
      </c>
      <c r="B57" s="29"/>
      <c r="C57" s="29"/>
      <c r="F57" s="29"/>
    </row>
    <row r="58" spans="1:6">
      <c r="A58" s="11">
        <v>1999</v>
      </c>
      <c r="B58" s="29"/>
      <c r="C58" s="29"/>
      <c r="F58" s="29"/>
    </row>
    <row r="59" spans="1:6">
      <c r="A59" s="11">
        <v>2000</v>
      </c>
      <c r="B59" s="29"/>
      <c r="C59" s="30">
        <v>0.8</v>
      </c>
      <c r="F59" s="29"/>
    </row>
    <row r="60" spans="1:6">
      <c r="A60" s="11">
        <v>2001</v>
      </c>
      <c r="B60" s="29"/>
      <c r="C60" s="29"/>
      <c r="F60" s="29"/>
    </row>
    <row r="61" spans="1:6">
      <c r="A61" s="1">
        <v>2002</v>
      </c>
      <c r="B61" s="29"/>
      <c r="C61" s="29"/>
      <c r="F61" s="29"/>
    </row>
    <row r="62" spans="1:6">
      <c r="A62" s="1">
        <v>2003</v>
      </c>
      <c r="B62" s="29"/>
      <c r="C62" s="29"/>
      <c r="F62" s="29"/>
    </row>
    <row r="63" spans="1:6">
      <c r="A63" s="1">
        <v>2004</v>
      </c>
      <c r="B63" s="29"/>
      <c r="C63" s="29"/>
      <c r="F63" s="29"/>
    </row>
    <row r="64" spans="1:6">
      <c r="A64" s="1">
        <v>2005</v>
      </c>
      <c r="B64" s="29"/>
      <c r="C64" s="29"/>
      <c r="F64" s="29"/>
    </row>
    <row r="65" spans="1:6">
      <c r="A65" s="1">
        <v>2006</v>
      </c>
      <c r="B65" s="29"/>
      <c r="C65" s="29"/>
      <c r="F65" s="29"/>
    </row>
    <row r="66" spans="1:6">
      <c r="A66" s="1">
        <v>2007</v>
      </c>
      <c r="B66" s="29">
        <v>0.65</v>
      </c>
      <c r="C66" s="29"/>
      <c r="F66" s="29"/>
    </row>
    <row r="67" spans="1:6">
      <c r="A67" s="1">
        <v>2008</v>
      </c>
      <c r="B67" s="29"/>
      <c r="C67" s="29"/>
      <c r="F67" s="29"/>
    </row>
    <row r="68" spans="1:6">
      <c r="A68" s="1">
        <v>2009</v>
      </c>
      <c r="B68" s="29"/>
      <c r="C68" s="30">
        <v>0.9</v>
      </c>
      <c r="F68" s="29"/>
    </row>
    <row r="69" spans="1:6">
      <c r="A69" s="1">
        <v>2010</v>
      </c>
      <c r="B69" s="29"/>
      <c r="C69" s="29"/>
      <c r="F69" s="29"/>
    </row>
    <row r="70" spans="1:6">
      <c r="A70" s="1">
        <v>2011</v>
      </c>
      <c r="B70" s="29"/>
      <c r="C70" s="29"/>
      <c r="F70" s="29"/>
    </row>
    <row r="71" spans="1:6">
      <c r="A71" s="1">
        <v>2012</v>
      </c>
      <c r="B71" s="29"/>
      <c r="C71" s="29"/>
      <c r="F71" s="29"/>
    </row>
    <row r="72" spans="1:6">
      <c r="A72" s="1">
        <v>2013</v>
      </c>
      <c r="B72" s="29"/>
      <c r="C72" s="29"/>
      <c r="F72" s="29"/>
    </row>
    <row r="73" spans="1:6">
      <c r="A73" s="1">
        <v>2014</v>
      </c>
      <c r="B73" s="29"/>
      <c r="C73" s="29"/>
      <c r="F73" s="30">
        <v>0.8</v>
      </c>
    </row>
    <row r="74" spans="1:6">
      <c r="A74" s="1">
        <v>2015</v>
      </c>
      <c r="B74" s="29"/>
      <c r="C74" s="29"/>
    </row>
    <row r="75" spans="1:6">
      <c r="A75" s="1">
        <v>2016</v>
      </c>
      <c r="B75" s="29"/>
      <c r="C75" s="29"/>
      <c r="F75" s="29"/>
    </row>
    <row r="76" spans="1:6">
      <c r="A76" s="1">
        <v>2017</v>
      </c>
      <c r="B76" s="29"/>
      <c r="C76" s="29"/>
      <c r="F76" s="29"/>
    </row>
    <row r="77" spans="1:6">
      <c r="A77" s="1">
        <v>2018</v>
      </c>
      <c r="B77" s="29"/>
      <c r="C77" s="30">
        <v>0.91</v>
      </c>
      <c r="F77" s="30">
        <v>0.82</v>
      </c>
    </row>
    <row r="78" spans="1:6">
      <c r="A78" s="1">
        <v>2019</v>
      </c>
      <c r="B78" s="29"/>
      <c r="C78" s="29"/>
      <c r="F78" s="29">
        <v>0.75</v>
      </c>
    </row>
    <row r="79" spans="1:6">
      <c r="A79" s="1">
        <v>2020</v>
      </c>
      <c r="B79" s="29"/>
      <c r="C79" s="29"/>
      <c r="F79" s="29"/>
    </row>
    <row r="80" spans="1:6">
      <c r="A80" s="1">
        <v>2021</v>
      </c>
      <c r="B80" s="29"/>
      <c r="C80" s="29"/>
      <c r="F80" s="29"/>
    </row>
    <row r="81" spans="1:6">
      <c r="A81" s="1">
        <v>2022</v>
      </c>
      <c r="B81" s="29"/>
      <c r="C81" s="29"/>
      <c r="F81" s="30"/>
    </row>
    <row r="82" spans="1:6">
      <c r="A82" s="1">
        <v>2023</v>
      </c>
      <c r="B82" s="29"/>
      <c r="C82" s="29"/>
      <c r="F82" s="30">
        <v>0.82</v>
      </c>
    </row>
    <row r="83" spans="1:6">
      <c r="A83" s="1">
        <v>2024</v>
      </c>
      <c r="B83" s="29"/>
      <c r="C83" s="29"/>
      <c r="F83" s="29"/>
    </row>
    <row r="84" spans="1:6">
      <c r="A84" s="1">
        <v>2025</v>
      </c>
      <c r="B84" s="29"/>
      <c r="C84" s="29"/>
      <c r="F84" s="29"/>
    </row>
    <row r="85" spans="1:6">
      <c r="A85" s="1">
        <v>2026</v>
      </c>
      <c r="B85" s="29"/>
      <c r="C85" s="29"/>
      <c r="F85" s="29"/>
    </row>
    <row r="86" spans="1:6">
      <c r="A86" s="1">
        <v>2027</v>
      </c>
      <c r="B86" s="29"/>
      <c r="C86" s="29"/>
      <c r="F86" s="29"/>
    </row>
    <row r="87" spans="1:6">
      <c r="A87" s="1">
        <v>2028</v>
      </c>
      <c r="B87" s="29"/>
      <c r="C87" s="29"/>
      <c r="F87" s="29"/>
    </row>
    <row r="88" spans="1:6">
      <c r="A88" s="1">
        <v>2029</v>
      </c>
      <c r="B88" s="29"/>
      <c r="C88" s="29"/>
      <c r="F88" s="29"/>
    </row>
    <row r="89" spans="1:6">
      <c r="A89" s="1">
        <v>2030</v>
      </c>
      <c r="B89" s="29">
        <v>0.8</v>
      </c>
      <c r="C89" s="29"/>
      <c r="F89" s="29"/>
    </row>
  </sheetData>
  <mergeCells count="2">
    <mergeCell ref="B1:F1"/>
    <mergeCell ref="D2:F2"/>
  </mergeCells>
  <hyperlinks>
    <hyperlink ref="B3" r:id="rId1" xr:uid="{00000000-0004-0000-1E00-000000000000}"/>
    <hyperlink ref="C27" r:id="rId2" display="https://stud.epsilon.slu.se/14453/11/Wlosinska_J_190407.pdf" xr:uid="{00000000-0004-0000-1E00-000001000000}"/>
    <hyperlink ref="C39" r:id="rId3" display="https://stud.epsilon.slu.se/14453/11/Wlosinska_J_190407.pdf" xr:uid="{00000000-0004-0000-1E00-000002000000}"/>
    <hyperlink ref="C45" r:id="rId4" display="https://stud.epsilon.slu.se/14453/11/Wlosinska_J_190407.pdf" xr:uid="{00000000-0004-0000-1E00-000003000000}"/>
    <hyperlink ref="C59" r:id="rId5" display="https://stud.epsilon.slu.se/14453/11/Wlosinska_J_190407.pdf" xr:uid="{00000000-0004-0000-1E00-000004000000}"/>
    <hyperlink ref="C68" r:id="rId6" display="https://stud.epsilon.slu.se/14453/11/Wlosinska_J_190407.pdf" xr:uid="{00000000-0004-0000-1E00-000005000000}"/>
    <hyperlink ref="C77" r:id="rId7" display="https://stud.epsilon.slu.se/14453/11/Wlosinska_J_190407.pdf" xr:uid="{00000000-0004-0000-1E00-000006000000}"/>
    <hyperlink ref="F73" r:id="rId8" display="https://www.colvet.es/files/portalcontenidos/documentos/document-2022-02-09t112347.069.pdf" xr:uid="{3CE3AC88-405C-4014-BAE7-5117B42F1F8D}"/>
    <hyperlink ref="F77" r:id="rId9" display="https://www.fve.org/cms/wp-content/uploads/FVE_Survey_2018_WEB.pdf" xr:uid="{6C6EC1DF-BE9F-4916-AF91-6FCDB6310852}"/>
    <hyperlink ref="F82" r:id="rId10" display="https://fve.org/cms/wp-content/uploads/FVE-Survey-2023_updated-v3.pdf" xr:uid="{0479EF13-3691-48CE-B0D6-20AAA3FD34FE}"/>
  </hyperlinks>
  <pageMargins left="0.7" right="0.7" top="0.75" bottom="0.75" header="0.3" footer="0.3"/>
  <legacyDrawing r:id="rId11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W79"/>
  <sheetViews>
    <sheetView workbookViewId="0">
      <pane xSplit="1" ySplit="3" topLeftCell="B54" activePane="bottomRight" state="frozen"/>
      <selection pane="topRight" activeCell="B1" sqref="B1"/>
      <selection pane="bottomLeft" activeCell="A4" sqref="A4"/>
      <selection pane="bottomRight" activeCell="F71" sqref="F71"/>
    </sheetView>
  </sheetViews>
  <sheetFormatPr defaultRowHeight="14.4"/>
  <cols>
    <col min="1" max="1" width="6.88671875" customWidth="1"/>
  </cols>
  <sheetData>
    <row r="1" spans="1:21">
      <c r="A1" s="55" t="s">
        <v>0</v>
      </c>
      <c r="B1" s="53" t="s">
        <v>129</v>
      </c>
      <c r="C1" s="53"/>
      <c r="D1" s="53"/>
      <c r="E1" s="53"/>
      <c r="F1" s="53"/>
      <c r="G1" s="53"/>
      <c r="H1" s="53"/>
      <c r="I1" s="53"/>
      <c r="J1" s="53"/>
      <c r="K1" s="53"/>
      <c r="L1" s="54" t="s">
        <v>130</v>
      </c>
      <c r="M1" s="54"/>
      <c r="N1" s="54"/>
      <c r="O1" s="54"/>
      <c r="P1" s="54"/>
      <c r="Q1" s="54"/>
      <c r="R1" s="54"/>
      <c r="S1" s="54"/>
      <c r="T1" s="54"/>
      <c r="U1" s="54"/>
    </row>
    <row r="2" spans="1:21">
      <c r="A2" s="55"/>
      <c r="B2" s="53" t="s">
        <v>23</v>
      </c>
      <c r="C2" s="53"/>
      <c r="D2" s="53"/>
      <c r="E2" s="53" t="s">
        <v>62</v>
      </c>
      <c r="F2" s="53"/>
      <c r="G2" s="53"/>
      <c r="H2" s="12" t="s">
        <v>131</v>
      </c>
      <c r="I2" s="60" t="s">
        <v>132</v>
      </c>
      <c r="J2" s="60"/>
      <c r="K2" s="60"/>
      <c r="L2" s="52" t="s">
        <v>133</v>
      </c>
      <c r="M2" s="52"/>
      <c r="N2" s="52"/>
      <c r="O2" s="52"/>
      <c r="P2" t="s">
        <v>134</v>
      </c>
      <c r="T2" t="s">
        <v>135</v>
      </c>
    </row>
    <row r="3" spans="1:21" s="13" customFormat="1">
      <c r="A3" s="55"/>
      <c r="B3" s="1" t="s">
        <v>42</v>
      </c>
      <c r="C3" s="1" t="s">
        <v>43</v>
      </c>
      <c r="D3" s="1" t="s">
        <v>44</v>
      </c>
      <c r="E3" s="1" t="s">
        <v>42</v>
      </c>
      <c r="F3" s="1" t="s">
        <v>43</v>
      </c>
      <c r="G3" s="1" t="s">
        <v>44</v>
      </c>
      <c r="H3" s="1" t="s">
        <v>44</v>
      </c>
      <c r="I3" s="1" t="s">
        <v>34</v>
      </c>
      <c r="J3" s="1" t="s">
        <v>35</v>
      </c>
      <c r="K3" s="1" t="s">
        <v>33</v>
      </c>
    </row>
    <row r="4" spans="1:21">
      <c r="A4" s="1">
        <v>1950</v>
      </c>
      <c r="B4" s="1"/>
      <c r="C4" s="1"/>
      <c r="D4" s="1"/>
      <c r="E4" s="1"/>
      <c r="F4" s="1"/>
      <c r="G4" s="1"/>
      <c r="H4" s="1"/>
      <c r="I4" s="1">
        <v>256</v>
      </c>
      <c r="J4" s="1">
        <v>5</v>
      </c>
      <c r="K4" s="29">
        <f>J4/I4</f>
        <v>1.953125E-2</v>
      </c>
    </row>
    <row r="5" spans="1:21">
      <c r="A5" s="1">
        <v>1951</v>
      </c>
      <c r="B5" s="1"/>
      <c r="C5" s="1"/>
      <c r="D5" s="1"/>
      <c r="E5" s="1"/>
      <c r="F5" s="1"/>
      <c r="G5" s="1"/>
      <c r="H5" s="1"/>
      <c r="I5" s="1"/>
      <c r="J5" s="1"/>
      <c r="K5" s="29"/>
    </row>
    <row r="6" spans="1:21">
      <c r="A6" s="1">
        <v>1952</v>
      </c>
      <c r="B6" s="1"/>
      <c r="C6" s="1"/>
      <c r="D6" s="1"/>
      <c r="E6" s="1"/>
      <c r="F6" s="1"/>
      <c r="G6" s="1"/>
      <c r="H6" s="1"/>
      <c r="I6" s="1"/>
      <c r="J6" s="1"/>
      <c r="K6" s="29"/>
    </row>
    <row r="7" spans="1:21">
      <c r="A7" s="1">
        <v>1953</v>
      </c>
      <c r="B7" s="1"/>
      <c r="C7" s="1"/>
      <c r="D7" s="1"/>
      <c r="E7" s="1"/>
      <c r="F7" s="1"/>
      <c r="G7" s="1"/>
      <c r="H7" s="1"/>
      <c r="I7" s="1"/>
      <c r="J7" s="1"/>
      <c r="K7" s="29"/>
    </row>
    <row r="8" spans="1:21">
      <c r="A8" s="1">
        <v>1954</v>
      </c>
      <c r="B8" s="1"/>
      <c r="C8" s="1"/>
      <c r="D8" s="1"/>
      <c r="E8" s="1"/>
      <c r="F8" s="1"/>
      <c r="G8" s="1"/>
      <c r="H8" s="1"/>
      <c r="I8" s="1"/>
      <c r="J8" s="1"/>
      <c r="K8" s="29"/>
    </row>
    <row r="9" spans="1:21">
      <c r="A9" s="1">
        <v>1955</v>
      </c>
      <c r="B9" s="1"/>
      <c r="C9" s="1"/>
      <c r="D9" s="1"/>
      <c r="E9" s="1"/>
      <c r="F9" s="1"/>
      <c r="G9" s="1"/>
      <c r="H9" s="1"/>
      <c r="I9" s="1"/>
      <c r="J9" s="1"/>
      <c r="K9" s="29"/>
    </row>
    <row r="10" spans="1:21">
      <c r="A10" s="1">
        <v>1956</v>
      </c>
      <c r="B10" s="1"/>
      <c r="C10" s="1"/>
      <c r="D10" s="1"/>
      <c r="E10" s="1"/>
      <c r="F10" s="1"/>
      <c r="G10" s="1"/>
      <c r="H10" s="1"/>
      <c r="I10" s="1"/>
      <c r="J10" s="1"/>
      <c r="K10" s="29"/>
    </row>
    <row r="11" spans="1:21">
      <c r="A11" s="1">
        <v>1957</v>
      </c>
      <c r="B11" s="1"/>
      <c r="C11" s="1"/>
      <c r="D11" s="1"/>
      <c r="E11" s="1"/>
      <c r="F11" s="1"/>
      <c r="G11" s="1"/>
      <c r="H11" s="1"/>
      <c r="I11" s="1"/>
      <c r="J11" s="1"/>
      <c r="K11" s="29"/>
    </row>
    <row r="12" spans="1:21">
      <c r="A12" s="1">
        <v>1958</v>
      </c>
      <c r="B12" s="1"/>
      <c r="C12" s="1"/>
      <c r="D12" s="1"/>
      <c r="E12" s="1"/>
      <c r="F12" s="1"/>
      <c r="G12" s="1"/>
      <c r="H12" s="1"/>
      <c r="I12" s="1"/>
      <c r="J12" s="1"/>
      <c r="K12" s="29"/>
    </row>
    <row r="13" spans="1:21">
      <c r="A13" s="1">
        <v>1959</v>
      </c>
      <c r="B13" s="1"/>
      <c r="C13" s="1"/>
      <c r="D13" s="1"/>
      <c r="E13" s="1"/>
      <c r="F13" s="1"/>
      <c r="G13" s="1"/>
      <c r="H13" s="1"/>
      <c r="I13" s="1"/>
      <c r="J13" s="1"/>
      <c r="K13" s="29"/>
    </row>
    <row r="14" spans="1:21">
      <c r="A14" s="1">
        <v>1960</v>
      </c>
      <c r="B14" s="1"/>
      <c r="C14" s="1"/>
      <c r="D14" s="1"/>
      <c r="E14" s="1"/>
      <c r="F14" s="1"/>
      <c r="G14" s="1"/>
      <c r="H14" s="1"/>
      <c r="I14" s="1">
        <v>235</v>
      </c>
      <c r="J14" s="1">
        <v>7</v>
      </c>
      <c r="K14" s="29">
        <f>J14/I14</f>
        <v>2.9787234042553193E-2</v>
      </c>
    </row>
    <row r="15" spans="1:21">
      <c r="A15" s="1">
        <v>1961</v>
      </c>
      <c r="B15" s="1"/>
      <c r="C15" s="1"/>
      <c r="D15" s="1"/>
      <c r="E15" s="1"/>
      <c r="F15" s="1"/>
      <c r="G15" s="1"/>
      <c r="H15" s="1"/>
      <c r="I15" s="1"/>
      <c r="J15" s="1"/>
      <c r="K15" s="29"/>
    </row>
    <row r="16" spans="1:21">
      <c r="A16" s="1">
        <v>1962</v>
      </c>
      <c r="B16" s="1"/>
      <c r="C16" s="1"/>
      <c r="D16" s="1"/>
      <c r="E16" s="1"/>
      <c r="F16" s="1"/>
      <c r="G16" s="1"/>
      <c r="H16" s="1"/>
      <c r="I16" s="1"/>
      <c r="J16" s="1"/>
      <c r="K16" s="29"/>
    </row>
    <row r="17" spans="1:11">
      <c r="A17" s="1">
        <v>1963</v>
      </c>
      <c r="B17" s="1"/>
      <c r="C17" s="1"/>
      <c r="D17" s="1"/>
      <c r="E17" s="1"/>
      <c r="F17" s="1"/>
      <c r="G17" s="1"/>
      <c r="H17" s="1"/>
      <c r="I17" s="1"/>
      <c r="J17" s="1"/>
      <c r="K17" s="29"/>
    </row>
    <row r="18" spans="1:11">
      <c r="A18" s="1">
        <v>1964</v>
      </c>
      <c r="B18" s="1"/>
      <c r="C18" s="1"/>
      <c r="D18" s="1"/>
      <c r="E18" s="1"/>
      <c r="F18" s="1"/>
      <c r="G18" s="1"/>
      <c r="H18" s="1"/>
      <c r="I18" s="1"/>
      <c r="J18" s="1"/>
      <c r="K18" s="29"/>
    </row>
    <row r="19" spans="1:11">
      <c r="A19" s="1">
        <v>1965</v>
      </c>
      <c r="B19" s="1"/>
      <c r="C19" s="1"/>
      <c r="D19" s="1"/>
      <c r="E19" s="1"/>
      <c r="F19" s="1"/>
      <c r="G19" s="1"/>
      <c r="H19" s="1"/>
      <c r="I19" s="1"/>
      <c r="J19" s="1"/>
      <c r="K19" s="29"/>
    </row>
    <row r="20" spans="1:11">
      <c r="A20" s="1">
        <v>1966</v>
      </c>
      <c r="B20" s="1"/>
      <c r="C20" s="1"/>
      <c r="D20" s="1"/>
      <c r="E20" s="1"/>
      <c r="F20" s="1"/>
      <c r="G20" s="1"/>
      <c r="H20" s="1"/>
      <c r="I20" s="1"/>
      <c r="J20" s="1"/>
      <c r="K20" s="29"/>
    </row>
    <row r="21" spans="1:11">
      <c r="A21" s="1">
        <v>1967</v>
      </c>
      <c r="B21" s="1"/>
      <c r="C21" s="1"/>
      <c r="D21" s="1"/>
      <c r="E21" s="1"/>
      <c r="F21" s="1"/>
      <c r="G21" s="1"/>
      <c r="H21" s="1"/>
      <c r="I21" s="1"/>
      <c r="J21" s="1"/>
      <c r="K21" s="29"/>
    </row>
    <row r="22" spans="1:11">
      <c r="A22" s="1">
        <v>1968</v>
      </c>
      <c r="B22" s="1"/>
      <c r="C22" s="1"/>
      <c r="D22" s="1"/>
      <c r="E22" s="1"/>
      <c r="F22" s="1"/>
      <c r="G22" s="1"/>
      <c r="H22" s="1"/>
      <c r="I22" s="1"/>
      <c r="J22" s="1"/>
      <c r="K22" s="29"/>
    </row>
    <row r="23" spans="1:11">
      <c r="A23" s="1">
        <v>1969</v>
      </c>
      <c r="B23" s="1"/>
      <c r="C23" s="1"/>
      <c r="D23" s="1"/>
      <c r="E23" s="1"/>
      <c r="F23" s="1"/>
      <c r="G23" s="1"/>
      <c r="H23" s="1"/>
      <c r="I23" s="1"/>
      <c r="J23" s="1"/>
      <c r="K23" s="29"/>
    </row>
    <row r="24" spans="1:11">
      <c r="A24" s="1">
        <v>1970</v>
      </c>
      <c r="B24" s="1"/>
      <c r="C24" s="1"/>
      <c r="D24" s="1"/>
      <c r="E24" s="1"/>
      <c r="F24" s="1"/>
      <c r="G24" s="1"/>
      <c r="H24" s="1"/>
      <c r="I24" s="1">
        <f>J24+191</f>
        <v>227</v>
      </c>
      <c r="J24" s="1">
        <v>36</v>
      </c>
      <c r="K24" s="29">
        <f>J24/I24</f>
        <v>0.15859030837004406</v>
      </c>
    </row>
    <row r="25" spans="1:11">
      <c r="A25" s="1">
        <v>1971</v>
      </c>
      <c r="B25" s="1"/>
      <c r="C25" s="1"/>
      <c r="D25" s="1"/>
      <c r="E25" s="1"/>
      <c r="F25" s="1"/>
      <c r="G25" s="1"/>
      <c r="H25" s="1"/>
      <c r="I25" s="1"/>
      <c r="J25" s="1"/>
      <c r="K25" s="29"/>
    </row>
    <row r="26" spans="1:11">
      <c r="A26" s="1">
        <v>1972</v>
      </c>
      <c r="B26" s="1"/>
      <c r="C26" s="1"/>
      <c r="D26" s="1"/>
      <c r="E26" s="1"/>
      <c r="F26" s="1"/>
      <c r="G26" s="1"/>
      <c r="H26" s="1"/>
      <c r="I26" s="1"/>
      <c r="J26" s="1"/>
      <c r="K26" s="29"/>
    </row>
    <row r="27" spans="1:11">
      <c r="A27" s="1">
        <v>1973</v>
      </c>
      <c r="B27" s="1"/>
      <c r="C27" s="1"/>
      <c r="D27" s="1"/>
      <c r="E27" s="1"/>
      <c r="F27" s="1"/>
      <c r="G27" s="1"/>
      <c r="H27" s="1"/>
      <c r="I27" s="1"/>
      <c r="J27" s="1"/>
      <c r="K27" s="29"/>
    </row>
    <row r="28" spans="1:11">
      <c r="A28" s="1">
        <v>1974</v>
      </c>
      <c r="B28" s="1"/>
      <c r="C28" s="1"/>
      <c r="D28" s="1"/>
      <c r="E28" s="1"/>
      <c r="F28" s="1"/>
      <c r="G28" s="1"/>
      <c r="H28" s="1"/>
      <c r="I28" s="1"/>
      <c r="J28" s="1"/>
      <c r="K28" s="29"/>
    </row>
    <row r="29" spans="1:11">
      <c r="A29" s="1">
        <v>1975</v>
      </c>
      <c r="B29" s="1"/>
      <c r="C29" s="1"/>
      <c r="D29" s="1"/>
      <c r="E29" s="1"/>
      <c r="F29" s="1"/>
      <c r="G29" s="1"/>
      <c r="H29" s="1"/>
      <c r="I29" s="1"/>
      <c r="J29" s="1"/>
      <c r="K29" s="29"/>
    </row>
    <row r="30" spans="1:11">
      <c r="A30" s="1">
        <v>1976</v>
      </c>
      <c r="B30" s="1"/>
      <c r="C30" s="1"/>
      <c r="D30" s="1"/>
      <c r="E30" s="1"/>
      <c r="F30" s="1"/>
      <c r="G30" s="1"/>
      <c r="H30" s="1"/>
      <c r="I30" s="1"/>
      <c r="J30" s="1"/>
      <c r="K30" s="29"/>
    </row>
    <row r="31" spans="1:11">
      <c r="A31" s="1">
        <v>1977</v>
      </c>
      <c r="B31" s="1"/>
      <c r="C31" s="1"/>
      <c r="D31" s="1"/>
      <c r="E31" s="1"/>
      <c r="F31" s="1"/>
      <c r="G31" s="1"/>
      <c r="H31" s="1"/>
      <c r="I31" s="1"/>
      <c r="J31" s="1"/>
      <c r="K31" s="29"/>
    </row>
    <row r="32" spans="1:11">
      <c r="A32" s="11">
        <v>1978</v>
      </c>
      <c r="B32" s="1"/>
      <c r="C32" s="1"/>
      <c r="D32" s="1"/>
      <c r="E32" s="1"/>
      <c r="F32" s="1"/>
      <c r="G32" s="1"/>
      <c r="H32" s="1"/>
      <c r="I32" s="1"/>
      <c r="J32" s="1"/>
      <c r="K32" s="29"/>
    </row>
    <row r="33" spans="1:11">
      <c r="A33" s="11">
        <v>1979</v>
      </c>
      <c r="B33" s="1"/>
      <c r="C33" s="1"/>
      <c r="D33" s="1"/>
      <c r="E33" s="1"/>
      <c r="F33" s="1"/>
      <c r="G33" s="1"/>
      <c r="H33" s="1"/>
      <c r="I33" s="1"/>
      <c r="J33" s="1"/>
      <c r="K33" s="29"/>
    </row>
    <row r="34" spans="1:11">
      <c r="A34" s="11">
        <v>1980</v>
      </c>
      <c r="B34" s="1"/>
      <c r="C34" s="1"/>
      <c r="D34" s="1"/>
      <c r="E34" s="1"/>
      <c r="F34" s="1"/>
      <c r="G34" s="1"/>
      <c r="H34" s="1"/>
      <c r="I34" s="1">
        <f>491+126</f>
        <v>617</v>
      </c>
      <c r="J34" s="1">
        <v>126</v>
      </c>
      <c r="K34" s="29">
        <f>J34/I34</f>
        <v>0.20421393841166938</v>
      </c>
    </row>
    <row r="35" spans="1:11">
      <c r="A35" s="11">
        <v>1981</v>
      </c>
      <c r="B35" s="1"/>
      <c r="C35" s="1"/>
      <c r="D35" s="1"/>
      <c r="E35" s="1">
        <v>131</v>
      </c>
      <c r="F35" s="15">
        <v>59</v>
      </c>
      <c r="G35" s="1">
        <f>(F35/E35)*100</f>
        <v>45.038167938931295</v>
      </c>
      <c r="H35" s="1"/>
      <c r="I35" s="1"/>
      <c r="J35" s="1"/>
      <c r="K35" s="29"/>
    </row>
    <row r="36" spans="1:11">
      <c r="A36" s="11">
        <v>1982</v>
      </c>
      <c r="B36" s="1"/>
      <c r="C36" s="1"/>
      <c r="D36" s="1"/>
      <c r="E36" s="1"/>
      <c r="F36" s="1"/>
      <c r="G36" s="1"/>
      <c r="H36" s="1"/>
      <c r="I36" s="1"/>
      <c r="J36" s="1"/>
      <c r="K36" s="29"/>
    </row>
    <row r="37" spans="1:11">
      <c r="A37" s="11">
        <v>1983</v>
      </c>
      <c r="B37" s="1"/>
      <c r="C37" s="1"/>
      <c r="D37" s="1"/>
      <c r="E37" s="1"/>
      <c r="F37" s="1"/>
      <c r="G37" s="1"/>
      <c r="H37" s="1"/>
      <c r="I37" s="1"/>
      <c r="J37" s="1"/>
      <c r="K37" s="29"/>
    </row>
    <row r="38" spans="1:11">
      <c r="A38" s="11">
        <v>1984</v>
      </c>
      <c r="B38" s="1"/>
      <c r="C38" s="1"/>
      <c r="D38" s="1"/>
      <c r="E38" s="1"/>
      <c r="F38" s="1"/>
      <c r="G38" s="1"/>
      <c r="H38" s="1"/>
      <c r="I38" s="1"/>
      <c r="J38" s="1"/>
      <c r="K38" s="29"/>
    </row>
    <row r="39" spans="1:11">
      <c r="A39" s="11">
        <v>1985</v>
      </c>
      <c r="B39" s="1"/>
      <c r="C39" s="1"/>
      <c r="D39" s="1"/>
      <c r="E39" s="1"/>
      <c r="F39" s="1"/>
      <c r="G39" s="1"/>
      <c r="H39" s="1"/>
      <c r="I39" s="1"/>
      <c r="J39" s="1"/>
      <c r="K39" s="29"/>
    </row>
    <row r="40" spans="1:11">
      <c r="A40" s="11">
        <v>1986</v>
      </c>
      <c r="B40" s="1"/>
      <c r="C40" s="1"/>
      <c r="D40" s="1"/>
      <c r="E40" s="1"/>
      <c r="F40" s="1"/>
      <c r="G40" s="1"/>
      <c r="H40" s="1"/>
      <c r="I40" s="1"/>
      <c r="J40" s="1"/>
      <c r="K40" s="29"/>
    </row>
    <row r="41" spans="1:11">
      <c r="A41" s="11">
        <v>1987</v>
      </c>
      <c r="B41" s="1"/>
      <c r="C41" s="1"/>
      <c r="D41" s="1"/>
      <c r="E41" s="1"/>
      <c r="F41" s="1"/>
      <c r="G41" s="1"/>
      <c r="H41" s="1"/>
      <c r="I41" s="1"/>
      <c r="J41" s="1"/>
      <c r="K41" s="29"/>
    </row>
    <row r="42" spans="1:11">
      <c r="A42" s="11">
        <v>1988</v>
      </c>
      <c r="B42" s="1"/>
      <c r="C42" s="1"/>
      <c r="D42" s="1"/>
      <c r="E42" s="1"/>
      <c r="F42" s="1"/>
      <c r="G42" s="1"/>
      <c r="H42" s="1"/>
      <c r="I42" s="1"/>
      <c r="J42" s="1"/>
      <c r="K42" s="29"/>
    </row>
    <row r="43" spans="1:11">
      <c r="A43" s="11">
        <v>1989</v>
      </c>
      <c r="B43" s="1"/>
      <c r="C43" s="1"/>
      <c r="D43" s="1"/>
      <c r="E43" s="1"/>
      <c r="F43" s="1"/>
      <c r="G43" s="1"/>
      <c r="H43" s="1"/>
      <c r="I43" s="1"/>
      <c r="J43" s="1"/>
      <c r="K43" s="29"/>
    </row>
    <row r="44" spans="1:11">
      <c r="A44" s="11">
        <v>1990</v>
      </c>
      <c r="B44" s="1"/>
      <c r="C44" s="1"/>
      <c r="D44" s="1"/>
      <c r="E44" s="1"/>
      <c r="F44" s="1"/>
      <c r="G44" s="1"/>
      <c r="H44" s="1"/>
      <c r="I44" s="1">
        <f>566+J44</f>
        <v>933</v>
      </c>
      <c r="J44" s="1">
        <v>367</v>
      </c>
      <c r="K44" s="29">
        <f>J44/I44</f>
        <v>0.39335476956055732</v>
      </c>
    </row>
    <row r="45" spans="1:11">
      <c r="A45" s="11">
        <v>1991</v>
      </c>
      <c r="B45" s="1"/>
      <c r="C45" s="1"/>
      <c r="D45" s="1"/>
      <c r="E45" s="1"/>
      <c r="F45" s="1"/>
      <c r="G45" s="1"/>
      <c r="H45" s="1"/>
      <c r="I45" s="1"/>
      <c r="J45" s="1"/>
      <c r="K45" s="29"/>
    </row>
    <row r="46" spans="1:11">
      <c r="A46" s="11">
        <v>1992</v>
      </c>
      <c r="B46" s="1"/>
      <c r="C46" s="1"/>
      <c r="D46" s="1"/>
      <c r="E46" s="1"/>
      <c r="F46" s="1"/>
      <c r="G46" s="1"/>
      <c r="H46" s="1"/>
      <c r="I46" s="1"/>
      <c r="J46" s="1"/>
      <c r="K46" s="29"/>
    </row>
    <row r="47" spans="1:11">
      <c r="A47" s="11">
        <v>1993</v>
      </c>
      <c r="B47" s="1"/>
      <c r="C47" s="1"/>
      <c r="D47" s="1"/>
      <c r="E47" s="1"/>
      <c r="F47" s="1"/>
      <c r="G47" s="1"/>
      <c r="H47" s="1"/>
      <c r="I47" s="1"/>
      <c r="J47" s="1"/>
      <c r="K47" s="29"/>
    </row>
    <row r="48" spans="1:11">
      <c r="A48" s="11">
        <v>1994</v>
      </c>
      <c r="B48" s="1"/>
      <c r="C48" s="1"/>
      <c r="D48" s="1"/>
      <c r="E48" s="1"/>
      <c r="F48" s="1"/>
      <c r="G48" s="1"/>
      <c r="H48" s="1"/>
      <c r="I48" s="1"/>
      <c r="J48" s="1"/>
      <c r="K48" s="29"/>
    </row>
    <row r="49" spans="1:23">
      <c r="A49" s="11">
        <v>1995</v>
      </c>
      <c r="B49" s="1"/>
      <c r="C49" s="1"/>
      <c r="D49" s="1"/>
      <c r="E49" s="1"/>
      <c r="F49" s="1"/>
      <c r="G49" s="1"/>
      <c r="H49" s="1"/>
      <c r="I49" s="1"/>
      <c r="J49" s="1"/>
      <c r="K49" s="29"/>
    </row>
    <row r="50" spans="1:23">
      <c r="A50" s="11">
        <v>1996</v>
      </c>
      <c r="B50" s="1"/>
      <c r="C50" s="1"/>
      <c r="D50" s="1"/>
      <c r="E50" s="1"/>
      <c r="F50" s="1"/>
      <c r="G50" s="1"/>
      <c r="H50" s="1"/>
      <c r="I50" s="1"/>
      <c r="J50" s="1"/>
      <c r="K50" s="29"/>
    </row>
    <row r="51" spans="1:23">
      <c r="A51" s="11">
        <v>1997</v>
      </c>
      <c r="B51" s="1"/>
      <c r="C51" s="1"/>
      <c r="D51" s="1"/>
      <c r="E51" s="1"/>
      <c r="F51" s="1"/>
      <c r="G51" s="1"/>
      <c r="H51" s="1"/>
      <c r="I51" s="1"/>
      <c r="J51" s="1"/>
      <c r="K51" s="29"/>
    </row>
    <row r="52" spans="1:23">
      <c r="A52" s="11">
        <v>1998</v>
      </c>
      <c r="B52" s="1"/>
      <c r="C52" s="1"/>
      <c r="D52" s="1"/>
      <c r="E52" s="1"/>
      <c r="F52" s="1"/>
      <c r="G52" s="1"/>
      <c r="H52" s="1"/>
      <c r="I52" s="1"/>
      <c r="J52" s="1"/>
      <c r="K52" s="29"/>
    </row>
    <row r="53" spans="1:23">
      <c r="A53" s="11">
        <v>1999</v>
      </c>
      <c r="B53" s="1"/>
      <c r="C53" s="1"/>
      <c r="D53" s="1"/>
      <c r="E53" s="1"/>
      <c r="F53" s="1"/>
      <c r="G53" s="1"/>
      <c r="H53" s="1"/>
      <c r="I53" s="1"/>
      <c r="J53" s="1"/>
      <c r="K53" s="29"/>
    </row>
    <row r="54" spans="1:23">
      <c r="A54" s="11">
        <v>2000</v>
      </c>
      <c r="B54" s="1">
        <f>C54+1606</f>
        <v>2339</v>
      </c>
      <c r="C54" s="15">
        <v>733</v>
      </c>
      <c r="D54" s="29">
        <f>C54/B54</f>
        <v>0.31338178708849934</v>
      </c>
      <c r="E54" s="1"/>
      <c r="F54" s="1"/>
      <c r="G54" s="1"/>
      <c r="H54" s="1"/>
      <c r="I54" s="1">
        <f>294+J54</f>
        <v>767</v>
      </c>
      <c r="J54" s="1">
        <v>473</v>
      </c>
      <c r="K54" s="29">
        <f>J54/I54</f>
        <v>0.6166883963494133</v>
      </c>
    </row>
    <row r="55" spans="1:23">
      <c r="A55" s="11">
        <v>2001</v>
      </c>
      <c r="B55" s="1"/>
      <c r="C55" s="1"/>
      <c r="D55" s="29"/>
      <c r="E55" s="1"/>
      <c r="F55" s="1"/>
      <c r="G55" s="1"/>
      <c r="H55" s="1"/>
      <c r="I55" s="1"/>
      <c r="J55" s="1"/>
      <c r="K55" s="29"/>
    </row>
    <row r="56" spans="1:23">
      <c r="A56" s="1">
        <v>2002</v>
      </c>
      <c r="B56" s="1"/>
      <c r="C56" s="1"/>
      <c r="D56" s="29"/>
      <c r="E56" s="1"/>
      <c r="F56" s="1"/>
      <c r="G56" s="1"/>
      <c r="H56" s="1"/>
      <c r="I56" s="1"/>
      <c r="J56" s="1"/>
      <c r="K56" s="29"/>
    </row>
    <row r="57" spans="1:23">
      <c r="A57" s="1">
        <v>2003</v>
      </c>
      <c r="B57" s="1"/>
      <c r="C57" s="1"/>
      <c r="D57" s="29"/>
      <c r="E57" s="1"/>
      <c r="F57" s="1"/>
      <c r="G57" s="1"/>
      <c r="H57" s="1"/>
      <c r="I57" s="1"/>
      <c r="J57" s="1"/>
      <c r="K57" s="29"/>
    </row>
    <row r="58" spans="1:23">
      <c r="A58" s="1">
        <v>2004</v>
      </c>
      <c r="B58" s="1"/>
      <c r="C58" s="1"/>
      <c r="D58" s="29"/>
      <c r="E58" s="1"/>
      <c r="F58" s="1"/>
      <c r="G58" s="1"/>
      <c r="H58" s="1"/>
      <c r="I58" s="1"/>
      <c r="J58" s="1"/>
      <c r="K58" s="29"/>
    </row>
    <row r="59" spans="1:23">
      <c r="A59" s="1">
        <v>2005</v>
      </c>
      <c r="B59" s="1"/>
      <c r="C59" s="1"/>
      <c r="D59" s="29"/>
      <c r="E59" s="1">
        <f>F59+14</f>
        <v>138</v>
      </c>
      <c r="F59" s="1">
        <v>124</v>
      </c>
      <c r="G59" s="1">
        <f>(F59/E59)*100</f>
        <v>89.85507246376811</v>
      </c>
      <c r="H59" s="1"/>
      <c r="I59" s="1"/>
      <c r="J59" s="1"/>
      <c r="K59" s="29"/>
    </row>
    <row r="60" spans="1:23">
      <c r="A60" s="1">
        <v>2006</v>
      </c>
      <c r="B60" s="1">
        <f>1576+C60</f>
        <v>2594</v>
      </c>
      <c r="C60" s="15">
        <v>1018</v>
      </c>
      <c r="D60" s="29">
        <f>C60/B60</f>
        <v>0.39244410177332306</v>
      </c>
      <c r="E60" s="1"/>
      <c r="F60" s="1"/>
      <c r="G60" s="1"/>
      <c r="H60" s="1"/>
      <c r="I60" s="1"/>
      <c r="J60" s="1"/>
      <c r="K60" s="29"/>
    </row>
    <row r="61" spans="1:23">
      <c r="A61" s="1">
        <v>2007</v>
      </c>
      <c r="B61" s="1"/>
      <c r="C61" s="1"/>
      <c r="D61" s="29"/>
      <c r="E61" s="1"/>
      <c r="F61" s="1"/>
      <c r="G61" s="1"/>
      <c r="H61" s="1"/>
      <c r="I61" s="1"/>
      <c r="J61" s="1"/>
      <c r="K61" s="29"/>
    </row>
    <row r="62" spans="1:23">
      <c r="A62" s="1">
        <v>2008</v>
      </c>
      <c r="B62" s="1"/>
      <c r="C62" s="1"/>
      <c r="D62" s="29"/>
      <c r="E62" s="1"/>
      <c r="F62" s="1"/>
      <c r="G62" s="1"/>
      <c r="H62" s="1"/>
      <c r="I62" s="1"/>
      <c r="J62" s="1"/>
      <c r="K62" s="29"/>
    </row>
    <row r="63" spans="1:23">
      <c r="A63" s="1">
        <v>2009</v>
      </c>
      <c r="B63" s="1"/>
      <c r="C63" s="1"/>
      <c r="D63" s="29"/>
      <c r="E63" s="1"/>
      <c r="F63" s="1"/>
      <c r="G63" s="1"/>
      <c r="H63" s="1"/>
      <c r="I63" s="1"/>
      <c r="J63" s="1"/>
      <c r="K63" s="29"/>
      <c r="L63" s="13" t="s">
        <v>49</v>
      </c>
      <c r="M63" s="13" t="s">
        <v>136</v>
      </c>
      <c r="N63" s="13" t="s">
        <v>43</v>
      </c>
      <c r="O63" s="13" t="s">
        <v>44</v>
      </c>
      <c r="P63" s="13" t="s">
        <v>49</v>
      </c>
      <c r="Q63" s="13" t="s">
        <v>136</v>
      </c>
      <c r="R63" s="13" t="s">
        <v>43</v>
      </c>
      <c r="S63" s="13" t="s">
        <v>44</v>
      </c>
      <c r="T63" s="13" t="s">
        <v>49</v>
      </c>
      <c r="U63" s="13" t="s">
        <v>136</v>
      </c>
      <c r="V63" s="13" t="s">
        <v>43</v>
      </c>
      <c r="W63" s="13" t="s">
        <v>44</v>
      </c>
    </row>
    <row r="64" spans="1:23">
      <c r="A64" s="1">
        <v>2010</v>
      </c>
      <c r="B64" s="1"/>
      <c r="C64" s="1"/>
      <c r="D64" s="29"/>
      <c r="E64" s="1"/>
      <c r="F64" s="1"/>
      <c r="G64" s="1"/>
      <c r="H64" s="1"/>
      <c r="I64" s="1">
        <f>J64+213</f>
        <v>1014</v>
      </c>
      <c r="J64" s="1">
        <v>801</v>
      </c>
      <c r="K64" s="29">
        <f>J64/I64</f>
        <v>0.7899408284023669</v>
      </c>
      <c r="L64">
        <v>76</v>
      </c>
      <c r="M64">
        <v>7</v>
      </c>
      <c r="N64">
        <v>69</v>
      </c>
      <c r="O64">
        <v>90.79</v>
      </c>
      <c r="P64">
        <v>415</v>
      </c>
      <c r="Q64">
        <v>61</v>
      </c>
      <c r="R64">
        <v>354</v>
      </c>
      <c r="S64" s="14">
        <v>0.85299999999999998</v>
      </c>
      <c r="T64">
        <v>96</v>
      </c>
      <c r="U64">
        <v>14</v>
      </c>
      <c r="V64">
        <v>82</v>
      </c>
      <c r="W64" s="14">
        <v>0.85419999999999996</v>
      </c>
    </row>
    <row r="65" spans="1:23">
      <c r="A65" s="1">
        <v>2011</v>
      </c>
      <c r="B65" s="1"/>
      <c r="C65" s="1"/>
      <c r="D65" s="29"/>
      <c r="E65" s="1"/>
      <c r="F65" s="1"/>
      <c r="G65" s="1"/>
      <c r="H65" s="1"/>
      <c r="I65" s="1"/>
      <c r="J65" s="1"/>
      <c r="K65" s="29"/>
      <c r="L65">
        <v>66</v>
      </c>
      <c r="M65">
        <v>11</v>
      </c>
      <c r="N65">
        <v>55</v>
      </c>
      <c r="O65" s="14">
        <v>0.83330000000000004</v>
      </c>
      <c r="P65">
        <v>428</v>
      </c>
      <c r="Q65">
        <v>69</v>
      </c>
      <c r="R65">
        <v>359</v>
      </c>
      <c r="S65" s="14">
        <v>0.83879999999999999</v>
      </c>
      <c r="T65">
        <v>126</v>
      </c>
      <c r="U65">
        <v>22</v>
      </c>
      <c r="V65">
        <v>104</v>
      </c>
      <c r="W65" s="14">
        <v>0.82540000000000002</v>
      </c>
    </row>
    <row r="66" spans="1:23">
      <c r="A66" s="1">
        <v>2012</v>
      </c>
      <c r="B66" s="1"/>
      <c r="C66" s="1"/>
      <c r="D66" s="29"/>
      <c r="E66" s="1"/>
      <c r="F66" s="1"/>
      <c r="G66" s="1"/>
      <c r="H66" s="1"/>
      <c r="I66" s="1"/>
      <c r="J66" s="1"/>
      <c r="K66" s="29"/>
      <c r="L66">
        <v>73</v>
      </c>
      <c r="M66">
        <v>10</v>
      </c>
      <c r="N66">
        <v>63</v>
      </c>
      <c r="O66" s="14">
        <v>0.86299999999999999</v>
      </c>
      <c r="P66">
        <v>438</v>
      </c>
      <c r="Q66">
        <v>67</v>
      </c>
      <c r="R66">
        <v>371</v>
      </c>
      <c r="S66" s="14">
        <v>0.84699999999999998</v>
      </c>
      <c r="T66">
        <v>88</v>
      </c>
      <c r="U66">
        <v>20</v>
      </c>
      <c r="V66">
        <v>68</v>
      </c>
      <c r="W66" s="14">
        <v>0.77270000000000005</v>
      </c>
    </row>
    <row r="67" spans="1:23">
      <c r="A67" s="1">
        <v>2013</v>
      </c>
      <c r="B67" s="1"/>
      <c r="C67" s="1"/>
      <c r="D67" s="29"/>
      <c r="E67" s="1"/>
      <c r="F67" s="1"/>
      <c r="G67" s="1"/>
      <c r="H67" s="1"/>
      <c r="I67" s="1"/>
      <c r="J67" s="1"/>
      <c r="K67" s="29"/>
      <c r="L67">
        <v>73</v>
      </c>
      <c r="M67">
        <v>7</v>
      </c>
      <c r="N67">
        <v>66</v>
      </c>
      <c r="O67" s="14">
        <v>0.90410000000000001</v>
      </c>
      <c r="P67">
        <v>447</v>
      </c>
      <c r="Q67">
        <v>57</v>
      </c>
      <c r="R67">
        <v>390</v>
      </c>
      <c r="S67" s="14">
        <v>0.87250000000000005</v>
      </c>
      <c r="T67">
        <v>170</v>
      </c>
      <c r="U67">
        <v>26</v>
      </c>
      <c r="V67">
        <v>144</v>
      </c>
      <c r="W67" s="14">
        <v>0.84709999999999996</v>
      </c>
    </row>
    <row r="68" spans="1:23">
      <c r="A68" s="1">
        <v>2014</v>
      </c>
      <c r="B68" s="1"/>
      <c r="C68" s="1"/>
      <c r="D68" s="30">
        <v>0.52</v>
      </c>
      <c r="E68" s="1"/>
      <c r="F68" s="1"/>
      <c r="G68" s="1"/>
      <c r="H68" s="1"/>
      <c r="I68" s="1"/>
      <c r="J68" s="1"/>
      <c r="K68" s="29"/>
      <c r="L68">
        <v>71</v>
      </c>
      <c r="M68">
        <v>4</v>
      </c>
      <c r="N68">
        <v>67</v>
      </c>
      <c r="O68">
        <v>94.37</v>
      </c>
      <c r="P68">
        <v>438</v>
      </c>
      <c r="Q68">
        <v>46</v>
      </c>
      <c r="R68">
        <v>392</v>
      </c>
      <c r="S68" s="14">
        <v>0.89500000000000002</v>
      </c>
      <c r="T68">
        <v>168</v>
      </c>
      <c r="U68">
        <v>30</v>
      </c>
      <c r="V68">
        <v>138</v>
      </c>
      <c r="W68" s="14">
        <v>0.82140000000000002</v>
      </c>
    </row>
    <row r="69" spans="1:23">
      <c r="A69" s="1">
        <v>2015</v>
      </c>
      <c r="B69" s="1"/>
      <c r="C69" s="1"/>
      <c r="D69" s="29"/>
      <c r="E69" s="1"/>
      <c r="F69" s="1"/>
      <c r="G69" s="1"/>
      <c r="H69" s="1"/>
      <c r="I69" s="1"/>
      <c r="J69" s="1"/>
      <c r="K69" s="29"/>
      <c r="L69">
        <v>79</v>
      </c>
      <c r="M69">
        <v>7</v>
      </c>
      <c r="N69">
        <v>72</v>
      </c>
      <c r="O69">
        <v>91.14</v>
      </c>
      <c r="P69">
        <v>458</v>
      </c>
      <c r="Q69">
        <v>46</v>
      </c>
      <c r="R69">
        <v>412</v>
      </c>
      <c r="S69" s="14">
        <v>0.89959999999999996</v>
      </c>
      <c r="T69">
        <v>159</v>
      </c>
      <c r="U69">
        <v>18</v>
      </c>
      <c r="V69">
        <v>141</v>
      </c>
      <c r="W69" s="14">
        <v>0.88680000000000003</v>
      </c>
    </row>
    <row r="70" spans="1:23">
      <c r="A70" s="1">
        <v>2016</v>
      </c>
      <c r="B70" s="1"/>
      <c r="C70" s="1"/>
      <c r="D70" s="29"/>
      <c r="E70" s="1"/>
      <c r="F70" s="1"/>
      <c r="G70" s="1"/>
      <c r="H70" s="1"/>
      <c r="I70" s="1"/>
      <c r="J70" s="1"/>
      <c r="K70" s="29"/>
      <c r="L70">
        <v>69</v>
      </c>
      <c r="M70">
        <v>12</v>
      </c>
      <c r="N70">
        <v>57</v>
      </c>
      <c r="O70">
        <v>82.61</v>
      </c>
      <c r="P70">
        <v>443</v>
      </c>
      <c r="Q70">
        <v>48</v>
      </c>
      <c r="R70">
        <v>395</v>
      </c>
      <c r="S70" s="14">
        <v>0.89159999999999995</v>
      </c>
      <c r="T70">
        <v>120</v>
      </c>
      <c r="U70">
        <v>17</v>
      </c>
      <c r="V70">
        <v>103</v>
      </c>
      <c r="W70" s="14">
        <v>0.85829999999999995</v>
      </c>
    </row>
    <row r="71" spans="1:23">
      <c r="A71" s="1">
        <v>2017</v>
      </c>
      <c r="B71" s="1"/>
      <c r="C71" s="15">
        <v>2937</v>
      </c>
      <c r="D71" s="29">
        <v>0.55159999999999998</v>
      </c>
      <c r="E71" s="1"/>
      <c r="F71" s="1"/>
      <c r="G71" s="1"/>
      <c r="H71" s="30">
        <v>0.87</v>
      </c>
      <c r="I71" s="1"/>
      <c r="J71" s="1"/>
      <c r="K71" s="29"/>
      <c r="L71">
        <v>72</v>
      </c>
      <c r="M71">
        <v>10</v>
      </c>
      <c r="N71">
        <v>62</v>
      </c>
      <c r="O71">
        <v>86.11</v>
      </c>
      <c r="P71">
        <v>430</v>
      </c>
      <c r="Q71">
        <v>43</v>
      </c>
      <c r="R71">
        <v>387</v>
      </c>
      <c r="S71" s="14">
        <v>0.9</v>
      </c>
      <c r="T71">
        <v>103</v>
      </c>
      <c r="U71">
        <v>9</v>
      </c>
      <c r="V71">
        <v>94</v>
      </c>
      <c r="W71">
        <v>91.26</v>
      </c>
    </row>
    <row r="72" spans="1:23">
      <c r="A72" s="1">
        <v>2018</v>
      </c>
      <c r="B72" s="1"/>
      <c r="C72" s="15">
        <v>2975</v>
      </c>
      <c r="D72" s="29">
        <v>0.55969999999999998</v>
      </c>
      <c r="E72" s="1"/>
      <c r="F72" s="1"/>
      <c r="G72" s="1"/>
      <c r="H72" s="1"/>
      <c r="I72" s="1"/>
      <c r="J72" s="1"/>
      <c r="K72" s="29"/>
      <c r="L72">
        <v>70</v>
      </c>
      <c r="M72">
        <v>11</v>
      </c>
      <c r="N72">
        <v>59</v>
      </c>
      <c r="O72">
        <v>84.29</v>
      </c>
      <c r="P72">
        <v>440</v>
      </c>
      <c r="Q72">
        <v>52</v>
      </c>
      <c r="R72">
        <v>388</v>
      </c>
      <c r="S72" s="14">
        <v>0.88180000000000003</v>
      </c>
      <c r="T72">
        <v>120</v>
      </c>
      <c r="U72">
        <v>8</v>
      </c>
      <c r="V72">
        <v>112</v>
      </c>
      <c r="W72" s="14">
        <v>0.93330000000000002</v>
      </c>
    </row>
    <row r="73" spans="1:23">
      <c r="A73" s="1">
        <v>2019</v>
      </c>
      <c r="B73" s="1"/>
      <c r="C73" s="1"/>
      <c r="D73" s="29"/>
      <c r="E73" s="1"/>
      <c r="F73" s="1"/>
      <c r="G73" s="1"/>
      <c r="H73" s="1"/>
      <c r="I73" s="1"/>
      <c r="J73" s="1"/>
      <c r="K73" s="29"/>
      <c r="L73">
        <v>81</v>
      </c>
      <c r="M73">
        <v>19</v>
      </c>
      <c r="N73">
        <v>62</v>
      </c>
      <c r="O73">
        <v>76.540000000000006</v>
      </c>
      <c r="P73">
        <v>457</v>
      </c>
      <c r="Q73">
        <v>64</v>
      </c>
      <c r="R73">
        <v>393</v>
      </c>
      <c r="S73" s="14">
        <v>0.86</v>
      </c>
      <c r="T73">
        <v>109</v>
      </c>
      <c r="U73">
        <v>12</v>
      </c>
      <c r="V73">
        <v>97</v>
      </c>
      <c r="W73" s="14">
        <v>0.88990000000000002</v>
      </c>
    </row>
    <row r="74" spans="1:23">
      <c r="A74" s="1">
        <v>2020</v>
      </c>
      <c r="B74" s="1"/>
      <c r="C74" s="29"/>
      <c r="D74" s="29"/>
      <c r="E74" s="1"/>
      <c r="F74" s="1"/>
      <c r="G74" s="1"/>
      <c r="H74" s="1"/>
      <c r="I74" s="1"/>
      <c r="J74" s="29"/>
    </row>
    <row r="75" spans="1:23">
      <c r="A75" s="1">
        <v>2021</v>
      </c>
      <c r="B75" s="1"/>
      <c r="C75" s="29"/>
      <c r="D75" s="29"/>
      <c r="E75" s="1"/>
      <c r="F75" s="1"/>
      <c r="G75" s="1"/>
      <c r="H75" s="1"/>
      <c r="I75" s="1"/>
      <c r="J75" s="29"/>
    </row>
    <row r="76" spans="1:23">
      <c r="A76" s="1">
        <v>2022</v>
      </c>
      <c r="B76" s="1"/>
      <c r="C76" s="29"/>
      <c r="D76" s="29"/>
      <c r="E76" s="1"/>
      <c r="F76" s="1"/>
      <c r="G76" s="1"/>
      <c r="H76" s="1"/>
      <c r="I76" s="1"/>
      <c r="J76" s="1"/>
    </row>
    <row r="77" spans="1:23">
      <c r="A77" s="1">
        <v>2023</v>
      </c>
      <c r="D77" s="30">
        <v>0.75</v>
      </c>
    </row>
    <row r="78" spans="1:23">
      <c r="A78" s="1">
        <v>2024</v>
      </c>
      <c r="D78" s="33"/>
    </row>
    <row r="79" spans="1:23">
      <c r="D79" s="33"/>
    </row>
  </sheetData>
  <mergeCells count="7">
    <mergeCell ref="A1:A3"/>
    <mergeCell ref="L2:O2"/>
    <mergeCell ref="B1:K1"/>
    <mergeCell ref="B2:D2"/>
    <mergeCell ref="E2:G2"/>
    <mergeCell ref="I2:K2"/>
    <mergeCell ref="L1:U1"/>
  </mergeCells>
  <hyperlinks>
    <hyperlink ref="L1" r:id="rId1" display="Zurich" xr:uid="{00000000-0004-0000-1F00-000000000000}"/>
    <hyperlink ref="F35" r:id="rId2" display="RAEStud-90-4-473-498.pdf" xr:uid="{00000000-0004-0000-1F00-000001000000}"/>
    <hyperlink ref="C54" r:id="rId3" location="show_full_texthttps://d.docs.live.net/5141a47629328be6/RAEStud-90-4-473-498.pdf" display="http://docplayer.org/13865971-Die-feminisierung-des-veterinaerwesens-in-der-schweiz.html - show_full_texthttps://d.docs.live.net/5141a47629328be6/RAEStud-90-4-473-498.pdf" xr:uid="{00000000-0004-0000-1F00-000002000000}"/>
    <hyperlink ref="C60" r:id="rId4" location="show_full_text" display="http://docplayer.org/13865971-Die-feminisierung-des-veterinaerwesens-in-der-schweiz.html - show_full_text" xr:uid="{00000000-0004-0000-1F00-000003000000}"/>
    <hyperlink ref="I2:K2" r:id="rId5" display="New registrants - 10 year avg" xr:uid="{00000000-0004-0000-1F00-000004000000}"/>
    <hyperlink ref="H71" r:id="rId6" display="https://sat.gstsvs.ch/de/sat/sat-artikel/archiv/2018/032018/nachfrage-nach-veterinaerstudium-so-hoch-wie-nie.html" xr:uid="{00000000-0004-0000-1F00-000005000000}"/>
    <hyperlink ref="C72" r:id="rId7" display="https://www.gstsvs.ch/fileadmin/user_upload/GST-SVS/Publikationen/Jahresbericht_GST/GST_Jahresbericht_2018_d.pdf" xr:uid="{00000000-0004-0000-1F00-000006000000}"/>
    <hyperlink ref="C71" r:id="rId8" display="https://www.gstsvs.ch/fileadmin/user_upload/GST-SVS/Publikationen/Jahresbericht_GST/GST_Jahresbericht_2017_d.pdfhttps:/d.docs.live.net/5141a47629328be6/Gender in veterinary education leadership - a snapshot of global trends.pptx" xr:uid="{00000000-0004-0000-1F00-000007000000}"/>
    <hyperlink ref="D68" r:id="rId9" display="https://www.colvet.es/files/portalcontenidos/documentos/document-2022-02-09t112347.069.pdf" xr:uid="{C1EDEE2E-2E8F-4D01-8457-A5C450372DBD}"/>
    <hyperlink ref="D77" r:id="rId10" display="https://fve.org/cms/wp-content/uploads/FVE-Survey-2023_updated-v3.pdf" xr:uid="{B5B0A570-DEB8-4DC3-8B32-67E9E30BA529}"/>
  </hyperlinks>
  <pageMargins left="0.7" right="0.7" top="0.75" bottom="0.75" header="0.3" footer="0.3"/>
  <pageSetup orientation="portrait" r:id="rId11"/>
  <legacyDrawing r:id="rId1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1" sqref="B1:G1"/>
    </sheetView>
  </sheetViews>
  <sheetFormatPr defaultRowHeight="14.4"/>
  <cols>
    <col min="1" max="1" width="6.88671875" customWidth="1"/>
    <col min="2" max="5" width="8.88671875" style="1"/>
    <col min="6" max="6" width="12" style="1" bestFit="1" customWidth="1"/>
  </cols>
  <sheetData>
    <row r="1" spans="1:7">
      <c r="A1" s="55" t="s">
        <v>0</v>
      </c>
      <c r="B1" s="53" t="s">
        <v>22</v>
      </c>
      <c r="C1" s="53"/>
      <c r="D1" s="53"/>
      <c r="E1" s="53"/>
      <c r="F1" s="53"/>
      <c r="G1" s="53"/>
    </row>
    <row r="2" spans="1:7">
      <c r="A2" s="55"/>
      <c r="B2" s="54" t="s">
        <v>23</v>
      </c>
      <c r="C2" s="54"/>
      <c r="D2" s="54"/>
      <c r="E2" s="54"/>
      <c r="F2" s="54"/>
      <c r="G2" t="s">
        <v>24</v>
      </c>
    </row>
    <row r="3" spans="1:7">
      <c r="A3" s="55"/>
      <c r="B3" s="1" t="s">
        <v>25</v>
      </c>
      <c r="C3" s="1" t="s">
        <v>26</v>
      </c>
      <c r="D3" s="1" t="s">
        <v>27</v>
      </c>
      <c r="E3" s="1" t="s">
        <v>28</v>
      </c>
      <c r="F3" s="1" t="s">
        <v>29</v>
      </c>
      <c r="G3" s="15" t="s">
        <v>27</v>
      </c>
    </row>
    <row r="4" spans="1:7">
      <c r="A4" s="11">
        <v>1981</v>
      </c>
      <c r="C4" s="15">
        <v>467</v>
      </c>
      <c r="D4" s="29">
        <f>C4/3177</f>
        <v>0.14699401951526597</v>
      </c>
      <c r="F4" s="29"/>
    </row>
    <row r="5" spans="1:7">
      <c r="A5" s="11">
        <v>1982</v>
      </c>
      <c r="D5" s="29"/>
      <c r="F5" s="29"/>
    </row>
    <row r="6" spans="1:7">
      <c r="A6" s="11">
        <v>1983</v>
      </c>
      <c r="D6" s="29"/>
      <c r="F6" s="29"/>
    </row>
    <row r="7" spans="1:7">
      <c r="A7" s="11">
        <v>1984</v>
      </c>
      <c r="D7" s="29"/>
      <c r="F7" s="29"/>
    </row>
    <row r="8" spans="1:7">
      <c r="A8" s="11">
        <v>1985</v>
      </c>
      <c r="D8" s="29"/>
      <c r="F8" s="29"/>
    </row>
    <row r="9" spans="1:7">
      <c r="A9" s="11">
        <v>1986</v>
      </c>
      <c r="D9" s="29"/>
      <c r="F9" s="29"/>
    </row>
    <row r="10" spans="1:7">
      <c r="A10" s="11">
        <v>1987</v>
      </c>
      <c r="D10" s="29"/>
      <c r="F10" s="29"/>
    </row>
    <row r="11" spans="1:7">
      <c r="A11" s="11">
        <v>1988</v>
      </c>
      <c r="D11" s="29"/>
      <c r="F11" s="29"/>
    </row>
    <row r="12" spans="1:7">
      <c r="A12" s="11">
        <v>1989</v>
      </c>
      <c r="D12" s="29"/>
      <c r="F12" s="29"/>
    </row>
    <row r="13" spans="1:7">
      <c r="A13" s="11">
        <v>1990</v>
      </c>
      <c r="D13" s="29"/>
      <c r="F13" s="29"/>
    </row>
    <row r="14" spans="1:7">
      <c r="A14" s="11">
        <v>1991</v>
      </c>
      <c r="C14" s="15">
        <v>1425</v>
      </c>
      <c r="D14" s="29">
        <f>C14/4757</f>
        <v>0.29955854530166071</v>
      </c>
      <c r="F14" s="29"/>
    </row>
    <row r="15" spans="1:7">
      <c r="A15" s="11">
        <v>1992</v>
      </c>
      <c r="D15" s="29"/>
      <c r="F15" s="29"/>
    </row>
    <row r="16" spans="1:7">
      <c r="A16" s="11">
        <v>1993</v>
      </c>
      <c r="D16" s="29"/>
      <c r="F16" s="29"/>
    </row>
    <row r="17" spans="1:6">
      <c r="A17" s="11">
        <v>1994</v>
      </c>
      <c r="D17" s="29"/>
      <c r="F17" s="29"/>
    </row>
    <row r="18" spans="1:6">
      <c r="A18" s="11">
        <v>1995</v>
      </c>
      <c r="D18" s="29"/>
      <c r="F18" s="29"/>
    </row>
    <row r="19" spans="1:6">
      <c r="A19" s="11">
        <v>1996</v>
      </c>
      <c r="D19" s="29"/>
      <c r="F19" s="29"/>
    </row>
    <row r="20" spans="1:6">
      <c r="A20" s="11">
        <v>1997</v>
      </c>
      <c r="D20" s="29"/>
      <c r="F20" s="29"/>
    </row>
    <row r="21" spans="1:6">
      <c r="A21" s="11">
        <v>1998</v>
      </c>
      <c r="D21" s="29"/>
      <c r="F21" s="29"/>
    </row>
    <row r="22" spans="1:6">
      <c r="A22" s="11">
        <v>1999</v>
      </c>
      <c r="D22" s="29"/>
      <c r="F22" s="29"/>
    </row>
    <row r="23" spans="1:6">
      <c r="A23" s="11">
        <v>2000</v>
      </c>
      <c r="D23" s="29"/>
      <c r="F23" s="29"/>
    </row>
    <row r="24" spans="1:6">
      <c r="A24" s="11">
        <v>2001</v>
      </c>
      <c r="C24" s="1">
        <v>2468</v>
      </c>
      <c r="D24" s="29">
        <f>C24/6358</f>
        <v>0.38817238125196601</v>
      </c>
      <c r="F24" s="29"/>
    </row>
    <row r="25" spans="1:6">
      <c r="A25" s="1">
        <v>2002</v>
      </c>
      <c r="D25" s="29"/>
      <c r="F25" s="29"/>
    </row>
    <row r="26" spans="1:6">
      <c r="A26" s="1">
        <v>2003</v>
      </c>
      <c r="D26" s="29"/>
      <c r="F26" s="29"/>
    </row>
    <row r="27" spans="1:6">
      <c r="A27" s="1">
        <v>2004</v>
      </c>
      <c r="D27" s="29"/>
      <c r="F27" s="29"/>
    </row>
    <row r="28" spans="1:6">
      <c r="A28" s="1">
        <v>2005</v>
      </c>
      <c r="D28" s="29"/>
      <c r="F28" s="29"/>
    </row>
    <row r="29" spans="1:6">
      <c r="A29" s="1">
        <v>2006</v>
      </c>
      <c r="B29"/>
      <c r="C29" s="15">
        <f>7510*D29</f>
        <v>3454.6000000000004</v>
      </c>
      <c r="D29" s="29">
        <v>0.46</v>
      </c>
      <c r="F29" s="29"/>
    </row>
    <row r="30" spans="1:6">
      <c r="A30" s="1">
        <v>2007</v>
      </c>
      <c r="D30" s="29"/>
      <c r="F30" s="29"/>
    </row>
    <row r="31" spans="1:6">
      <c r="A31" s="1">
        <v>2008</v>
      </c>
      <c r="D31" s="29"/>
      <c r="F31" s="29"/>
    </row>
    <row r="32" spans="1:6">
      <c r="A32" s="1">
        <v>2009</v>
      </c>
      <c r="D32" s="29"/>
      <c r="F32" s="29"/>
    </row>
    <row r="33" spans="1:7">
      <c r="A33" s="1">
        <v>2010</v>
      </c>
      <c r="D33" s="29"/>
      <c r="F33" s="29"/>
    </row>
    <row r="34" spans="1:7">
      <c r="A34" s="1">
        <v>2011</v>
      </c>
      <c r="D34" s="29"/>
      <c r="F34" s="29"/>
    </row>
    <row r="35" spans="1:7">
      <c r="A35" s="1">
        <v>2012</v>
      </c>
      <c r="B35" s="1">
        <v>1447</v>
      </c>
      <c r="C35" s="1">
        <v>783</v>
      </c>
      <c r="D35" s="29">
        <f>(C35/(C35+529))</f>
        <v>0.59679878048780488</v>
      </c>
      <c r="F35" s="29"/>
    </row>
    <row r="36" spans="1:7">
      <c r="A36" s="1">
        <v>2013</v>
      </c>
      <c r="B36">
        <v>2976</v>
      </c>
      <c r="C36">
        <v>1277</v>
      </c>
      <c r="D36" s="29">
        <f>(C36/(C36+869))</f>
        <v>0.59506057781919852</v>
      </c>
      <c r="F36" s="29"/>
    </row>
    <row r="37" spans="1:7">
      <c r="A37" s="1">
        <v>2014</v>
      </c>
      <c r="B37" s="1">
        <v>2572</v>
      </c>
      <c r="C37" s="1">
        <v>1054</v>
      </c>
      <c r="D37" s="29">
        <f>(C37/(C37+707))</f>
        <v>0.59852356615559343</v>
      </c>
      <c r="F37" s="29"/>
    </row>
    <row r="38" spans="1:7">
      <c r="A38" s="1">
        <v>2015</v>
      </c>
      <c r="D38" s="29"/>
      <c r="F38" s="29"/>
    </row>
    <row r="39" spans="1:7">
      <c r="A39" s="1">
        <v>2016</v>
      </c>
      <c r="B39" s="1">
        <v>1601</v>
      </c>
      <c r="C39" s="1">
        <v>986</v>
      </c>
      <c r="D39" s="33">
        <f>C39/B39</f>
        <v>0.61586508432229858</v>
      </c>
      <c r="E39" s="1">
        <v>8</v>
      </c>
      <c r="F39" s="29">
        <f>(E39/B39)</f>
        <v>4.996876951905059E-3</v>
      </c>
      <c r="G39" s="30">
        <v>0.8</v>
      </c>
    </row>
    <row r="40" spans="1:7">
      <c r="A40" s="1">
        <v>2017</v>
      </c>
      <c r="D40" s="33"/>
      <c r="F40" s="29"/>
    </row>
    <row r="41" spans="1:7">
      <c r="A41" s="1">
        <v>2018</v>
      </c>
      <c r="B41">
        <v>1236</v>
      </c>
      <c r="C41">
        <v>824</v>
      </c>
      <c r="D41" s="33">
        <f>C41/B41</f>
        <v>0.66666666666666663</v>
      </c>
      <c r="E41" s="1">
        <v>5</v>
      </c>
      <c r="F41" s="29">
        <f>(E41/B41)</f>
        <v>4.0453074433656954E-3</v>
      </c>
    </row>
    <row r="42" spans="1:7">
      <c r="A42" s="1">
        <v>2019</v>
      </c>
      <c r="D42" s="29"/>
      <c r="F42" s="29"/>
    </row>
    <row r="43" spans="1:7">
      <c r="A43" s="1">
        <v>2020</v>
      </c>
      <c r="D43" s="29"/>
      <c r="F43" s="29"/>
    </row>
    <row r="44" spans="1:7">
      <c r="A44" s="1">
        <v>2021</v>
      </c>
    </row>
    <row r="45" spans="1:7">
      <c r="A45" s="1"/>
    </row>
  </sheetData>
  <mergeCells count="3">
    <mergeCell ref="A1:A3"/>
    <mergeCell ref="B2:F2"/>
    <mergeCell ref="B1:G1"/>
  </mergeCells>
  <hyperlinks>
    <hyperlink ref="B2" r:id="rId1" xr:uid="{00000000-0004-0000-0200-000000000000}"/>
    <hyperlink ref="C4" r:id="rId2" display="https://sci-hubtw.hkvisa.net/10.1111/j.1751-0813.2002.tb10995.x" xr:uid="{00000000-0004-0000-0200-000001000000}"/>
    <hyperlink ref="C14" r:id="rId3" display="https://sci-hubtw.hkvisa.net/10.1111/j.1751-0813.2002.tb10995.x" xr:uid="{00000000-0004-0000-0200-000002000000}"/>
    <hyperlink ref="C29" r:id="rId4" display="https://sci-hubtw.hkvisa.net/10.1111/j.1751-0813.2008.00314.x" xr:uid="{00000000-0004-0000-0200-000003000000}"/>
    <hyperlink ref="G39" r:id="rId5" display="C:\Users\Neil\Zotero\storage\EXMNBKZJ\women-in-the-veterinary-industry.html" xr:uid="{00000000-0004-0000-0200-000004000000}"/>
    <hyperlink ref="G3" r:id="rId6" xr:uid="{00000000-0004-0000-0200-000005000000}"/>
  </hyperlinks>
  <pageMargins left="0.7" right="0.7" top="0.75" bottom="0.75" header="0.3" footer="0.3"/>
  <legacyDrawing r:id="rId7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D90"/>
  <sheetViews>
    <sheetView workbookViewId="0">
      <pane xSplit="1" ySplit="3" topLeftCell="B70" activePane="bottomRight" state="frozen"/>
      <selection pane="topRight" activeCell="B1" sqref="B1"/>
      <selection pane="bottomLeft" activeCell="A4" sqref="A4"/>
      <selection pane="bottomRight" activeCell="B79" sqref="B79"/>
    </sheetView>
  </sheetViews>
  <sheetFormatPr defaultRowHeight="14.4"/>
  <cols>
    <col min="1" max="2" width="6.88671875" customWidth="1"/>
    <col min="3" max="5" width="8.88671875" style="1"/>
  </cols>
  <sheetData>
    <row r="1" spans="1:108">
      <c r="A1" s="55" t="s">
        <v>0</v>
      </c>
      <c r="B1" s="49"/>
      <c r="C1" s="53" t="s">
        <v>137</v>
      </c>
      <c r="D1" s="53"/>
      <c r="E1" s="53"/>
    </row>
    <row r="2" spans="1:108">
      <c r="A2" s="55"/>
      <c r="B2" s="49" t="s">
        <v>23</v>
      </c>
      <c r="C2" s="53" t="s">
        <v>32</v>
      </c>
      <c r="D2" s="53"/>
      <c r="E2" s="27" t="s">
        <v>138</v>
      </c>
      <c r="G2" s="52" t="s">
        <v>190</v>
      </c>
      <c r="H2" s="52"/>
      <c r="I2" s="52"/>
      <c r="J2" s="52" t="s">
        <v>158</v>
      </c>
      <c r="K2" s="52"/>
      <c r="L2" s="52"/>
      <c r="M2" s="52" t="s">
        <v>159</v>
      </c>
      <c r="N2" s="52"/>
      <c r="O2" s="52"/>
      <c r="P2" s="52" t="s">
        <v>160</v>
      </c>
      <c r="Q2" s="52"/>
      <c r="R2" s="52"/>
      <c r="S2" t="s">
        <v>160</v>
      </c>
      <c r="V2" t="s">
        <v>161</v>
      </c>
      <c r="Y2" t="s">
        <v>162</v>
      </c>
      <c r="AB2" t="s">
        <v>163</v>
      </c>
      <c r="AE2" t="s">
        <v>164</v>
      </c>
      <c r="AH2" t="s">
        <v>165</v>
      </c>
      <c r="AK2" t="s">
        <v>166</v>
      </c>
      <c r="AN2" t="s">
        <v>167</v>
      </c>
      <c r="AQ2" t="s">
        <v>168</v>
      </c>
      <c r="AT2" t="s">
        <v>169</v>
      </c>
      <c r="AW2" t="s">
        <v>170</v>
      </c>
      <c r="AZ2" t="s">
        <v>171</v>
      </c>
      <c r="BC2" t="s">
        <v>172</v>
      </c>
      <c r="BF2" t="s">
        <v>173</v>
      </c>
      <c r="BI2" t="s">
        <v>174</v>
      </c>
      <c r="BL2" t="s">
        <v>175</v>
      </c>
      <c r="BO2" t="s">
        <v>176</v>
      </c>
      <c r="BR2" t="s">
        <v>177</v>
      </c>
      <c r="BV2" t="s">
        <v>178</v>
      </c>
      <c r="BX2" t="s">
        <v>179</v>
      </c>
      <c r="CA2" t="s">
        <v>180</v>
      </c>
      <c r="CD2" t="s">
        <v>181</v>
      </c>
      <c r="CG2" t="s">
        <v>182</v>
      </c>
      <c r="CJ2" t="s">
        <v>183</v>
      </c>
      <c r="CM2" t="s">
        <v>184</v>
      </c>
      <c r="CP2" t="s">
        <v>185</v>
      </c>
      <c r="CS2" t="s">
        <v>186</v>
      </c>
      <c r="CV2" t="s">
        <v>187</v>
      </c>
      <c r="CY2" t="s">
        <v>188</v>
      </c>
      <c r="DB2" t="s">
        <v>189</v>
      </c>
    </row>
    <row r="3" spans="1:108">
      <c r="A3" s="55"/>
      <c r="B3" s="49" t="s">
        <v>3</v>
      </c>
      <c r="C3" s="1" t="s">
        <v>43</v>
      </c>
      <c r="D3" s="1" t="s">
        <v>44</v>
      </c>
      <c r="E3" s="1" t="s">
        <v>44</v>
      </c>
      <c r="G3" s="1" t="s">
        <v>42</v>
      </c>
      <c r="H3" s="1" t="s">
        <v>43</v>
      </c>
      <c r="I3" s="1" t="s">
        <v>44</v>
      </c>
      <c r="J3" s="1" t="s">
        <v>42</v>
      </c>
      <c r="K3" s="1" t="s">
        <v>43</v>
      </c>
      <c r="L3" s="1" t="s">
        <v>44</v>
      </c>
      <c r="M3" s="1" t="s">
        <v>42</v>
      </c>
      <c r="N3" s="1" t="s">
        <v>43</v>
      </c>
      <c r="O3" s="1" t="s">
        <v>44</v>
      </c>
      <c r="P3" s="1" t="s">
        <v>42</v>
      </c>
      <c r="Q3" s="1" t="s">
        <v>43</v>
      </c>
      <c r="R3" s="1" t="s">
        <v>44</v>
      </c>
      <c r="S3" s="1" t="s">
        <v>42</v>
      </c>
      <c r="T3" s="1" t="s">
        <v>43</v>
      </c>
      <c r="U3" s="1" t="s">
        <v>44</v>
      </c>
      <c r="V3" s="1" t="s">
        <v>42</v>
      </c>
      <c r="W3" s="1" t="s">
        <v>43</v>
      </c>
      <c r="X3" s="1" t="s">
        <v>44</v>
      </c>
      <c r="Y3" s="1" t="s">
        <v>42</v>
      </c>
      <c r="Z3" s="1" t="s">
        <v>43</v>
      </c>
      <c r="AA3" s="1" t="s">
        <v>44</v>
      </c>
      <c r="AB3" s="1" t="s">
        <v>42</v>
      </c>
      <c r="AC3" s="1" t="s">
        <v>43</v>
      </c>
      <c r="AD3" s="1" t="s">
        <v>44</v>
      </c>
      <c r="AE3" s="1" t="s">
        <v>42</v>
      </c>
      <c r="AF3" s="1" t="s">
        <v>43</v>
      </c>
      <c r="AG3" s="1" t="s">
        <v>44</v>
      </c>
      <c r="AH3" s="1" t="s">
        <v>42</v>
      </c>
      <c r="AI3" s="1" t="s">
        <v>43</v>
      </c>
      <c r="AJ3" s="1" t="s">
        <v>44</v>
      </c>
      <c r="AK3" s="1" t="s">
        <v>42</v>
      </c>
      <c r="AL3" s="1" t="s">
        <v>43</v>
      </c>
      <c r="AM3" s="1" t="s">
        <v>44</v>
      </c>
      <c r="AN3" s="1" t="s">
        <v>42</v>
      </c>
      <c r="AO3" s="1" t="s">
        <v>43</v>
      </c>
      <c r="AP3" s="1" t="s">
        <v>44</v>
      </c>
      <c r="AQ3" s="1" t="s">
        <v>42</v>
      </c>
      <c r="AR3" s="1" t="s">
        <v>43</v>
      </c>
      <c r="AS3" s="1" t="s">
        <v>44</v>
      </c>
      <c r="AT3" s="1" t="s">
        <v>42</v>
      </c>
      <c r="AU3" s="1" t="s">
        <v>43</v>
      </c>
      <c r="AV3" s="1" t="s">
        <v>44</v>
      </c>
      <c r="AW3" s="1" t="s">
        <v>42</v>
      </c>
      <c r="AX3" s="1" t="s">
        <v>43</v>
      </c>
      <c r="AY3" s="1" t="s">
        <v>44</v>
      </c>
      <c r="AZ3" s="1" t="s">
        <v>42</v>
      </c>
      <c r="BA3" s="1" t="s">
        <v>43</v>
      </c>
      <c r="BB3" s="1" t="s">
        <v>44</v>
      </c>
      <c r="BC3" s="1" t="s">
        <v>42</v>
      </c>
      <c r="BD3" s="1" t="s">
        <v>43</v>
      </c>
      <c r="BE3" s="1" t="s">
        <v>44</v>
      </c>
      <c r="BF3" s="1" t="s">
        <v>42</v>
      </c>
      <c r="BG3" s="1" t="s">
        <v>43</v>
      </c>
      <c r="BH3" s="1" t="s">
        <v>44</v>
      </c>
      <c r="BI3" s="1" t="s">
        <v>42</v>
      </c>
      <c r="BJ3" s="1" t="s">
        <v>43</v>
      </c>
      <c r="BK3" s="1" t="s">
        <v>44</v>
      </c>
      <c r="BL3" s="1" t="s">
        <v>42</v>
      </c>
      <c r="BM3" s="1" t="s">
        <v>43</v>
      </c>
      <c r="BN3" s="1" t="s">
        <v>44</v>
      </c>
      <c r="BO3" s="1" t="s">
        <v>42</v>
      </c>
      <c r="BP3" s="1" t="s">
        <v>43</v>
      </c>
      <c r="BQ3" s="1" t="s">
        <v>44</v>
      </c>
      <c r="BR3" s="1" t="s">
        <v>42</v>
      </c>
      <c r="BS3" s="1" t="s">
        <v>43</v>
      </c>
      <c r="BT3" s="1" t="s">
        <v>44</v>
      </c>
      <c r="BU3" s="1" t="s">
        <v>42</v>
      </c>
      <c r="BV3" s="1" t="s">
        <v>43</v>
      </c>
      <c r="BW3" s="1" t="s">
        <v>44</v>
      </c>
      <c r="BX3" s="1" t="s">
        <v>42</v>
      </c>
      <c r="BY3" s="1" t="s">
        <v>43</v>
      </c>
      <c r="BZ3" s="1" t="s">
        <v>44</v>
      </c>
      <c r="CA3" s="1" t="s">
        <v>42</v>
      </c>
      <c r="CB3" s="1" t="s">
        <v>43</v>
      </c>
      <c r="CC3" s="1" t="s">
        <v>44</v>
      </c>
      <c r="CD3" s="1" t="s">
        <v>42</v>
      </c>
      <c r="CE3" s="1" t="s">
        <v>43</v>
      </c>
      <c r="CF3" s="1" t="s">
        <v>44</v>
      </c>
      <c r="CG3" s="1" t="s">
        <v>42</v>
      </c>
      <c r="CH3" s="1" t="s">
        <v>43</v>
      </c>
      <c r="CI3" s="1" t="s">
        <v>44</v>
      </c>
      <c r="CJ3" s="1" t="s">
        <v>42</v>
      </c>
      <c r="CK3" s="1" t="s">
        <v>43</v>
      </c>
      <c r="CL3" s="1" t="s">
        <v>44</v>
      </c>
      <c r="CM3" s="1" t="s">
        <v>42</v>
      </c>
      <c r="CN3" s="1" t="s">
        <v>43</v>
      </c>
      <c r="CO3" s="1" t="s">
        <v>44</v>
      </c>
      <c r="CP3" s="1" t="s">
        <v>42</v>
      </c>
      <c r="CQ3" s="1" t="s">
        <v>43</v>
      </c>
      <c r="CR3" s="1" t="s">
        <v>44</v>
      </c>
      <c r="CS3" s="1" t="s">
        <v>42</v>
      </c>
      <c r="CT3" s="1" t="s">
        <v>43</v>
      </c>
      <c r="CU3" s="1" t="s">
        <v>44</v>
      </c>
      <c r="CV3" s="1" t="s">
        <v>42</v>
      </c>
      <c r="CW3" s="1" t="s">
        <v>43</v>
      </c>
      <c r="CX3" s="1" t="s">
        <v>44</v>
      </c>
      <c r="CY3" s="1" t="s">
        <v>42</v>
      </c>
      <c r="CZ3" s="1" t="s">
        <v>43</v>
      </c>
      <c r="DA3" s="1" t="s">
        <v>44</v>
      </c>
      <c r="DB3" s="1" t="s">
        <v>42</v>
      </c>
      <c r="DC3" s="1" t="s">
        <v>43</v>
      </c>
      <c r="DD3" s="1" t="s">
        <v>44</v>
      </c>
    </row>
    <row r="4" spans="1:108">
      <c r="A4" s="1">
        <v>1939</v>
      </c>
      <c r="B4" s="29"/>
      <c r="E4" s="1">
        <v>6.9000000000000006E-2</v>
      </c>
      <c r="AC4" s="1"/>
    </row>
    <row r="5" spans="1:108">
      <c r="A5" s="1">
        <v>1940</v>
      </c>
      <c r="B5" s="29"/>
      <c r="AC5" s="1"/>
    </row>
    <row r="6" spans="1:108">
      <c r="A6" s="1">
        <v>1941</v>
      </c>
      <c r="B6" s="29"/>
      <c r="AC6" s="1"/>
    </row>
    <row r="7" spans="1:108">
      <c r="A7" s="1">
        <v>1942</v>
      </c>
      <c r="B7" s="29"/>
      <c r="AC7" s="1"/>
    </row>
    <row r="8" spans="1:108">
      <c r="A8" s="1">
        <v>1943</v>
      </c>
      <c r="B8" s="29"/>
      <c r="AC8" s="1"/>
    </row>
    <row r="9" spans="1:108">
      <c r="A9" s="1">
        <v>1944</v>
      </c>
      <c r="B9" s="29"/>
      <c r="E9" s="1">
        <v>7.5999999999999998E-2</v>
      </c>
      <c r="AC9" s="1"/>
    </row>
    <row r="10" spans="1:108">
      <c r="A10" s="1">
        <v>1945</v>
      </c>
      <c r="B10" s="29"/>
      <c r="AC10" s="1"/>
    </row>
    <row r="11" spans="1:108">
      <c r="A11" s="1">
        <v>1946</v>
      </c>
      <c r="B11" s="29"/>
      <c r="AC11" s="1"/>
    </row>
    <row r="12" spans="1:108">
      <c r="A12" s="1">
        <v>1947</v>
      </c>
      <c r="B12" s="29"/>
      <c r="AC12" s="1"/>
    </row>
    <row r="13" spans="1:108">
      <c r="A13" s="1">
        <v>1948</v>
      </c>
      <c r="B13" s="29"/>
      <c r="AC13" s="1"/>
    </row>
    <row r="14" spans="1:108">
      <c r="A14" s="1">
        <v>1949</v>
      </c>
      <c r="B14" s="29"/>
      <c r="E14" s="1">
        <v>5.5E-2</v>
      </c>
      <c r="AC14" s="1"/>
    </row>
    <row r="15" spans="1:108">
      <c r="A15" s="1">
        <v>1950</v>
      </c>
      <c r="B15" s="29"/>
      <c r="AC15" s="1"/>
    </row>
    <row r="16" spans="1:108">
      <c r="A16" s="1">
        <v>1951</v>
      </c>
      <c r="B16" s="29"/>
      <c r="AC16" s="1"/>
    </row>
    <row r="17" spans="1:29">
      <c r="A17" s="1">
        <v>1952</v>
      </c>
      <c r="B17" s="29"/>
      <c r="AC17" s="1"/>
    </row>
    <row r="18" spans="1:29">
      <c r="A18" s="1">
        <v>1953</v>
      </c>
      <c r="B18" s="29"/>
      <c r="AC18" s="1"/>
    </row>
    <row r="19" spans="1:29">
      <c r="A19" s="1">
        <v>1954</v>
      </c>
      <c r="B19" s="29"/>
      <c r="E19" s="1">
        <v>1.6E-2</v>
      </c>
      <c r="AC19" s="1"/>
    </row>
    <row r="20" spans="1:29">
      <c r="A20" s="1">
        <v>1955</v>
      </c>
      <c r="B20" s="29"/>
      <c r="AC20" s="1"/>
    </row>
    <row r="21" spans="1:29">
      <c r="A21" s="1">
        <v>1956</v>
      </c>
      <c r="B21" s="29"/>
      <c r="AC21" s="1"/>
    </row>
    <row r="22" spans="1:29">
      <c r="A22" s="1">
        <v>1957</v>
      </c>
      <c r="B22" s="29"/>
      <c r="AC22" s="1"/>
    </row>
    <row r="23" spans="1:29">
      <c r="A23" s="1">
        <v>1958</v>
      </c>
      <c r="B23" s="29"/>
      <c r="AC23" s="1"/>
    </row>
    <row r="24" spans="1:29">
      <c r="A24" s="1">
        <v>1959</v>
      </c>
      <c r="B24" s="29"/>
      <c r="E24" s="1">
        <v>1.6E-2</v>
      </c>
      <c r="AC24" s="1"/>
    </row>
    <row r="25" spans="1:29">
      <c r="A25" s="1">
        <v>1960</v>
      </c>
      <c r="B25" s="29"/>
      <c r="AC25" s="1"/>
    </row>
    <row r="26" spans="1:29">
      <c r="A26" s="1">
        <v>1961</v>
      </c>
      <c r="B26" s="29"/>
      <c r="AC26" s="1"/>
    </row>
    <row r="27" spans="1:29">
      <c r="A27" s="1">
        <v>1962</v>
      </c>
      <c r="B27" s="29"/>
      <c r="AC27" s="1"/>
    </row>
    <row r="28" spans="1:29">
      <c r="A28" s="1">
        <v>1963</v>
      </c>
      <c r="B28" s="29"/>
      <c r="AC28" s="1"/>
    </row>
    <row r="29" spans="1:29">
      <c r="A29" s="1">
        <v>1964</v>
      </c>
      <c r="B29" s="29"/>
      <c r="E29" s="1">
        <v>8.5999999999999993E-2</v>
      </c>
      <c r="AC29" s="1"/>
    </row>
    <row r="30" spans="1:29">
      <c r="A30" s="1">
        <v>1965</v>
      </c>
      <c r="B30" s="29"/>
      <c r="AC30" s="1"/>
    </row>
    <row r="31" spans="1:29">
      <c r="A31" s="1">
        <v>1966</v>
      </c>
      <c r="B31" s="29"/>
      <c r="AC31" s="1"/>
    </row>
    <row r="32" spans="1:29">
      <c r="A32" s="1">
        <v>1967</v>
      </c>
      <c r="B32" s="29"/>
      <c r="AC32" s="1"/>
    </row>
    <row r="33" spans="1:29">
      <c r="A33" s="1">
        <v>1968</v>
      </c>
      <c r="B33" s="29"/>
      <c r="AC33" s="1"/>
    </row>
    <row r="34" spans="1:29">
      <c r="A34" s="1">
        <v>1969</v>
      </c>
      <c r="B34" s="29"/>
      <c r="E34" s="1">
        <v>9.4E-2</v>
      </c>
      <c r="AC34" s="1"/>
    </row>
    <row r="35" spans="1:29">
      <c r="A35" s="1">
        <v>1970</v>
      </c>
      <c r="B35" s="29"/>
      <c r="AC35" s="1"/>
    </row>
    <row r="36" spans="1:29">
      <c r="A36" s="1">
        <v>1971</v>
      </c>
      <c r="B36" s="29"/>
      <c r="AC36" s="1"/>
    </row>
    <row r="37" spans="1:29">
      <c r="A37" s="1">
        <v>1972</v>
      </c>
      <c r="B37" s="29"/>
      <c r="AC37" s="1"/>
    </row>
    <row r="38" spans="1:29">
      <c r="A38" s="1">
        <v>1973</v>
      </c>
      <c r="B38" s="29"/>
      <c r="AC38" s="1"/>
    </row>
    <row r="39" spans="1:29">
      <c r="A39" s="1">
        <v>1974</v>
      </c>
      <c r="B39" s="29"/>
      <c r="E39" s="1">
        <v>0.06</v>
      </c>
      <c r="AC39" s="1"/>
    </row>
    <row r="40" spans="1:29">
      <c r="A40" s="1">
        <v>1975</v>
      </c>
      <c r="B40" s="29"/>
      <c r="C40" s="1">
        <v>11</v>
      </c>
      <c r="D40" s="9">
        <v>0.08</v>
      </c>
      <c r="E40" s="9"/>
      <c r="AC40" s="1"/>
    </row>
    <row r="41" spans="1:29">
      <c r="A41" s="1">
        <v>1976</v>
      </c>
      <c r="B41" s="29"/>
      <c r="C41" s="1">
        <v>4</v>
      </c>
      <c r="D41" s="9">
        <v>4.2999999999999997E-2</v>
      </c>
      <c r="E41" s="9"/>
      <c r="AC41" s="1"/>
    </row>
    <row r="42" spans="1:29">
      <c r="A42" s="1">
        <v>1977</v>
      </c>
      <c r="B42" s="29"/>
      <c r="C42" s="1">
        <v>3</v>
      </c>
      <c r="D42" s="9">
        <v>2.3E-2</v>
      </c>
      <c r="E42" s="9"/>
      <c r="AC42" s="1"/>
    </row>
    <row r="43" spans="1:29">
      <c r="A43" s="11">
        <v>1978</v>
      </c>
      <c r="B43" s="50"/>
      <c r="C43" s="1">
        <v>6</v>
      </c>
      <c r="D43" s="9">
        <v>2.7000000000000003E-2</v>
      </c>
      <c r="E43" s="9"/>
      <c r="AC43" s="1"/>
    </row>
    <row r="44" spans="1:29">
      <c r="A44" s="11">
        <v>1979</v>
      </c>
      <c r="B44" s="50"/>
      <c r="C44" s="1">
        <v>16</v>
      </c>
      <c r="D44" s="9">
        <v>7.2000000000000008E-2</v>
      </c>
      <c r="E44" s="9"/>
      <c r="AC44" s="1"/>
    </row>
    <row r="45" spans="1:29">
      <c r="A45" s="11">
        <v>1980</v>
      </c>
      <c r="B45" s="50"/>
      <c r="C45" s="1">
        <v>16</v>
      </c>
      <c r="D45" s="9">
        <v>8.199999999999999E-2</v>
      </c>
      <c r="E45" s="9"/>
      <c r="AC45" s="1"/>
    </row>
    <row r="46" spans="1:29">
      <c r="A46" s="11">
        <v>1981</v>
      </c>
      <c r="B46" s="50"/>
      <c r="C46" s="24">
        <v>16</v>
      </c>
      <c r="D46" s="25">
        <v>9.9000000000000005E-2</v>
      </c>
      <c r="E46" s="25"/>
      <c r="AC46" s="1"/>
    </row>
    <row r="47" spans="1:29">
      <c r="A47" s="11">
        <v>1982</v>
      </c>
      <c r="B47" s="50"/>
      <c r="C47" s="24">
        <v>19</v>
      </c>
      <c r="D47" s="25">
        <v>8.3000000000000004E-2</v>
      </c>
      <c r="E47" s="25"/>
      <c r="AC47" s="1"/>
    </row>
    <row r="48" spans="1:29">
      <c r="A48" s="11">
        <v>1983</v>
      </c>
      <c r="B48" s="50"/>
      <c r="C48" s="24">
        <v>34</v>
      </c>
      <c r="D48" s="25">
        <v>0.17800000000000002</v>
      </c>
      <c r="E48" s="25"/>
      <c r="AC48" s="1"/>
    </row>
    <row r="49" spans="1:29">
      <c r="A49" s="11">
        <v>1984</v>
      </c>
      <c r="B49" s="50"/>
      <c r="C49" s="24">
        <v>33</v>
      </c>
      <c r="D49" s="25">
        <v>0.13699999999999998</v>
      </c>
      <c r="E49" s="25"/>
      <c r="AC49" s="1"/>
    </row>
    <row r="50" spans="1:29">
      <c r="A50" s="11">
        <v>1985</v>
      </c>
      <c r="B50" s="50"/>
      <c r="C50" s="24">
        <v>46</v>
      </c>
      <c r="D50" s="25">
        <v>0.16</v>
      </c>
      <c r="E50" s="25"/>
      <c r="AC50" s="1"/>
    </row>
    <row r="51" spans="1:29">
      <c r="A51" s="11">
        <v>1986</v>
      </c>
      <c r="B51" s="50"/>
      <c r="C51" s="24">
        <v>75</v>
      </c>
      <c r="D51" s="25">
        <v>0.20800000000000002</v>
      </c>
      <c r="E51" s="25"/>
      <c r="AC51" s="1"/>
    </row>
    <row r="52" spans="1:29">
      <c r="A52" s="11">
        <v>1987</v>
      </c>
      <c r="B52" s="50"/>
      <c r="C52" s="24">
        <v>83</v>
      </c>
      <c r="D52" s="25">
        <v>0.152</v>
      </c>
      <c r="E52" s="25"/>
      <c r="AC52" s="1"/>
    </row>
    <row r="53" spans="1:29">
      <c r="A53" s="11">
        <v>1988</v>
      </c>
      <c r="B53" s="50"/>
      <c r="C53" s="24">
        <v>87</v>
      </c>
      <c r="D53" s="25">
        <v>0.13</v>
      </c>
      <c r="E53" s="25"/>
      <c r="AC53" s="1"/>
    </row>
    <row r="54" spans="1:29">
      <c r="A54" s="11">
        <v>1989</v>
      </c>
      <c r="B54" s="50"/>
      <c r="C54" s="24">
        <v>90</v>
      </c>
      <c r="D54" s="25">
        <v>0.128</v>
      </c>
      <c r="E54" s="25"/>
      <c r="AC54" s="1"/>
    </row>
    <row r="55" spans="1:29">
      <c r="A55" s="11">
        <v>1990</v>
      </c>
      <c r="B55" s="50"/>
      <c r="C55" s="24">
        <v>112</v>
      </c>
      <c r="D55" s="25">
        <v>0.16899999999999998</v>
      </c>
      <c r="E55" s="25"/>
      <c r="AC55" s="1"/>
    </row>
    <row r="56" spans="1:29">
      <c r="A56" s="11">
        <v>1991</v>
      </c>
      <c r="B56" s="50"/>
      <c r="C56" s="24">
        <v>83</v>
      </c>
      <c r="D56" s="25">
        <v>0.106</v>
      </c>
      <c r="E56" s="25"/>
      <c r="AC56" s="1"/>
    </row>
    <row r="57" spans="1:29">
      <c r="A57" s="11">
        <v>1992</v>
      </c>
      <c r="B57" s="50"/>
      <c r="C57" s="24">
        <v>117</v>
      </c>
      <c r="D57" s="25">
        <v>0.157</v>
      </c>
      <c r="E57" s="25"/>
      <c r="AC57" s="1"/>
    </row>
    <row r="58" spans="1:29">
      <c r="A58" s="11">
        <v>1993</v>
      </c>
      <c r="B58" s="50"/>
      <c r="C58" s="24">
        <v>162</v>
      </c>
      <c r="D58" s="25">
        <v>0.20199999999999999</v>
      </c>
      <c r="E58" s="25"/>
      <c r="AC58" s="1"/>
    </row>
    <row r="59" spans="1:29">
      <c r="A59" s="11">
        <v>1994</v>
      </c>
      <c r="B59" s="50"/>
      <c r="C59" s="24">
        <v>147</v>
      </c>
      <c r="D59" s="25">
        <v>0.19500000000000001</v>
      </c>
      <c r="E59" s="25"/>
      <c r="AC59" s="1"/>
    </row>
    <row r="60" spans="1:29">
      <c r="A60" s="11">
        <v>1995</v>
      </c>
      <c r="B60" s="50"/>
      <c r="C60" s="24">
        <v>170</v>
      </c>
      <c r="D60" s="25">
        <v>0.252</v>
      </c>
      <c r="E60" s="25"/>
      <c r="AC60" s="1"/>
    </row>
    <row r="61" spans="1:29">
      <c r="A61" s="11">
        <v>1996</v>
      </c>
      <c r="B61" s="50"/>
      <c r="C61" s="24">
        <v>175</v>
      </c>
      <c r="D61" s="25">
        <v>0.23800000000000002</v>
      </c>
      <c r="E61" s="25"/>
      <c r="AC61" s="1"/>
    </row>
    <row r="62" spans="1:29">
      <c r="A62" s="11">
        <v>1997</v>
      </c>
      <c r="B62" s="50"/>
      <c r="C62" s="24">
        <v>172</v>
      </c>
      <c r="D62" s="25">
        <v>0.254</v>
      </c>
      <c r="E62" s="25"/>
      <c r="AC62" s="1"/>
    </row>
    <row r="63" spans="1:29">
      <c r="A63" s="11">
        <v>1998</v>
      </c>
      <c r="B63" s="50"/>
      <c r="C63" s="24">
        <v>187</v>
      </c>
      <c r="D63" s="25">
        <v>0.25</v>
      </c>
      <c r="E63" s="25"/>
      <c r="AC63" s="1"/>
    </row>
    <row r="64" spans="1:29">
      <c r="A64" s="11">
        <v>1999</v>
      </c>
      <c r="B64" s="50"/>
      <c r="C64" s="24">
        <v>224</v>
      </c>
      <c r="D64" s="25">
        <v>0.33399999999999996</v>
      </c>
      <c r="E64" s="25"/>
      <c r="AC64" s="1"/>
    </row>
    <row r="65" spans="1:29">
      <c r="A65" s="11">
        <v>2000</v>
      </c>
      <c r="B65" s="50"/>
      <c r="C65" s="24">
        <v>191</v>
      </c>
      <c r="D65" s="25">
        <v>0.24600000000000002</v>
      </c>
      <c r="E65" s="25"/>
      <c r="AC65" s="1"/>
    </row>
    <row r="66" spans="1:29">
      <c r="A66" s="11">
        <v>2001</v>
      </c>
      <c r="B66" s="50"/>
      <c r="C66" s="24">
        <v>284</v>
      </c>
      <c r="D66" s="25">
        <v>0.27399999999999997</v>
      </c>
      <c r="E66" s="25"/>
      <c r="AC66" s="1"/>
    </row>
    <row r="67" spans="1:29">
      <c r="A67" s="1">
        <v>2002</v>
      </c>
      <c r="B67" s="29"/>
      <c r="C67" s="24">
        <v>267</v>
      </c>
      <c r="D67" s="25">
        <v>0.28300000000000003</v>
      </c>
      <c r="E67" s="25"/>
      <c r="AC67" s="1"/>
    </row>
    <row r="68" spans="1:29">
      <c r="A68" s="1">
        <v>2003</v>
      </c>
      <c r="B68" s="29"/>
      <c r="C68" s="24">
        <v>267</v>
      </c>
      <c r="D68" s="25">
        <v>0.27800000000000002</v>
      </c>
      <c r="E68" s="25"/>
      <c r="AC68" s="1"/>
    </row>
    <row r="69" spans="1:29">
      <c r="A69" s="1">
        <v>2004</v>
      </c>
      <c r="B69" s="29"/>
      <c r="C69" s="24">
        <v>188</v>
      </c>
      <c r="D69" s="25">
        <v>0.24299999999999999</v>
      </c>
      <c r="E69" s="25"/>
    </row>
    <row r="70" spans="1:29">
      <c r="A70" s="1">
        <v>2005</v>
      </c>
      <c r="B70" s="29"/>
      <c r="C70" s="24">
        <v>227</v>
      </c>
      <c r="D70" s="25">
        <v>0.24399999999999999</v>
      </c>
      <c r="E70" s="25"/>
    </row>
    <row r="71" spans="1:29">
      <c r="A71" s="1">
        <v>2006</v>
      </c>
      <c r="B71" s="29"/>
    </row>
    <row r="72" spans="1:29">
      <c r="A72" s="1">
        <v>2007</v>
      </c>
      <c r="B72" s="29"/>
    </row>
    <row r="73" spans="1:29">
      <c r="A73" s="1">
        <v>2008</v>
      </c>
      <c r="B73" s="29"/>
    </row>
    <row r="74" spans="1:29">
      <c r="A74" s="1">
        <v>2009</v>
      </c>
      <c r="B74" s="29"/>
    </row>
    <row r="75" spans="1:29">
      <c r="A75" s="1">
        <v>2010</v>
      </c>
      <c r="B75" s="29"/>
    </row>
    <row r="76" spans="1:29">
      <c r="A76" s="1">
        <v>2011</v>
      </c>
      <c r="B76" s="29"/>
      <c r="C76" s="15"/>
      <c r="D76" s="15"/>
      <c r="E76" s="15"/>
    </row>
    <row r="77" spans="1:29">
      <c r="A77" s="1">
        <v>2012</v>
      </c>
      <c r="B77" s="29"/>
    </row>
    <row r="78" spans="1:29">
      <c r="A78" s="1">
        <v>2013</v>
      </c>
      <c r="B78" s="29"/>
    </row>
    <row r="79" spans="1:29">
      <c r="A79" s="1">
        <v>2014</v>
      </c>
      <c r="B79" s="30">
        <v>0.19</v>
      </c>
    </row>
    <row r="80" spans="1:29">
      <c r="A80" s="1">
        <v>2015</v>
      </c>
      <c r="B80" s="29"/>
    </row>
    <row r="81" spans="1:107">
      <c r="A81" s="1">
        <v>2016</v>
      </c>
      <c r="B81" s="29"/>
    </row>
    <row r="82" spans="1:107">
      <c r="A82" s="1">
        <v>2017</v>
      </c>
      <c r="B82" s="29"/>
    </row>
    <row r="83" spans="1:107">
      <c r="A83" s="1">
        <v>2018</v>
      </c>
      <c r="B83" s="29"/>
    </row>
    <row r="84" spans="1:107">
      <c r="A84" s="1">
        <v>2019</v>
      </c>
      <c r="B84" s="29"/>
    </row>
    <row r="85" spans="1:107">
      <c r="A85" s="1">
        <v>2020</v>
      </c>
      <c r="B85" s="29"/>
    </row>
    <row r="86" spans="1:107">
      <c r="A86" s="1">
        <v>2021</v>
      </c>
      <c r="B86" s="29"/>
    </row>
    <row r="87" spans="1:107">
      <c r="A87" s="1">
        <v>2022</v>
      </c>
      <c r="B87" s="29"/>
    </row>
    <row r="88" spans="1:107">
      <c r="A88" s="1">
        <v>2023</v>
      </c>
      <c r="B88" s="29"/>
    </row>
    <row r="89" spans="1:107">
      <c r="A89" s="1">
        <v>2024</v>
      </c>
      <c r="B89" s="29"/>
      <c r="G89">
        <f>SUM(J89+M89+P89+S89+V89+Y89+AB89+AE89+AH89+AK89+AN89+AQ89+AT89+AW89+AZ89+BC89+BF89+BI89+BL89+BO89+BR89+BU89+BX89+CA89+CD89+CG89+CJ89+CM89+CP89+CS89+CV89+CY89+DB89)</f>
        <v>2894</v>
      </c>
      <c r="H89">
        <f>SUM(K89+N89+Q89+T89+W89+Z89+AC89+AF89+AI89+AL89+AO89+AR89+AU89+AX89+BA89+BD89+BG89+BJ89+BM89+BP89+BS89+BV89+BY89+CB89+CE89+CH89+CK89+CN89+CQ89+CT89+CW89+CZ89+DC89)</f>
        <v>1485</v>
      </c>
      <c r="I89">
        <f>H89/G89</f>
        <v>0.51313061506565305</v>
      </c>
      <c r="J89">
        <v>31</v>
      </c>
      <c r="K89">
        <v>21</v>
      </c>
      <c r="M89">
        <v>1</v>
      </c>
      <c r="N89">
        <v>1</v>
      </c>
      <c r="P89">
        <v>96</v>
      </c>
      <c r="Q89">
        <v>53</v>
      </c>
      <c r="S89">
        <v>2</v>
      </c>
      <c r="T89">
        <v>1</v>
      </c>
      <c r="V89">
        <v>64</v>
      </c>
      <c r="W89">
        <v>28</v>
      </c>
      <c r="Y89">
        <v>175</v>
      </c>
      <c r="Z89">
        <v>106</v>
      </c>
      <c r="AB89">
        <v>1</v>
      </c>
      <c r="AC89">
        <v>1</v>
      </c>
      <c r="AE89">
        <v>108</v>
      </c>
      <c r="AF89">
        <v>48</v>
      </c>
      <c r="AH89">
        <v>116</v>
      </c>
      <c r="AI89">
        <v>71</v>
      </c>
      <c r="AK89">
        <v>84</v>
      </c>
      <c r="AL89">
        <v>32</v>
      </c>
      <c r="AN89">
        <v>69</v>
      </c>
      <c r="AO89">
        <v>23</v>
      </c>
      <c r="AQ89">
        <v>116</v>
      </c>
      <c r="AR89">
        <v>62</v>
      </c>
      <c r="AT89">
        <v>125</v>
      </c>
      <c r="AU89">
        <v>79</v>
      </c>
      <c r="AW89">
        <v>83</v>
      </c>
      <c r="AX89">
        <v>41</v>
      </c>
      <c r="AZ89">
        <v>112</v>
      </c>
      <c r="BA89">
        <v>39</v>
      </c>
      <c r="BC89">
        <v>67</v>
      </c>
      <c r="BD89">
        <v>30</v>
      </c>
      <c r="BF89">
        <v>103</v>
      </c>
      <c r="BG89">
        <v>50</v>
      </c>
      <c r="BI89">
        <v>160</v>
      </c>
      <c r="BJ89">
        <v>72</v>
      </c>
      <c r="BL89">
        <v>119</v>
      </c>
      <c r="BM89">
        <v>56</v>
      </c>
      <c r="BO89">
        <v>67</v>
      </c>
      <c r="BP89">
        <v>21</v>
      </c>
      <c r="BR89">
        <v>144</v>
      </c>
      <c r="BS89">
        <v>95</v>
      </c>
      <c r="BU89">
        <v>111</v>
      </c>
      <c r="BV89">
        <v>51</v>
      </c>
      <c r="BX89">
        <v>74</v>
      </c>
      <c r="BY89">
        <v>40</v>
      </c>
      <c r="CA89">
        <v>111</v>
      </c>
      <c r="CB89">
        <v>66</v>
      </c>
      <c r="CD89">
        <v>74</v>
      </c>
      <c r="CE89">
        <v>38</v>
      </c>
      <c r="CG89">
        <v>64</v>
      </c>
      <c r="CH89">
        <v>36</v>
      </c>
      <c r="CJ89">
        <v>82</v>
      </c>
      <c r="CK89">
        <v>52</v>
      </c>
      <c r="CM89">
        <v>163</v>
      </c>
      <c r="CN89">
        <v>88</v>
      </c>
      <c r="CP89">
        <v>79</v>
      </c>
      <c r="CQ89">
        <v>32</v>
      </c>
      <c r="CS89">
        <v>74</v>
      </c>
      <c r="CT89">
        <v>33</v>
      </c>
      <c r="CV89">
        <v>69</v>
      </c>
      <c r="CW89">
        <v>48</v>
      </c>
      <c r="CY89">
        <v>96</v>
      </c>
      <c r="CZ89">
        <v>43</v>
      </c>
      <c r="DB89">
        <v>54</v>
      </c>
      <c r="DC89">
        <v>28</v>
      </c>
    </row>
    <row r="90" spans="1:107">
      <c r="B90" s="33"/>
    </row>
  </sheetData>
  <mergeCells count="7">
    <mergeCell ref="P2:R2"/>
    <mergeCell ref="G2:I2"/>
    <mergeCell ref="A1:A3"/>
    <mergeCell ref="C1:E1"/>
    <mergeCell ref="C2:D2"/>
    <mergeCell ref="J2:L2"/>
    <mergeCell ref="M2:O2"/>
  </mergeCells>
  <hyperlinks>
    <hyperlink ref="E2" r:id="rId1" xr:uid="{00000000-0004-0000-2000-000000000000}"/>
    <hyperlink ref="B79" r:id="rId2" display="https://www.fve.org/cms/wp-content/uploads/FVE_Survey_2018_WEB.pdf" xr:uid="{6E1F6009-87C7-4653-A2A5-7BDE1DB1D719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D1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RowHeight="14.4"/>
  <cols>
    <col min="1" max="1" width="5" style="1" customWidth="1"/>
    <col min="2" max="4" width="8.88671875" style="1"/>
  </cols>
  <sheetData>
    <row r="1" spans="1:4">
      <c r="A1" s="1" t="s">
        <v>0</v>
      </c>
      <c r="B1" s="54" t="s">
        <v>139</v>
      </c>
      <c r="C1" s="54"/>
      <c r="D1" s="54"/>
    </row>
    <row r="2" spans="1:4">
      <c r="B2" s="53" t="s">
        <v>58</v>
      </c>
      <c r="C2" s="53"/>
      <c r="D2" s="53"/>
    </row>
    <row r="3" spans="1:4">
      <c r="B3" s="1" t="s">
        <v>34</v>
      </c>
      <c r="C3" s="1" t="s">
        <v>50</v>
      </c>
      <c r="D3" s="1" t="s">
        <v>3</v>
      </c>
    </row>
    <row r="4" spans="1:4">
      <c r="A4" s="1">
        <v>2011</v>
      </c>
      <c r="B4" s="1">
        <v>170</v>
      </c>
      <c r="C4" s="1">
        <v>27</v>
      </c>
      <c r="D4" s="29">
        <f>C4/B4</f>
        <v>0.1588235294117647</v>
      </c>
    </row>
    <row r="5" spans="1:4">
      <c r="A5" s="1">
        <v>2012</v>
      </c>
      <c r="B5" s="1">
        <v>119</v>
      </c>
      <c r="C5" s="1">
        <v>21</v>
      </c>
      <c r="D5" s="29">
        <f>C5/B5</f>
        <v>0.17647058823529413</v>
      </c>
    </row>
    <row r="6" spans="1:4">
      <c r="A6" s="1">
        <v>2013</v>
      </c>
    </row>
    <row r="7" spans="1:4">
      <c r="A7" s="1">
        <v>2014</v>
      </c>
    </row>
    <row r="8" spans="1:4">
      <c r="A8" s="1">
        <v>2015</v>
      </c>
    </row>
    <row r="9" spans="1:4">
      <c r="A9" s="1">
        <v>2016</v>
      </c>
    </row>
    <row r="10" spans="1:4">
      <c r="A10" s="1">
        <v>2017</v>
      </c>
    </row>
    <row r="11" spans="1:4">
      <c r="A11" s="1">
        <v>2018</v>
      </c>
    </row>
    <row r="12" spans="1:4">
      <c r="A12" s="1">
        <v>2019</v>
      </c>
    </row>
    <row r="13" spans="1:4">
      <c r="A13" s="1">
        <v>2020</v>
      </c>
    </row>
    <row r="14" spans="1:4">
      <c r="A14" s="1">
        <v>2021</v>
      </c>
    </row>
  </sheetData>
  <mergeCells count="2">
    <mergeCell ref="B1:D1"/>
    <mergeCell ref="B2:D2"/>
  </mergeCells>
  <hyperlinks>
    <hyperlink ref="B1" r:id="rId1" xr:uid="{00000000-0004-0000-2100-000000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I58"/>
  <sheetViews>
    <sheetView workbookViewId="0">
      <pane xSplit="1" ySplit="3" topLeftCell="B31" activePane="bottomRight" state="frozen"/>
      <selection pane="topRight" activeCell="B1" sqref="B1"/>
      <selection pane="bottomLeft" activeCell="A4" sqref="A4"/>
      <selection pane="bottomRight" activeCell="B36" sqref="B36:B57"/>
    </sheetView>
  </sheetViews>
  <sheetFormatPr defaultRowHeight="14.4"/>
  <cols>
    <col min="1" max="1" width="6.88671875" customWidth="1"/>
    <col min="2" max="8" width="8.88671875" style="1"/>
  </cols>
  <sheetData>
    <row r="1" spans="1:9">
      <c r="A1" s="55" t="s">
        <v>0</v>
      </c>
      <c r="B1" s="53" t="s">
        <v>140</v>
      </c>
      <c r="C1" s="53"/>
      <c r="D1" s="53"/>
      <c r="E1" s="53"/>
      <c r="F1" s="53"/>
      <c r="G1" s="12"/>
      <c r="H1" s="12"/>
    </row>
    <row r="2" spans="1:9">
      <c r="A2" s="55"/>
      <c r="B2" s="54" t="s">
        <v>23</v>
      </c>
      <c r="C2" s="54"/>
      <c r="D2" s="54" t="s">
        <v>58</v>
      </c>
      <c r="E2" s="54"/>
      <c r="F2" s="54"/>
      <c r="G2" s="54" t="s">
        <v>191</v>
      </c>
      <c r="H2" s="54"/>
      <c r="I2" s="54"/>
    </row>
    <row r="3" spans="1:9">
      <c r="A3" s="55"/>
      <c r="B3" s="1" t="s">
        <v>3</v>
      </c>
      <c r="C3" s="1" t="s">
        <v>141</v>
      </c>
      <c r="D3" s="1" t="s">
        <v>34</v>
      </c>
      <c r="E3" s="1" t="s">
        <v>35</v>
      </c>
      <c r="F3" s="1" t="s">
        <v>33</v>
      </c>
      <c r="G3" s="1" t="s">
        <v>34</v>
      </c>
      <c r="H3" s="1" t="s">
        <v>35</v>
      </c>
      <c r="I3" s="1" t="s">
        <v>33</v>
      </c>
    </row>
    <row r="4" spans="1:9">
      <c r="A4" s="1">
        <v>1970</v>
      </c>
      <c r="B4" s="29"/>
      <c r="F4" s="30">
        <v>0.30599999999999999</v>
      </c>
      <c r="G4" s="42"/>
      <c r="H4" s="42"/>
    </row>
    <row r="5" spans="1:9">
      <c r="A5" s="1">
        <v>1971</v>
      </c>
      <c r="B5" s="29"/>
      <c r="F5" s="29"/>
      <c r="G5" s="41"/>
      <c r="H5" s="41"/>
    </row>
    <row r="6" spans="1:9">
      <c r="A6" s="1">
        <v>1972</v>
      </c>
      <c r="B6" s="29"/>
      <c r="F6" s="29"/>
      <c r="G6" s="41"/>
      <c r="H6" s="41"/>
    </row>
    <row r="7" spans="1:9">
      <c r="A7" s="1">
        <v>1973</v>
      </c>
      <c r="B7" s="29"/>
      <c r="F7" s="29"/>
      <c r="G7" s="41"/>
      <c r="H7" s="41"/>
    </row>
    <row r="8" spans="1:9">
      <c r="A8" s="1">
        <v>1974</v>
      </c>
      <c r="B8" s="29"/>
      <c r="F8" s="29"/>
      <c r="G8" s="41"/>
      <c r="H8" s="41"/>
    </row>
    <row r="9" spans="1:9">
      <c r="A9" s="1">
        <v>1975</v>
      </c>
      <c r="B9" s="29"/>
      <c r="F9" s="29"/>
      <c r="G9" s="41"/>
      <c r="H9" s="41"/>
    </row>
    <row r="10" spans="1:9">
      <c r="A10" s="1">
        <v>1976</v>
      </c>
      <c r="B10" s="29"/>
      <c r="F10" s="29"/>
      <c r="G10" s="41"/>
      <c r="H10" s="41"/>
    </row>
    <row r="11" spans="1:9">
      <c r="A11" s="1">
        <v>1977</v>
      </c>
      <c r="B11" s="29"/>
      <c r="F11" s="29"/>
      <c r="G11" s="41"/>
      <c r="H11" s="41"/>
    </row>
    <row r="12" spans="1:9">
      <c r="A12" s="11">
        <v>1978</v>
      </c>
      <c r="B12" s="29"/>
      <c r="F12" s="29"/>
      <c r="G12" s="41"/>
      <c r="H12" s="41"/>
    </row>
    <row r="13" spans="1:9">
      <c r="A13" s="11">
        <v>1979</v>
      </c>
      <c r="B13" s="29"/>
      <c r="F13" s="29"/>
      <c r="G13" s="41"/>
      <c r="H13" s="41"/>
    </row>
    <row r="14" spans="1:9">
      <c r="A14" s="11">
        <v>1980</v>
      </c>
      <c r="B14" s="29"/>
      <c r="F14" s="29"/>
      <c r="G14" s="41"/>
      <c r="H14" s="41"/>
    </row>
    <row r="15" spans="1:9">
      <c r="A15" s="11">
        <v>1981</v>
      </c>
      <c r="B15" s="29"/>
      <c r="F15" s="29"/>
      <c r="G15" s="41"/>
      <c r="H15" s="41"/>
    </row>
    <row r="16" spans="1:9">
      <c r="A16" s="11">
        <v>1982</v>
      </c>
      <c r="B16" s="29"/>
      <c r="F16" s="30">
        <v>0.41299999999999998</v>
      </c>
      <c r="G16" s="42"/>
      <c r="H16" s="42"/>
    </row>
    <row r="17" spans="1:8">
      <c r="A17" s="11">
        <v>1983</v>
      </c>
      <c r="B17" s="29"/>
      <c r="F17" s="29"/>
      <c r="G17" s="41"/>
      <c r="H17" s="41"/>
    </row>
    <row r="18" spans="1:8">
      <c r="A18" s="11">
        <v>1984</v>
      </c>
      <c r="B18" s="29"/>
      <c r="F18" s="29"/>
      <c r="G18" s="41"/>
      <c r="H18" s="41"/>
    </row>
    <row r="19" spans="1:8">
      <c r="A19" s="11">
        <v>1985</v>
      </c>
      <c r="B19" s="29"/>
      <c r="F19" s="29"/>
      <c r="G19" s="41"/>
      <c r="H19" s="41"/>
    </row>
    <row r="20" spans="1:8">
      <c r="A20" s="11">
        <v>1986</v>
      </c>
      <c r="B20" s="29"/>
      <c r="F20" s="29"/>
      <c r="G20" s="41"/>
      <c r="H20" s="41"/>
    </row>
    <row r="21" spans="1:8">
      <c r="A21" s="11">
        <v>1987</v>
      </c>
      <c r="B21" s="29"/>
      <c r="F21" s="29"/>
      <c r="G21" s="41"/>
      <c r="H21" s="41"/>
    </row>
    <row r="22" spans="1:8">
      <c r="A22" s="11">
        <v>1988</v>
      </c>
      <c r="B22" s="29"/>
      <c r="F22" s="29"/>
      <c r="G22" s="41"/>
      <c r="H22" s="41"/>
    </row>
    <row r="23" spans="1:8">
      <c r="A23" s="11">
        <v>1989</v>
      </c>
      <c r="B23" s="29"/>
      <c r="F23" s="29"/>
      <c r="G23" s="41"/>
      <c r="H23" s="41"/>
    </row>
    <row r="24" spans="1:8">
      <c r="A24" s="11">
        <v>1990</v>
      </c>
      <c r="B24" s="29"/>
      <c r="F24" s="29"/>
      <c r="G24" s="41"/>
      <c r="H24" s="41"/>
    </row>
    <row r="25" spans="1:8">
      <c r="A25" s="11">
        <v>1991</v>
      </c>
      <c r="B25" s="29"/>
      <c r="F25" s="29"/>
      <c r="G25" s="41"/>
      <c r="H25" s="41"/>
    </row>
    <row r="26" spans="1:8">
      <c r="A26" s="11">
        <v>1992</v>
      </c>
      <c r="B26" s="29"/>
      <c r="F26" s="29"/>
      <c r="G26" s="41"/>
      <c r="H26" s="41"/>
    </row>
    <row r="27" spans="1:8">
      <c r="A27" s="11">
        <v>1993</v>
      </c>
      <c r="B27" s="29"/>
      <c r="D27" s="1">
        <f>E27+141</f>
        <v>320</v>
      </c>
      <c r="E27" s="1">
        <v>179</v>
      </c>
      <c r="F27" s="29">
        <f>E27/D27</f>
        <v>0.55937499999999996</v>
      </c>
      <c r="G27" s="41"/>
      <c r="H27" s="41"/>
    </row>
    <row r="28" spans="1:8">
      <c r="A28" s="11">
        <v>1994</v>
      </c>
      <c r="B28" s="29"/>
      <c r="F28" s="29"/>
      <c r="G28" s="41"/>
      <c r="H28" s="41"/>
    </row>
    <row r="29" spans="1:8">
      <c r="A29" s="11">
        <v>1995</v>
      </c>
      <c r="B29" s="29"/>
      <c r="F29" s="29"/>
      <c r="G29" s="41"/>
      <c r="H29" s="41"/>
    </row>
    <row r="30" spans="1:8">
      <c r="A30" s="11">
        <v>1996</v>
      </c>
      <c r="B30" s="29"/>
      <c r="F30" s="29"/>
      <c r="G30" s="41"/>
      <c r="H30" s="41"/>
    </row>
    <row r="31" spans="1:8">
      <c r="A31" s="11">
        <v>1997</v>
      </c>
      <c r="B31" s="29"/>
      <c r="F31" s="29"/>
      <c r="G31" s="41"/>
      <c r="H31" s="41"/>
    </row>
    <row r="32" spans="1:8">
      <c r="A32" s="11">
        <v>1998</v>
      </c>
      <c r="B32" s="29"/>
      <c r="F32" s="29"/>
      <c r="G32" s="41"/>
      <c r="H32" s="41"/>
    </row>
    <row r="33" spans="1:9">
      <c r="A33" s="11">
        <v>1999</v>
      </c>
      <c r="B33" s="29"/>
      <c r="F33" s="29"/>
      <c r="G33" s="41"/>
      <c r="H33" s="41"/>
    </row>
    <row r="34" spans="1:9">
      <c r="A34" s="11">
        <v>2000</v>
      </c>
      <c r="B34" s="29"/>
      <c r="C34" s="1">
        <v>7</v>
      </c>
      <c r="F34" s="29"/>
      <c r="G34" s="41"/>
      <c r="H34" s="41"/>
    </row>
    <row r="35" spans="1:9">
      <c r="A35" s="11">
        <v>2001</v>
      </c>
      <c r="B35" s="29"/>
      <c r="F35" s="29"/>
      <c r="G35" s="41"/>
      <c r="H35" s="41"/>
    </row>
    <row r="36" spans="1:9">
      <c r="A36" s="1">
        <v>2002</v>
      </c>
      <c r="B36" s="29">
        <v>0.36</v>
      </c>
      <c r="C36" s="1">
        <v>9</v>
      </c>
      <c r="F36" s="29"/>
      <c r="G36" s="41"/>
      <c r="H36" s="41"/>
    </row>
    <row r="37" spans="1:9">
      <c r="A37" s="1">
        <v>2003</v>
      </c>
      <c r="B37" s="29"/>
      <c r="D37" s="1">
        <f>E37+150</f>
        <v>498</v>
      </c>
      <c r="E37" s="1">
        <v>348</v>
      </c>
      <c r="F37" s="29">
        <f>E37/D37</f>
        <v>0.6987951807228916</v>
      </c>
      <c r="G37" s="41"/>
      <c r="H37" s="41"/>
    </row>
    <row r="38" spans="1:9">
      <c r="A38" s="1">
        <v>2004</v>
      </c>
      <c r="B38" s="29"/>
      <c r="F38" s="29"/>
      <c r="G38" s="41"/>
      <c r="H38" s="41"/>
    </row>
    <row r="39" spans="1:9">
      <c r="A39" s="1">
        <v>2005</v>
      </c>
      <c r="B39" s="29"/>
      <c r="F39" s="29"/>
      <c r="G39" s="41"/>
      <c r="H39" s="41"/>
    </row>
    <row r="40" spans="1:9">
      <c r="A40" s="1">
        <v>2006</v>
      </c>
      <c r="B40" s="29">
        <v>0.41</v>
      </c>
      <c r="C40" s="1">
        <v>7</v>
      </c>
      <c r="F40" s="29"/>
      <c r="G40" s="41"/>
      <c r="H40" s="41"/>
    </row>
    <row r="41" spans="1:9">
      <c r="A41" s="1">
        <v>2007</v>
      </c>
      <c r="B41" s="29"/>
      <c r="F41" s="29"/>
      <c r="G41" s="41"/>
      <c r="H41" s="41"/>
    </row>
    <row r="42" spans="1:9">
      <c r="A42" s="1">
        <v>2008</v>
      </c>
      <c r="B42" s="29"/>
      <c r="F42" s="29"/>
      <c r="G42" s="41"/>
      <c r="H42" s="41"/>
    </row>
    <row r="43" spans="1:9">
      <c r="A43" s="1">
        <v>2009</v>
      </c>
      <c r="B43" s="29"/>
      <c r="F43" s="29"/>
      <c r="G43" s="41"/>
      <c r="H43" s="41"/>
    </row>
    <row r="44" spans="1:9">
      <c r="A44" s="1">
        <v>2010</v>
      </c>
      <c r="B44" s="29">
        <v>0.49</v>
      </c>
      <c r="C44" s="1">
        <v>7.1</v>
      </c>
      <c r="F44" s="29"/>
      <c r="G44" s="41"/>
      <c r="H44" s="41"/>
    </row>
    <row r="45" spans="1:9">
      <c r="A45" s="1">
        <v>2011</v>
      </c>
      <c r="B45" s="29"/>
      <c r="F45" s="29"/>
      <c r="G45" s="41">
        <f>H45+387</f>
        <v>1354</v>
      </c>
      <c r="H45" s="41">
        <v>967</v>
      </c>
      <c r="I45">
        <v>0.71</v>
      </c>
    </row>
    <row r="46" spans="1:9">
      <c r="A46" s="1">
        <v>2012</v>
      </c>
      <c r="B46" s="29"/>
      <c r="F46" s="29"/>
      <c r="G46" s="41"/>
      <c r="H46" s="41"/>
    </row>
    <row r="47" spans="1:9">
      <c r="A47" s="1">
        <v>2013</v>
      </c>
      <c r="B47" s="29"/>
      <c r="D47" s="1">
        <f>190+E47</f>
        <v>813</v>
      </c>
      <c r="E47" s="1">
        <v>623</v>
      </c>
      <c r="F47" s="29">
        <v>0.76600000000000001</v>
      </c>
      <c r="G47" s="41"/>
      <c r="H47" s="41"/>
    </row>
    <row r="48" spans="1:9">
      <c r="A48" s="1">
        <v>2014</v>
      </c>
      <c r="B48" s="29">
        <v>0.56999999999999995</v>
      </c>
      <c r="C48" s="1">
        <v>9.4</v>
      </c>
      <c r="F48" s="29"/>
      <c r="G48" s="41"/>
      <c r="H48" s="41"/>
    </row>
    <row r="49" spans="1:9">
      <c r="A49" s="1">
        <v>2015</v>
      </c>
      <c r="B49" s="29"/>
      <c r="F49" s="29"/>
      <c r="G49" s="41"/>
      <c r="H49" s="41"/>
    </row>
    <row r="50" spans="1:9">
      <c r="A50" s="1">
        <v>2016</v>
      </c>
      <c r="B50" s="29"/>
      <c r="F50" s="29"/>
      <c r="G50" s="41"/>
      <c r="H50" s="41"/>
    </row>
    <row r="51" spans="1:9">
      <c r="A51" s="1">
        <v>2017</v>
      </c>
      <c r="B51" s="29"/>
      <c r="F51" s="29"/>
      <c r="G51" s="41">
        <f>H51+625</f>
        <v>1919</v>
      </c>
      <c r="H51" s="41">
        <v>1294</v>
      </c>
      <c r="I51">
        <v>0.67</v>
      </c>
    </row>
    <row r="52" spans="1:9">
      <c r="A52" s="1">
        <v>2018</v>
      </c>
      <c r="B52" s="30">
        <v>0.55000000000000004</v>
      </c>
      <c r="F52" s="29"/>
      <c r="G52" s="41"/>
      <c r="H52" s="41"/>
    </row>
    <row r="53" spans="1:9">
      <c r="A53" s="1">
        <v>2019</v>
      </c>
      <c r="B53" s="29">
        <v>0.59099999999999997</v>
      </c>
      <c r="C53" s="1">
        <v>8.8000000000000007</v>
      </c>
      <c r="F53" s="29"/>
      <c r="G53" s="41"/>
      <c r="H53" s="41"/>
    </row>
    <row r="54" spans="1:9">
      <c r="A54" s="1">
        <v>2020</v>
      </c>
      <c r="B54" s="29"/>
      <c r="F54" s="29"/>
      <c r="G54" s="41"/>
      <c r="H54" s="41"/>
    </row>
    <row r="55" spans="1:9">
      <c r="A55" s="1">
        <v>2021</v>
      </c>
      <c r="B55" s="29"/>
      <c r="G55" s="41"/>
      <c r="H55" s="41"/>
      <c r="I55">
        <v>0.77</v>
      </c>
    </row>
    <row r="56" spans="1:9">
      <c r="A56" s="1">
        <v>2022</v>
      </c>
      <c r="B56" s="29"/>
    </row>
    <row r="57" spans="1:9">
      <c r="A57" s="1">
        <v>2023</v>
      </c>
      <c r="B57" s="30">
        <v>0.61</v>
      </c>
    </row>
    <row r="58" spans="1:9">
      <c r="A58" s="1">
        <v>2024</v>
      </c>
    </row>
  </sheetData>
  <mergeCells count="5">
    <mergeCell ref="A1:A3"/>
    <mergeCell ref="B1:F1"/>
    <mergeCell ref="B2:C2"/>
    <mergeCell ref="D2:F2"/>
    <mergeCell ref="G2:I2"/>
  </mergeCells>
  <hyperlinks>
    <hyperlink ref="B2" r:id="rId1" xr:uid="{00000000-0004-0000-2200-000000000000}"/>
    <hyperlink ref="D2:F2" r:id="rId2" display="Students" xr:uid="{00000000-0004-0000-2200-000001000000}"/>
    <hyperlink ref="F4" r:id="rId3" display="https://veterina.com.hr/?p=65885" xr:uid="{00000000-0004-0000-2200-000002000000}"/>
    <hyperlink ref="F16" r:id="rId4" display="https://veterina.com.hr/?p=65885" xr:uid="{00000000-0004-0000-2200-000003000000}"/>
    <hyperlink ref="G2:I2" r:id="rId5" display="New Registrants" xr:uid="{A38064BD-06B0-42F4-84DE-30447BFDBCBB}"/>
    <hyperlink ref="B52" r:id="rId6" display="https://www.fve.org/cms/wp-content/uploads/FVE_Survey_2018_WEB.pdf" xr:uid="{5A4BD912-5CEC-47E7-8A61-CF43006CDA1F}"/>
    <hyperlink ref="B57" r:id="rId7" display="https://fve.org/cms/wp-content/uploads/FVE-Survey-2023_updated-v3.pdf" xr:uid="{5F6A4582-9595-4B65-8C98-61C37B006CD7}"/>
  </hyperlinks>
  <pageMargins left="0.7" right="0.7" top="0.75" bottom="0.75" header="0.3" footer="0.3"/>
  <pageSetup orientation="portrait" r:id="rId8"/>
  <legacyDrawing r:id="rId9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FZ157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4" sqref="D4"/>
    </sheetView>
  </sheetViews>
  <sheetFormatPr defaultColWidth="8.88671875" defaultRowHeight="14.4"/>
  <cols>
    <col min="1" max="1" width="5" style="1" customWidth="1"/>
    <col min="2" max="2" width="8" style="1" customWidth="1"/>
    <col min="3" max="3" width="6.5546875" style="1" customWidth="1"/>
    <col min="4" max="4" width="7.88671875" style="1" customWidth="1"/>
    <col min="5" max="5" width="6.109375" style="1" customWidth="1"/>
    <col min="6" max="6" width="8.88671875" style="1"/>
    <col min="7" max="7" width="7.6640625" style="1" customWidth="1"/>
    <col min="8" max="8" width="6.6640625" style="1" customWidth="1"/>
    <col min="9" max="9" width="8.88671875" style="1"/>
    <col min="10" max="10" width="6.5546875" style="1" customWidth="1"/>
    <col min="11" max="28" width="8.88671875" style="1"/>
    <col min="29" max="29" width="12" style="1" bestFit="1" customWidth="1"/>
    <col min="30" max="136" width="8.88671875" style="1"/>
    <col min="137" max="137" width="10.109375" style="1" bestFit="1" customWidth="1"/>
    <col min="138" max="174" width="8.88671875" style="1"/>
    <col min="175" max="175" width="10" style="1" bestFit="1" customWidth="1"/>
    <col min="176" max="16384" width="8.88671875" style="1"/>
  </cols>
  <sheetData>
    <row r="1" spans="1:182">
      <c r="A1" s="53" t="s">
        <v>0</v>
      </c>
      <c r="B1" s="53" t="s">
        <v>154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27"/>
      <c r="N1" s="27"/>
      <c r="O1" s="27"/>
      <c r="P1" s="27"/>
      <c r="Q1" s="27"/>
      <c r="R1" s="27"/>
      <c r="S1" s="27"/>
      <c r="T1" s="27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12"/>
      <c r="CQ1" s="12"/>
      <c r="CR1" s="12"/>
      <c r="CS1" s="12"/>
      <c r="CT1" s="12"/>
      <c r="CU1" s="12"/>
      <c r="CV1" s="12"/>
      <c r="CW1" s="12"/>
      <c r="CX1" s="12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M1" s="12"/>
      <c r="FN1" s="12"/>
      <c r="FO1" s="12"/>
      <c r="FP1" s="12"/>
      <c r="FQ1" s="12"/>
      <c r="FR1" s="12"/>
      <c r="FS1" s="12"/>
      <c r="FT1" s="12"/>
      <c r="FU1" s="12"/>
      <c r="FW1" s="12"/>
      <c r="FX1" s="12"/>
      <c r="FY1" s="12"/>
      <c r="FZ1" s="12"/>
    </row>
    <row r="2" spans="1:182" ht="15" customHeight="1">
      <c r="A2" s="53"/>
      <c r="B2" s="53" t="s">
        <v>143</v>
      </c>
      <c r="C2" s="53"/>
      <c r="D2" s="53"/>
      <c r="E2" s="53" t="s">
        <v>144</v>
      </c>
      <c r="F2" s="53"/>
      <c r="G2" s="53"/>
      <c r="H2" s="53"/>
      <c r="I2" s="53"/>
      <c r="J2" s="53" t="s">
        <v>61</v>
      </c>
      <c r="K2" s="53"/>
      <c r="L2" s="53"/>
      <c r="M2" s="12" t="s">
        <v>145</v>
      </c>
      <c r="N2" s="12"/>
      <c r="O2" s="12"/>
      <c r="P2" s="12"/>
      <c r="Q2" s="12"/>
      <c r="R2" s="12"/>
      <c r="S2" s="12"/>
      <c r="T2" s="12"/>
      <c r="U2" s="27"/>
      <c r="V2" s="27"/>
      <c r="W2" s="27"/>
      <c r="X2" s="15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/>
      <c r="BA2"/>
      <c r="BB2"/>
      <c r="BC2" s="12"/>
      <c r="BD2" s="12"/>
      <c r="BE2" s="12"/>
      <c r="BF2" s="12"/>
      <c r="BH2" s="12"/>
      <c r="BI2" s="12"/>
      <c r="BJ2" s="12"/>
      <c r="BM2" s="12"/>
      <c r="BN2" s="12"/>
      <c r="BO2" s="27"/>
      <c r="BP2" s="12"/>
      <c r="BQ2" s="12"/>
      <c r="BR2" s="12"/>
      <c r="BS2" s="12"/>
      <c r="BT2" s="12"/>
      <c r="BU2" s="12"/>
      <c r="BV2" s="12"/>
      <c r="BW2" s="34"/>
      <c r="BX2" s="34"/>
      <c r="BY2" s="34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5"/>
      <c r="CQ2" s="27"/>
      <c r="CR2" s="27"/>
      <c r="CS2" s="27"/>
      <c r="CT2" s="27"/>
      <c r="CU2" s="27"/>
      <c r="CV2" s="27"/>
      <c r="CW2" s="27"/>
      <c r="CX2" s="27"/>
      <c r="CY2" s="26"/>
      <c r="CZ2" s="12"/>
      <c r="DA2" s="12"/>
      <c r="DB2" s="12"/>
      <c r="DC2" s="12"/>
      <c r="DD2" s="12"/>
      <c r="DE2" s="12"/>
      <c r="DF2" s="27"/>
      <c r="DG2" s="27"/>
      <c r="DH2" s="27"/>
      <c r="DI2" s="35"/>
      <c r="DJ2" s="35"/>
      <c r="DK2" s="12"/>
      <c r="DL2" s="12"/>
      <c r="DM2" s="12"/>
      <c r="DN2" s="12"/>
      <c r="DO2" s="12"/>
      <c r="DP2" s="12"/>
      <c r="DQ2" s="12"/>
      <c r="DR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J2" s="27"/>
      <c r="EK2" s="27"/>
      <c r="EL2" s="27"/>
      <c r="EM2" s="15"/>
      <c r="EN2" s="27"/>
      <c r="EO2" s="27"/>
      <c r="EP2" s="27"/>
      <c r="ES2" s="12"/>
      <c r="ET2" s="12"/>
      <c r="EU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M2" s="27"/>
      <c r="FN2" s="27"/>
      <c r="FO2" s="27"/>
      <c r="FP2" s="12"/>
      <c r="FQ2" s="12"/>
      <c r="FR2" s="12"/>
      <c r="FS2" s="27"/>
      <c r="FT2" s="27"/>
      <c r="FU2" s="27"/>
      <c r="FX2" s="12"/>
      <c r="FY2" s="12"/>
      <c r="FZ2" s="12"/>
    </row>
    <row r="3" spans="1:182">
      <c r="A3" s="53"/>
      <c r="B3" s="1" t="s">
        <v>49</v>
      </c>
      <c r="C3" s="1" t="s">
        <v>50</v>
      </c>
      <c r="D3" s="1" t="s">
        <v>146</v>
      </c>
      <c r="E3" s="1" t="s">
        <v>49</v>
      </c>
      <c r="F3" s="1" t="s">
        <v>50</v>
      </c>
      <c r="G3" s="1" t="s">
        <v>147</v>
      </c>
      <c r="H3" s="1" t="s">
        <v>148</v>
      </c>
      <c r="I3" s="1" t="s">
        <v>149</v>
      </c>
      <c r="J3" s="1" t="s">
        <v>150</v>
      </c>
      <c r="K3" s="1" t="s">
        <v>97</v>
      </c>
      <c r="L3" s="1" t="s">
        <v>27</v>
      </c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EE3" s="15"/>
      <c r="EF3" s="31"/>
      <c r="EG3" s="31"/>
      <c r="EQ3" s="15"/>
      <c r="EX3" s="15"/>
      <c r="EY3" s="31"/>
    </row>
    <row r="4" spans="1:182">
      <c r="A4" s="1">
        <v>1900</v>
      </c>
      <c r="B4" s="16">
        <v>8000</v>
      </c>
      <c r="C4" s="1">
        <v>0</v>
      </c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EE4" s="15"/>
      <c r="EF4" s="31"/>
      <c r="EG4" s="31"/>
      <c r="EQ4" s="15"/>
      <c r="EX4" s="15"/>
      <c r="EY4" s="31"/>
    </row>
    <row r="5" spans="1:182">
      <c r="A5" s="1">
        <v>1901</v>
      </c>
      <c r="C5" s="1">
        <v>0</v>
      </c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EE5" s="15"/>
      <c r="EF5" s="31"/>
      <c r="EG5" s="31"/>
      <c r="EQ5" s="15"/>
      <c r="EX5" s="15"/>
      <c r="EY5" s="31"/>
    </row>
    <row r="6" spans="1:182">
      <c r="A6" s="1">
        <v>1902</v>
      </c>
      <c r="C6" s="1">
        <v>0</v>
      </c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EE6" s="15"/>
      <c r="EF6" s="31"/>
      <c r="EG6" s="31"/>
      <c r="EQ6" s="15"/>
      <c r="EX6" s="15"/>
      <c r="EY6" s="31"/>
    </row>
    <row r="7" spans="1:182">
      <c r="A7" s="1">
        <v>1903</v>
      </c>
      <c r="C7" s="15">
        <v>1</v>
      </c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EE7" s="15"/>
      <c r="EF7" s="31"/>
      <c r="EG7" s="31"/>
      <c r="EQ7" s="15"/>
      <c r="EX7" s="15"/>
      <c r="EY7" s="31"/>
    </row>
    <row r="8" spans="1:182">
      <c r="A8" s="1">
        <v>1904</v>
      </c>
      <c r="C8" s="1">
        <v>0</v>
      </c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EE8" s="15"/>
      <c r="EF8" s="31"/>
      <c r="EG8" s="31"/>
      <c r="EQ8" s="15"/>
      <c r="EX8" s="15"/>
      <c r="EY8" s="31"/>
    </row>
    <row r="9" spans="1:182">
      <c r="A9" s="1">
        <v>1905</v>
      </c>
      <c r="C9" s="1">
        <v>0</v>
      </c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EE9" s="15"/>
      <c r="EF9" s="31"/>
      <c r="EG9" s="31"/>
      <c r="EQ9" s="15"/>
      <c r="EX9" s="15"/>
      <c r="EY9" s="31"/>
    </row>
    <row r="10" spans="1:182">
      <c r="A10" s="1">
        <v>1906</v>
      </c>
      <c r="C10" s="1">
        <v>0</v>
      </c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EE10" s="15"/>
      <c r="EF10" s="31"/>
      <c r="EG10" s="31"/>
      <c r="EQ10" s="15"/>
      <c r="EX10" s="15"/>
      <c r="EY10" s="31"/>
    </row>
    <row r="11" spans="1:182">
      <c r="A11" s="1">
        <v>1907</v>
      </c>
      <c r="C11" s="1">
        <v>0</v>
      </c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EE11" s="15"/>
      <c r="EF11" s="31"/>
      <c r="EG11" s="31"/>
      <c r="EQ11" s="15"/>
      <c r="EX11" s="15"/>
      <c r="EY11" s="31"/>
    </row>
    <row r="12" spans="1:182">
      <c r="A12" s="1">
        <v>1908</v>
      </c>
      <c r="C12" s="1">
        <v>0</v>
      </c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EE12" s="15"/>
      <c r="EF12" s="31"/>
      <c r="EG12" s="31"/>
      <c r="EQ12" s="15"/>
      <c r="EX12" s="15"/>
      <c r="EY12" s="31"/>
    </row>
    <row r="13" spans="1:182">
      <c r="A13" s="1">
        <v>1909</v>
      </c>
      <c r="C13" s="1">
        <v>0</v>
      </c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EE13" s="15"/>
      <c r="EF13" s="31"/>
      <c r="EG13" s="31"/>
      <c r="EQ13" s="15"/>
      <c r="EX13" s="15"/>
      <c r="EY13" s="31"/>
    </row>
    <row r="14" spans="1:182">
      <c r="A14" s="1">
        <v>1910</v>
      </c>
      <c r="C14" s="15">
        <v>2</v>
      </c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EE14" s="15"/>
      <c r="EF14" s="31"/>
      <c r="EG14" s="31"/>
      <c r="EQ14" s="15"/>
      <c r="EX14" s="15"/>
      <c r="EY14" s="31"/>
    </row>
    <row r="15" spans="1:182">
      <c r="A15" s="1">
        <v>1911</v>
      </c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EE15" s="15"/>
      <c r="EF15" s="31"/>
      <c r="EG15" s="31"/>
      <c r="EQ15" s="15"/>
      <c r="EX15" s="15"/>
      <c r="EY15" s="31"/>
    </row>
    <row r="16" spans="1:182">
      <c r="A16" s="1">
        <v>1912</v>
      </c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EE16" s="15"/>
      <c r="EF16" s="31"/>
      <c r="EG16" s="31"/>
      <c r="EQ16" s="15"/>
      <c r="EX16" s="15"/>
      <c r="EY16" s="31"/>
    </row>
    <row r="17" spans="1:155">
      <c r="A17" s="1">
        <v>1913</v>
      </c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EE17" s="15"/>
      <c r="EF17" s="31"/>
      <c r="EG17" s="31"/>
      <c r="EQ17" s="15"/>
      <c r="EX17" s="15"/>
      <c r="EY17" s="31"/>
    </row>
    <row r="18" spans="1:155">
      <c r="A18" s="1">
        <v>1914</v>
      </c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EE18" s="15"/>
      <c r="EF18" s="31"/>
      <c r="EG18" s="31"/>
      <c r="EQ18" s="15"/>
      <c r="EX18" s="15"/>
      <c r="EY18" s="31"/>
    </row>
    <row r="19" spans="1:155">
      <c r="A19" s="1">
        <v>1915</v>
      </c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EE19" s="15"/>
      <c r="EF19" s="31"/>
      <c r="EG19" s="31"/>
      <c r="EQ19" s="15"/>
      <c r="EX19" s="15"/>
      <c r="EY19" s="31"/>
    </row>
    <row r="20" spans="1:155">
      <c r="A20" s="1">
        <v>1916</v>
      </c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EE20" s="15"/>
      <c r="EF20" s="31"/>
      <c r="EG20" s="31"/>
      <c r="EQ20" s="15"/>
      <c r="EX20" s="15"/>
      <c r="EY20" s="31"/>
    </row>
    <row r="21" spans="1:155">
      <c r="A21" s="1">
        <v>1917</v>
      </c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EE21" s="15"/>
      <c r="EF21" s="31"/>
      <c r="EG21" s="31"/>
      <c r="EQ21" s="15"/>
      <c r="EX21" s="15"/>
      <c r="EY21" s="31"/>
    </row>
    <row r="22" spans="1:155">
      <c r="A22" s="1">
        <v>1918</v>
      </c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EE22" s="15"/>
      <c r="EF22" s="31"/>
      <c r="EG22" s="31"/>
      <c r="EQ22" s="15"/>
      <c r="EX22" s="15"/>
      <c r="EY22" s="31"/>
    </row>
    <row r="23" spans="1:155">
      <c r="A23" s="1">
        <v>1919</v>
      </c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EE23" s="15"/>
      <c r="EF23" s="31"/>
      <c r="EG23" s="31"/>
      <c r="EQ23" s="15"/>
      <c r="EX23" s="15"/>
      <c r="EY23" s="31"/>
    </row>
    <row r="24" spans="1:155">
      <c r="A24" s="1">
        <v>1920</v>
      </c>
      <c r="B24" s="15">
        <v>14000</v>
      </c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EE24" s="15"/>
      <c r="EF24" s="31"/>
      <c r="EG24" s="31"/>
      <c r="EQ24" s="15"/>
      <c r="EX24" s="15"/>
      <c r="EY24" s="31"/>
    </row>
    <row r="25" spans="1:155">
      <c r="A25" s="1">
        <v>1921</v>
      </c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EE25" s="15"/>
      <c r="EF25" s="31"/>
      <c r="EG25" s="31"/>
      <c r="EQ25" s="15"/>
      <c r="EX25" s="15"/>
      <c r="EY25" s="31"/>
    </row>
    <row r="26" spans="1:155">
      <c r="A26" s="1">
        <v>1922</v>
      </c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EE26" s="15"/>
      <c r="EF26" s="31"/>
      <c r="EG26" s="31"/>
      <c r="EQ26" s="15"/>
      <c r="EX26" s="15"/>
      <c r="EY26" s="31"/>
    </row>
    <row r="27" spans="1:155">
      <c r="A27" s="1">
        <v>1923</v>
      </c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EE27" s="15"/>
      <c r="EF27" s="31"/>
      <c r="EG27" s="31"/>
      <c r="EQ27" s="15"/>
      <c r="EX27" s="15"/>
      <c r="EY27" s="31"/>
    </row>
    <row r="28" spans="1:155">
      <c r="A28" s="1">
        <v>1924</v>
      </c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EE28" s="15"/>
      <c r="EF28" s="31"/>
      <c r="EG28" s="31"/>
      <c r="EQ28" s="15"/>
      <c r="EX28" s="15"/>
      <c r="EY28" s="31"/>
    </row>
    <row r="29" spans="1:155">
      <c r="A29" s="1">
        <v>1925</v>
      </c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EE29" s="15"/>
      <c r="EF29" s="31"/>
      <c r="EG29" s="31"/>
      <c r="EQ29" s="15"/>
      <c r="EX29" s="15"/>
      <c r="EY29" s="31"/>
    </row>
    <row r="30" spans="1:155">
      <c r="A30" s="1">
        <v>1926</v>
      </c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EE30" s="15"/>
      <c r="EF30" s="31"/>
      <c r="EG30" s="31"/>
      <c r="EQ30" s="15"/>
      <c r="EX30" s="15"/>
      <c r="EY30" s="31"/>
    </row>
    <row r="31" spans="1:155">
      <c r="A31" s="1">
        <v>1927</v>
      </c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EE31" s="15"/>
      <c r="EF31" s="31"/>
      <c r="EG31" s="31"/>
      <c r="EQ31" s="15"/>
      <c r="EX31" s="15"/>
      <c r="EY31" s="31"/>
    </row>
    <row r="32" spans="1:155">
      <c r="A32" s="1">
        <v>1928</v>
      </c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EE32" s="15"/>
      <c r="EF32" s="31"/>
      <c r="EG32" s="31"/>
      <c r="EQ32" s="15"/>
      <c r="EX32" s="15"/>
      <c r="EY32" s="31"/>
    </row>
    <row r="33" spans="1:182">
      <c r="A33" s="1">
        <v>1929</v>
      </c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EE33" s="15"/>
      <c r="EF33" s="31"/>
      <c r="EG33" s="31"/>
      <c r="EQ33" s="15"/>
      <c r="EX33" s="15"/>
      <c r="EY33" s="31"/>
    </row>
    <row r="34" spans="1:182">
      <c r="A34" s="1">
        <v>1930</v>
      </c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EE34" s="15"/>
      <c r="EF34" s="31"/>
      <c r="EG34" s="31"/>
      <c r="EQ34" s="15"/>
      <c r="EX34" s="15"/>
      <c r="EY34" s="31"/>
    </row>
    <row r="35" spans="1:182">
      <c r="A35" s="1">
        <v>1931</v>
      </c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EE35" s="15"/>
      <c r="EF35" s="31"/>
      <c r="EG35" s="31"/>
      <c r="EQ35" s="15"/>
      <c r="EX35" s="15"/>
      <c r="EY35" s="31"/>
    </row>
    <row r="36" spans="1:182">
      <c r="A36" s="1">
        <v>1932</v>
      </c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EE36" s="15"/>
      <c r="EF36" s="31"/>
      <c r="EG36" s="31"/>
      <c r="EQ36" s="15"/>
      <c r="EX36" s="15"/>
      <c r="EY36" s="31"/>
      <c r="FN36" s="15"/>
      <c r="FO36" s="22"/>
      <c r="FZ36" s="29"/>
    </row>
    <row r="37" spans="1:182">
      <c r="A37" s="1">
        <v>1933</v>
      </c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EE37" s="15"/>
      <c r="EF37" s="31"/>
      <c r="EG37" s="31"/>
      <c r="EQ37" s="15"/>
      <c r="FO37" s="29"/>
      <c r="FR37" s="29"/>
      <c r="FU37" s="29"/>
      <c r="FZ37" s="29"/>
    </row>
    <row r="38" spans="1:182">
      <c r="A38" s="1">
        <v>1934</v>
      </c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EE38" s="15"/>
      <c r="EF38" s="31"/>
      <c r="EG38" s="31"/>
      <c r="EQ38" s="15"/>
      <c r="FO38" s="29"/>
      <c r="FR38" s="29"/>
      <c r="FU38" s="29"/>
      <c r="FZ38" s="29"/>
    </row>
    <row r="39" spans="1:182">
      <c r="A39" s="1">
        <v>1935</v>
      </c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EE39" s="15"/>
      <c r="EF39" s="31"/>
      <c r="EG39" s="31"/>
      <c r="EQ39" s="15"/>
      <c r="FF39" s="15"/>
      <c r="FG39" s="15"/>
      <c r="FH39" s="29"/>
      <c r="FK39" s="29"/>
      <c r="FN39" s="15"/>
      <c r="FO39" s="29"/>
      <c r="FR39" s="29"/>
      <c r="FU39" s="29"/>
      <c r="FZ39" s="29"/>
    </row>
    <row r="40" spans="1:182">
      <c r="A40" s="1">
        <v>1936</v>
      </c>
      <c r="C40" s="15">
        <v>30</v>
      </c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BA40" s="15"/>
      <c r="BI40" s="15"/>
      <c r="FH40" s="29"/>
      <c r="FK40" s="29"/>
      <c r="FO40" s="29"/>
      <c r="FR40" s="29"/>
      <c r="FU40" s="29"/>
      <c r="FZ40" s="29"/>
    </row>
    <row r="41" spans="1:182">
      <c r="A41" s="1">
        <v>1937</v>
      </c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FH41" s="29"/>
      <c r="FK41" s="29"/>
      <c r="FO41" s="29"/>
      <c r="FR41" s="29"/>
      <c r="FU41" s="29"/>
      <c r="FZ41" s="29"/>
    </row>
    <row r="42" spans="1:182">
      <c r="A42" s="1">
        <v>1938</v>
      </c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FH42" s="29"/>
      <c r="FK42" s="29"/>
      <c r="FO42" s="29"/>
      <c r="FR42" s="29"/>
      <c r="FU42" s="29"/>
      <c r="FZ42" s="29"/>
    </row>
    <row r="43" spans="1:182">
      <c r="A43" s="1">
        <v>1939</v>
      </c>
      <c r="C43" s="15">
        <v>21</v>
      </c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FH43" s="29"/>
      <c r="FK43" s="29"/>
      <c r="FN43" s="15"/>
      <c r="FO43" s="29"/>
      <c r="FR43" s="29"/>
      <c r="FU43" s="29"/>
      <c r="FZ43" s="29"/>
    </row>
    <row r="44" spans="1:182">
      <c r="A44" s="1">
        <v>1940</v>
      </c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FH44" s="29"/>
      <c r="FK44" s="29"/>
      <c r="FN44" s="15"/>
      <c r="FO44" s="29"/>
      <c r="FR44" s="29"/>
      <c r="FU44" s="29"/>
      <c r="FZ44" s="29"/>
    </row>
    <row r="45" spans="1:182">
      <c r="A45" s="1">
        <v>1941</v>
      </c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FH45" s="29"/>
      <c r="FK45" s="29"/>
      <c r="FO45" s="29"/>
      <c r="FR45" s="29"/>
      <c r="FU45" s="29"/>
      <c r="FZ45" s="29"/>
    </row>
    <row r="46" spans="1:182">
      <c r="A46" s="1">
        <v>1942</v>
      </c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FH46" s="29"/>
      <c r="FK46" s="29"/>
      <c r="FO46" s="29"/>
      <c r="FR46" s="29"/>
      <c r="FU46" s="29"/>
      <c r="FZ46" s="29"/>
    </row>
    <row r="47" spans="1:182">
      <c r="A47" s="1">
        <v>1943</v>
      </c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FH47" s="29"/>
      <c r="FK47" s="29"/>
      <c r="FO47" s="29"/>
      <c r="FR47" s="29"/>
      <c r="FU47" s="29"/>
      <c r="FZ47" s="29"/>
    </row>
    <row r="48" spans="1:182">
      <c r="A48" s="1">
        <v>1944</v>
      </c>
      <c r="B48" s="1">
        <f>C48/D48</f>
        <v>2750</v>
      </c>
      <c r="C48" s="15">
        <v>55</v>
      </c>
      <c r="D48" s="29">
        <v>0.02</v>
      </c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FH48" s="29"/>
      <c r="FK48" s="29"/>
      <c r="FO48" s="29"/>
      <c r="FR48" s="29"/>
      <c r="FU48" s="29"/>
      <c r="FZ48" s="29"/>
    </row>
    <row r="49" spans="1:182">
      <c r="A49" s="1">
        <v>1945</v>
      </c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BY49" s="29"/>
      <c r="FB49" s="28"/>
      <c r="FC49" s="28"/>
      <c r="FD49" s="28"/>
      <c r="FH49" s="29"/>
      <c r="FK49" s="29"/>
      <c r="FO49" s="29"/>
      <c r="FR49" s="29"/>
      <c r="FU49" s="29"/>
      <c r="FZ49" s="29"/>
    </row>
    <row r="50" spans="1:182">
      <c r="A50" s="1">
        <v>1946</v>
      </c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BY50" s="29"/>
      <c r="FH50" s="29"/>
      <c r="FK50" s="29"/>
      <c r="FO50" s="29"/>
      <c r="FR50" s="29"/>
      <c r="FU50" s="29"/>
      <c r="FZ50" s="29"/>
    </row>
    <row r="51" spans="1:182">
      <c r="A51" s="1">
        <v>1947</v>
      </c>
      <c r="C51" s="15">
        <v>100</v>
      </c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BY51" s="29"/>
      <c r="FH51" s="29"/>
      <c r="FK51" s="29"/>
      <c r="FO51" s="29"/>
      <c r="FR51" s="29"/>
      <c r="FU51" s="29"/>
      <c r="FZ51" s="29"/>
    </row>
    <row r="52" spans="1:182">
      <c r="A52" s="1">
        <v>1948</v>
      </c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BY52" s="29"/>
      <c r="FH52" s="29"/>
      <c r="FK52" s="29"/>
      <c r="FO52" s="29"/>
      <c r="FR52" s="29"/>
      <c r="FU52" s="29"/>
      <c r="FZ52" s="29"/>
    </row>
    <row r="53" spans="1:182">
      <c r="A53" s="1">
        <v>1949</v>
      </c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BY53" s="29"/>
      <c r="FH53" s="29"/>
      <c r="FK53" s="29"/>
      <c r="FO53" s="29"/>
      <c r="FR53" s="29"/>
      <c r="FU53" s="29"/>
      <c r="FZ53" s="29"/>
    </row>
    <row r="54" spans="1:182">
      <c r="A54" s="1">
        <v>1950</v>
      </c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BY54" s="29"/>
      <c r="FH54" s="29"/>
      <c r="FK54" s="29"/>
      <c r="FO54" s="29"/>
      <c r="FR54" s="29"/>
      <c r="FU54" s="29"/>
      <c r="FZ54" s="29"/>
    </row>
    <row r="55" spans="1:182">
      <c r="A55" s="1">
        <v>1951</v>
      </c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BY55" s="29"/>
      <c r="FH55" s="29"/>
      <c r="FK55" s="29"/>
      <c r="FO55" s="29"/>
      <c r="FR55" s="29"/>
      <c r="FU55" s="29"/>
      <c r="FZ55" s="29"/>
    </row>
    <row r="56" spans="1:182">
      <c r="A56" s="1">
        <v>1952</v>
      </c>
      <c r="B56" s="16">
        <v>15000</v>
      </c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BY56" s="29"/>
      <c r="FH56" s="29"/>
      <c r="FK56" s="29"/>
      <c r="FO56" s="29"/>
      <c r="FR56" s="29"/>
      <c r="FU56" s="29"/>
      <c r="FZ56" s="29"/>
    </row>
    <row r="57" spans="1:182">
      <c r="A57" s="1">
        <v>1953</v>
      </c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BY57" s="29"/>
      <c r="CX57" s="29"/>
      <c r="EN57" s="15"/>
      <c r="EO57" s="15"/>
      <c r="EP57" s="21"/>
      <c r="FH57" s="29"/>
      <c r="FK57" s="29"/>
      <c r="FO57" s="29"/>
      <c r="FR57" s="29"/>
      <c r="FU57" s="29"/>
      <c r="FZ57" s="29"/>
    </row>
    <row r="58" spans="1:182">
      <c r="A58" s="1">
        <v>1954</v>
      </c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BY58" s="29"/>
      <c r="CX58" s="29"/>
      <c r="EN58" s="15"/>
      <c r="EO58" s="15"/>
      <c r="EP58" s="15"/>
      <c r="FH58" s="29"/>
      <c r="FK58" s="29"/>
      <c r="FO58" s="29"/>
      <c r="FR58" s="29"/>
      <c r="FU58" s="29"/>
      <c r="FV58" s="21"/>
      <c r="FZ58" s="29"/>
    </row>
    <row r="59" spans="1:182">
      <c r="A59" s="1">
        <v>1955</v>
      </c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BY59" s="29"/>
      <c r="CX59" s="29"/>
      <c r="EN59" s="15"/>
      <c r="EO59" s="15"/>
      <c r="EP59" s="15"/>
      <c r="FH59" s="29"/>
      <c r="FK59" s="29"/>
      <c r="FO59" s="29"/>
      <c r="FR59" s="29"/>
      <c r="FU59" s="29"/>
      <c r="FZ59" s="29"/>
    </row>
    <row r="60" spans="1:182">
      <c r="A60" s="1">
        <v>1956</v>
      </c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BY60" s="29"/>
      <c r="CX60" s="29"/>
      <c r="EN60" s="15"/>
      <c r="EO60" s="15"/>
      <c r="EP60" s="15"/>
      <c r="FH60" s="29"/>
      <c r="FK60" s="29"/>
      <c r="FO60" s="29"/>
      <c r="FR60" s="29"/>
      <c r="FU60" s="29"/>
      <c r="FZ60" s="29"/>
    </row>
    <row r="61" spans="1:182">
      <c r="A61" s="1">
        <v>1957</v>
      </c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BY61" s="29"/>
      <c r="CX61" s="29"/>
      <c r="EN61" s="15"/>
      <c r="EO61" s="15"/>
      <c r="EP61" s="15"/>
      <c r="FH61" s="29"/>
      <c r="FK61" s="29"/>
      <c r="FO61" s="29"/>
      <c r="FR61" s="29"/>
      <c r="FU61" s="29"/>
      <c r="FZ61" s="29"/>
    </row>
    <row r="62" spans="1:182">
      <c r="A62" s="1">
        <v>1958</v>
      </c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BY62" s="29"/>
      <c r="CG62"/>
      <c r="CJ62"/>
      <c r="CM62"/>
      <c r="CX62" s="29"/>
      <c r="EN62" s="15"/>
      <c r="EO62" s="15"/>
      <c r="EP62" s="15"/>
      <c r="FH62" s="29"/>
      <c r="FK62" s="29"/>
      <c r="FO62" s="29"/>
      <c r="FR62" s="29"/>
      <c r="FU62" s="29"/>
      <c r="FZ62" s="29"/>
    </row>
    <row r="63" spans="1:182">
      <c r="A63" s="1">
        <v>1959</v>
      </c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BY63" s="29"/>
      <c r="CG63"/>
      <c r="CJ63"/>
      <c r="CM63"/>
      <c r="CX63" s="29"/>
      <c r="EN63" s="15"/>
      <c r="EO63" s="15"/>
      <c r="EP63" s="15"/>
      <c r="FH63" s="29"/>
      <c r="FK63" s="29"/>
      <c r="FO63" s="29"/>
      <c r="FR63" s="29"/>
      <c r="FU63" s="29"/>
      <c r="FZ63" s="29"/>
    </row>
    <row r="64" spans="1:182">
      <c r="A64" s="1">
        <v>1960</v>
      </c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BY64" s="29"/>
      <c r="CG64"/>
      <c r="CJ64"/>
      <c r="CM64"/>
      <c r="CX64" s="29"/>
      <c r="EN64" s="15"/>
      <c r="EO64" s="15"/>
      <c r="EP64" s="21"/>
      <c r="FH64" s="29"/>
      <c r="FK64" s="29"/>
      <c r="FO64" s="29"/>
      <c r="FR64" s="29"/>
      <c r="FU64" s="29"/>
      <c r="FZ64" s="29"/>
    </row>
    <row r="65" spans="1:182">
      <c r="A65" s="1">
        <v>1961</v>
      </c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BY65" s="29"/>
      <c r="CG65"/>
      <c r="CJ65"/>
      <c r="CM65"/>
      <c r="CX65" s="29"/>
      <c r="EN65" s="15"/>
      <c r="EO65" s="15"/>
      <c r="EP65" s="15"/>
      <c r="FH65" s="29"/>
      <c r="FK65" s="29"/>
      <c r="FO65" s="29"/>
      <c r="FR65" s="29"/>
      <c r="FU65" s="29"/>
      <c r="FZ65" s="29"/>
    </row>
    <row r="66" spans="1:182">
      <c r="A66" s="1">
        <v>1962</v>
      </c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BB66" s="15"/>
      <c r="BY66" s="29"/>
      <c r="CG66"/>
      <c r="CJ66"/>
      <c r="CM66"/>
      <c r="CX66" s="29"/>
      <c r="EN66" s="15"/>
      <c r="EO66" s="15"/>
      <c r="EP66" s="15"/>
      <c r="FH66" s="29"/>
      <c r="FK66" s="29"/>
      <c r="FO66" s="29"/>
      <c r="FR66" s="29"/>
      <c r="FU66" s="29"/>
      <c r="FZ66" s="29"/>
    </row>
    <row r="67" spans="1:182">
      <c r="A67" s="1">
        <v>1963</v>
      </c>
      <c r="C67" s="15">
        <v>277</v>
      </c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BB67" s="15"/>
      <c r="BY67" s="29"/>
      <c r="CG67"/>
      <c r="CJ67"/>
      <c r="CM67"/>
      <c r="CX67" s="29"/>
      <c r="EN67" s="15"/>
      <c r="EO67" s="15"/>
      <c r="EP67" s="15"/>
      <c r="FH67" s="29"/>
      <c r="FK67" s="29"/>
      <c r="FO67" s="29"/>
      <c r="FR67" s="29"/>
      <c r="FU67" s="29"/>
      <c r="FZ67" s="29"/>
    </row>
    <row r="68" spans="1:182">
      <c r="A68" s="1">
        <v>1964</v>
      </c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BY68" s="29"/>
      <c r="BZ68"/>
      <c r="CG68"/>
      <c r="CJ68"/>
      <c r="CM68"/>
      <c r="CX68" s="29"/>
      <c r="EN68" s="15"/>
      <c r="EO68" s="15"/>
      <c r="EP68" s="15"/>
      <c r="FH68" s="29"/>
      <c r="FK68" s="29"/>
      <c r="FO68" s="29"/>
      <c r="FR68" s="29"/>
      <c r="FU68" s="29"/>
      <c r="FZ68" s="29"/>
    </row>
    <row r="69" spans="1:182">
      <c r="A69" s="1">
        <v>1965</v>
      </c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BB69" s="15"/>
      <c r="BY69" s="29"/>
      <c r="BZ69"/>
      <c r="CG69"/>
      <c r="CJ69"/>
      <c r="CM69"/>
      <c r="CX69" s="29"/>
      <c r="EN69" s="15"/>
      <c r="EO69" s="15"/>
      <c r="EP69" s="15"/>
      <c r="FC69" s="15"/>
      <c r="FD69" s="15"/>
      <c r="FH69" s="29"/>
      <c r="FK69" s="29"/>
      <c r="FO69" s="29"/>
      <c r="FR69" s="29"/>
      <c r="FU69" s="29"/>
      <c r="FZ69" s="29"/>
    </row>
    <row r="70" spans="1:182">
      <c r="A70" s="1">
        <v>1966</v>
      </c>
      <c r="O70" s="29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BA70" s="15"/>
      <c r="BY70" s="29"/>
      <c r="BZ70"/>
      <c r="CG70"/>
      <c r="CJ70"/>
      <c r="CM70"/>
      <c r="CX70" s="29"/>
      <c r="EN70" s="15"/>
      <c r="EO70" s="15"/>
      <c r="EP70" s="15"/>
      <c r="FH70" s="29"/>
      <c r="FK70" s="29"/>
      <c r="FO70" s="29"/>
      <c r="FR70" s="29"/>
      <c r="FU70" s="29"/>
      <c r="FZ70" s="29"/>
    </row>
    <row r="71" spans="1:182">
      <c r="A71" s="1">
        <v>1967</v>
      </c>
      <c r="O71" s="29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BY71" s="29"/>
      <c r="BZ71"/>
      <c r="CG71"/>
      <c r="CJ71"/>
      <c r="CM71"/>
      <c r="CX71" s="29"/>
      <c r="EN71" s="15"/>
      <c r="EO71" s="15"/>
      <c r="EP71" s="15"/>
      <c r="FH71" s="29"/>
      <c r="FK71" s="29"/>
      <c r="FO71" s="29"/>
      <c r="FR71" s="29"/>
      <c r="FU71" s="29"/>
      <c r="FZ71" s="29"/>
    </row>
    <row r="72" spans="1:182">
      <c r="A72" s="1">
        <v>1968</v>
      </c>
      <c r="L72" s="22">
        <v>0.09</v>
      </c>
      <c r="O72" s="29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BI72" s="15"/>
      <c r="BY72" s="29"/>
      <c r="BZ72"/>
      <c r="CG72"/>
      <c r="CJ72"/>
      <c r="CM72"/>
      <c r="CX72" s="29"/>
      <c r="EN72" s="15"/>
      <c r="EO72" s="15"/>
      <c r="EP72" s="15"/>
      <c r="EY72" s="22"/>
      <c r="FH72" s="29"/>
      <c r="FK72" s="29"/>
      <c r="FM72" s="15"/>
      <c r="FN72" s="15"/>
      <c r="FO72" s="29"/>
      <c r="FR72" s="29"/>
      <c r="FU72" s="29"/>
      <c r="FZ72" s="29"/>
    </row>
    <row r="73" spans="1:182">
      <c r="A73" s="1">
        <v>1969</v>
      </c>
      <c r="L73" s="30">
        <v>0.11</v>
      </c>
      <c r="O73" s="30">
        <v>0.05</v>
      </c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BY73" s="29"/>
      <c r="BZ73"/>
      <c r="CJ73"/>
      <c r="CM73"/>
      <c r="CX73" s="29"/>
      <c r="EE73" s="29"/>
      <c r="EN73" s="15"/>
      <c r="EO73" s="15"/>
      <c r="EP73" s="15"/>
      <c r="EQ73" s="28"/>
      <c r="FG73" s="15"/>
      <c r="FH73" s="30"/>
      <c r="FK73" s="29"/>
      <c r="FM73" s="15"/>
      <c r="FN73" s="15"/>
      <c r="FO73" s="29"/>
      <c r="FR73" s="29"/>
      <c r="FU73" s="29"/>
      <c r="FZ73" s="29"/>
    </row>
    <row r="74" spans="1:182">
      <c r="A74" s="1">
        <v>1970</v>
      </c>
      <c r="B74" s="1">
        <f>C74/D74</f>
        <v>25882.352941176472</v>
      </c>
      <c r="C74" s="16">
        <v>1320</v>
      </c>
      <c r="D74" s="21">
        <v>5.0999999999999997E-2</v>
      </c>
      <c r="O74" s="29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BG74" s="15"/>
      <c r="BY74" s="29"/>
      <c r="BZ74"/>
      <c r="CJ74"/>
      <c r="CM74"/>
      <c r="CX74" s="30"/>
      <c r="EB74" s="22"/>
      <c r="EE74" s="29"/>
      <c r="EN74" s="15"/>
      <c r="EO74" s="15"/>
      <c r="EP74" s="21"/>
      <c r="FH74" s="29"/>
      <c r="FK74" s="30"/>
      <c r="FM74" s="15"/>
      <c r="FN74" s="15"/>
      <c r="FO74" s="29"/>
      <c r="FR74" s="29"/>
      <c r="FU74" s="29"/>
      <c r="FZ74" s="29"/>
    </row>
    <row r="75" spans="1:182">
      <c r="A75" s="1">
        <v>1971</v>
      </c>
      <c r="O75" s="29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BY75" s="29"/>
      <c r="BZ75"/>
      <c r="CG75"/>
      <c r="CJ75"/>
      <c r="CM75"/>
      <c r="CX75" s="29"/>
      <c r="EE75" s="29"/>
      <c r="EN75" s="15"/>
      <c r="EO75" s="15"/>
      <c r="EP75" s="15"/>
      <c r="FH75" s="29"/>
      <c r="FK75" s="29"/>
      <c r="FM75" s="15"/>
      <c r="FN75" s="15"/>
      <c r="FO75" s="29"/>
      <c r="FR75" s="29"/>
      <c r="FU75" s="29"/>
      <c r="FZ75" s="29"/>
    </row>
    <row r="76" spans="1:182">
      <c r="A76" s="1">
        <v>1972</v>
      </c>
      <c r="O76" s="29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BY76" s="29"/>
      <c r="BZ76"/>
      <c r="CG76"/>
      <c r="CJ76"/>
      <c r="CM76"/>
      <c r="CX76" s="29"/>
      <c r="EE76" s="29"/>
      <c r="EN76" s="15"/>
      <c r="EO76" s="15"/>
      <c r="EP76" s="15"/>
      <c r="FH76" s="29"/>
      <c r="FK76" s="29"/>
      <c r="FM76" s="15"/>
      <c r="FN76" s="15"/>
      <c r="FO76" s="29"/>
      <c r="FP76" s="15"/>
      <c r="FQ76" s="15"/>
      <c r="FR76" s="29"/>
      <c r="FU76" s="29"/>
      <c r="FZ76" s="29"/>
    </row>
    <row r="77" spans="1:182">
      <c r="A77" s="1">
        <v>1973</v>
      </c>
      <c r="O77" s="29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BY77" s="29"/>
      <c r="BZ77"/>
      <c r="CG77"/>
      <c r="CJ77"/>
      <c r="CM77"/>
      <c r="CX77" s="29"/>
      <c r="EE77" s="29"/>
      <c r="EN77" s="15"/>
      <c r="EO77" s="15"/>
      <c r="EP77" s="15"/>
      <c r="FH77" s="29"/>
      <c r="FK77" s="29"/>
      <c r="FO77" s="29"/>
      <c r="FR77" s="29"/>
      <c r="FU77" s="29"/>
      <c r="FZ77" s="29"/>
    </row>
    <row r="78" spans="1:182">
      <c r="A78" s="1">
        <v>1974</v>
      </c>
      <c r="O78" s="29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BY78" s="29"/>
      <c r="BZ78"/>
      <c r="CG78"/>
      <c r="CJ78"/>
      <c r="CM78"/>
      <c r="CX78" s="29"/>
      <c r="EE78" s="29"/>
      <c r="EL78" s="29"/>
      <c r="EN78" s="15"/>
      <c r="EO78" s="15"/>
      <c r="EP78" s="15"/>
      <c r="FH78" s="29"/>
      <c r="FK78" s="29"/>
      <c r="FO78" s="29"/>
      <c r="FR78" s="29"/>
      <c r="FU78" s="29"/>
      <c r="FZ78" s="29"/>
    </row>
    <row r="79" spans="1:182">
      <c r="A79" s="1">
        <v>1975</v>
      </c>
      <c r="L79" s="21">
        <v>0.24399999999999999</v>
      </c>
      <c r="O79" s="29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BB79" s="15"/>
      <c r="BN79" s="9"/>
      <c r="BO79" s="9"/>
      <c r="BY79" s="29"/>
      <c r="BZ79"/>
      <c r="CG79"/>
      <c r="CJ79"/>
      <c r="CM79"/>
      <c r="CX79" s="29"/>
      <c r="EE79" s="29"/>
      <c r="EL79" s="29"/>
      <c r="EN79" s="15"/>
      <c r="EO79" s="15"/>
      <c r="EP79" s="15"/>
      <c r="FH79" s="29"/>
      <c r="FK79" s="29"/>
      <c r="FO79" s="29"/>
      <c r="FR79" s="29"/>
      <c r="FU79" s="29"/>
      <c r="FV79" s="22"/>
      <c r="FZ79" s="29"/>
    </row>
    <row r="80" spans="1:182">
      <c r="A80" s="1">
        <v>1976</v>
      </c>
      <c r="O80" s="29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BN80" s="9"/>
      <c r="BO80" s="9"/>
      <c r="BY80" s="29"/>
      <c r="BZ80"/>
      <c r="CG80"/>
      <c r="CJ80"/>
      <c r="CM80"/>
      <c r="CX80" s="29"/>
      <c r="EE80" s="29"/>
      <c r="EL80" s="29"/>
      <c r="EN80" s="15"/>
      <c r="EO80" s="15"/>
      <c r="EP80" s="15"/>
      <c r="FH80" s="29"/>
      <c r="FK80" s="29"/>
      <c r="FO80" s="29"/>
      <c r="FR80" s="29"/>
      <c r="FU80" s="29"/>
      <c r="FZ80" s="29"/>
    </row>
    <row r="81" spans="1:182">
      <c r="A81" s="1">
        <v>1977</v>
      </c>
      <c r="O81" s="29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BN81" s="9"/>
      <c r="BO81" s="9"/>
      <c r="BY81" s="29"/>
      <c r="BZ81"/>
      <c r="CG81"/>
      <c r="CJ81"/>
      <c r="CM81"/>
      <c r="CX81" s="29"/>
      <c r="EE81" s="29"/>
      <c r="EL81" s="29"/>
      <c r="EN81" s="15"/>
      <c r="EO81" s="15"/>
      <c r="EP81" s="15"/>
      <c r="FH81" s="29"/>
      <c r="FK81" s="29"/>
      <c r="FO81" s="29"/>
      <c r="FR81" s="29"/>
      <c r="FU81" s="29"/>
      <c r="FZ81" s="29"/>
    </row>
    <row r="82" spans="1:182">
      <c r="A82" s="11">
        <v>1978</v>
      </c>
      <c r="L82" s="10">
        <v>0.30841663045052875</v>
      </c>
      <c r="O82" s="29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BN82" s="9"/>
      <c r="BO82" s="9"/>
      <c r="BY82" s="29"/>
      <c r="BZ82"/>
      <c r="CG82"/>
      <c r="CJ82"/>
      <c r="CM82"/>
      <c r="CX82" s="29"/>
      <c r="EE82" s="29"/>
      <c r="EL82" s="29"/>
      <c r="EN82" s="15"/>
      <c r="EO82" s="15"/>
      <c r="EP82" s="15"/>
      <c r="FH82" s="29"/>
      <c r="FK82" s="29"/>
      <c r="FO82" s="29"/>
      <c r="FR82" s="29"/>
      <c r="FU82" s="29"/>
      <c r="FZ82" s="29"/>
    </row>
    <row r="83" spans="1:182">
      <c r="A83" s="11">
        <v>1979</v>
      </c>
      <c r="L83" s="10">
        <v>0.33793763676148797</v>
      </c>
      <c r="O83" s="30">
        <v>0.16800000000000001</v>
      </c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BN83" s="9"/>
      <c r="BO83" s="9"/>
      <c r="BY83" s="29"/>
      <c r="BZ83"/>
      <c r="CG83"/>
      <c r="CJ83"/>
      <c r="CM83"/>
      <c r="CX83" s="29"/>
      <c r="EE83" s="29"/>
      <c r="EL83" s="29"/>
      <c r="EN83" s="15"/>
      <c r="EO83" s="15"/>
      <c r="EP83" s="15"/>
      <c r="EQ83" s="28"/>
      <c r="FH83" s="29"/>
      <c r="FK83" s="29"/>
      <c r="FO83" s="29"/>
      <c r="FR83" s="29"/>
      <c r="FU83" s="29"/>
      <c r="FZ83" s="29"/>
    </row>
    <row r="84" spans="1:182">
      <c r="A84" s="11">
        <v>1980</v>
      </c>
      <c r="B84" s="1">
        <f>C84/D84</f>
        <v>32444.444444444442</v>
      </c>
      <c r="C84" s="16">
        <v>3212</v>
      </c>
      <c r="D84" s="21">
        <v>9.9000000000000005E-2</v>
      </c>
      <c r="L84" s="10">
        <v>0.36021121735407452</v>
      </c>
      <c r="O84" s="29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BG84" s="15"/>
      <c r="BN84" s="9"/>
      <c r="BO84" s="9"/>
      <c r="BY84" s="29"/>
      <c r="BZ84"/>
      <c r="CG84"/>
      <c r="CJ84"/>
      <c r="CM84"/>
      <c r="CX84" s="29"/>
      <c r="EE84" s="29"/>
      <c r="EL84" s="29"/>
      <c r="EN84" s="15"/>
      <c r="EO84" s="15"/>
      <c r="EP84" s="21"/>
      <c r="EY84" s="22"/>
      <c r="FH84" s="29"/>
      <c r="FK84" s="29"/>
      <c r="FO84" s="30"/>
      <c r="FR84" s="29"/>
      <c r="FU84" s="29"/>
      <c r="FZ84" s="29"/>
    </row>
    <row r="85" spans="1:182">
      <c r="A85" s="11">
        <v>1981</v>
      </c>
      <c r="L85" s="10">
        <v>0.38800000000000001</v>
      </c>
      <c r="O85" s="29"/>
      <c r="Z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BM85" s="24"/>
      <c r="BN85" s="25"/>
      <c r="BO85" s="25"/>
      <c r="BT85" s="15"/>
      <c r="BY85" s="29"/>
      <c r="BZ85"/>
      <c r="CG85"/>
      <c r="CJ85"/>
      <c r="CM85"/>
      <c r="CX85" s="29"/>
      <c r="EE85" s="29"/>
      <c r="EL85" s="29"/>
      <c r="EN85" s="15"/>
      <c r="EO85" s="15"/>
      <c r="EP85" s="15"/>
      <c r="FH85" s="29"/>
      <c r="FK85" s="29"/>
      <c r="FO85" s="29"/>
      <c r="FR85" s="29"/>
      <c r="FU85" s="29"/>
      <c r="FZ85" s="29"/>
    </row>
    <row r="86" spans="1:182">
      <c r="A86" s="11">
        <v>1982</v>
      </c>
      <c r="L86" s="10">
        <v>0.4176442422791477</v>
      </c>
      <c r="O86" s="29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BM86" s="24"/>
      <c r="BN86" s="25"/>
      <c r="BO86" s="25"/>
      <c r="BY86" s="29"/>
      <c r="BZ86"/>
      <c r="CG86"/>
      <c r="CJ86"/>
      <c r="CM86"/>
      <c r="CX86" s="30"/>
      <c r="EE86" s="29"/>
      <c r="EL86" s="29"/>
      <c r="EN86" s="15"/>
      <c r="EO86" s="15"/>
      <c r="EP86" s="15"/>
      <c r="FH86" s="29"/>
      <c r="FK86" s="29"/>
      <c r="FO86" s="29"/>
      <c r="FR86" s="29"/>
      <c r="FU86" s="29"/>
      <c r="FZ86" s="29"/>
    </row>
    <row r="87" spans="1:182">
      <c r="A87" s="11">
        <v>1983</v>
      </c>
      <c r="L87" s="10">
        <v>0.45784381478921909</v>
      </c>
      <c r="O87" s="29"/>
      <c r="Q87" s="21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BM87" s="24"/>
      <c r="BN87" s="25"/>
      <c r="BO87" s="25"/>
      <c r="BY87" s="29"/>
      <c r="BZ87"/>
      <c r="CG87"/>
      <c r="CJ87"/>
      <c r="CM87"/>
      <c r="CX87" s="29"/>
      <c r="EE87" s="29"/>
      <c r="EL87" s="29"/>
      <c r="EN87" s="15"/>
      <c r="EO87" s="15"/>
      <c r="EP87" s="15"/>
      <c r="FH87" s="29"/>
      <c r="FK87" s="29"/>
      <c r="FO87" s="29"/>
      <c r="FR87" s="29"/>
      <c r="FU87" s="29"/>
      <c r="FZ87" s="29"/>
    </row>
    <row r="88" spans="1:182">
      <c r="A88" s="11">
        <v>1984</v>
      </c>
      <c r="L88" s="10">
        <v>0.47096188747731399</v>
      </c>
      <c r="O88" s="29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BM88" s="24"/>
      <c r="BN88" s="25"/>
      <c r="BO88" s="25"/>
      <c r="BY88" s="29"/>
      <c r="BZ88"/>
      <c r="CG88"/>
      <c r="CJ88"/>
      <c r="CM88"/>
      <c r="CX88" s="29"/>
      <c r="EE88" s="29"/>
      <c r="EL88" s="29"/>
      <c r="EN88" s="15"/>
      <c r="EO88" s="15"/>
      <c r="EP88" s="15"/>
      <c r="FH88" s="29"/>
      <c r="FK88" s="29"/>
      <c r="FO88" s="29"/>
      <c r="FR88" s="29"/>
      <c r="FU88" s="29"/>
      <c r="FZ88" s="29"/>
    </row>
    <row r="89" spans="1:182">
      <c r="A89" s="11">
        <v>1985</v>
      </c>
      <c r="L89" s="10">
        <v>0.48895368397443084</v>
      </c>
      <c r="O89" s="29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BM89" s="24"/>
      <c r="BN89" s="25"/>
      <c r="BO89" s="25"/>
      <c r="BY89" s="29"/>
      <c r="BZ89"/>
      <c r="CG89"/>
      <c r="CJ89"/>
      <c r="CM89"/>
      <c r="CX89" s="29"/>
      <c r="EE89" s="29"/>
      <c r="EL89" s="29"/>
      <c r="EN89" s="15"/>
      <c r="EO89" s="15"/>
      <c r="EP89" s="15"/>
      <c r="FH89" s="29"/>
      <c r="FK89" s="29"/>
      <c r="FO89" s="29"/>
      <c r="FR89" s="29"/>
      <c r="FU89" s="29"/>
      <c r="FZ89" s="29"/>
    </row>
    <row r="90" spans="1:182">
      <c r="A90" s="11">
        <v>1986</v>
      </c>
      <c r="D90" s="22">
        <v>0.16</v>
      </c>
      <c r="L90" s="10">
        <v>0.49481748535376296</v>
      </c>
      <c r="O90" s="29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BM90" s="24"/>
      <c r="BN90" s="25"/>
      <c r="BO90" s="25"/>
      <c r="BY90" s="29"/>
      <c r="BZ90"/>
      <c r="CG90"/>
      <c r="CJ90"/>
      <c r="CM90"/>
      <c r="CX90" s="29"/>
      <c r="EE90" s="29"/>
      <c r="EL90" s="30"/>
      <c r="EM90" s="21"/>
      <c r="EN90" s="15"/>
      <c r="EO90" s="15"/>
      <c r="EP90" s="15"/>
      <c r="EY90" s="22"/>
      <c r="FH90" s="29"/>
      <c r="FK90" s="29"/>
      <c r="FO90" s="29"/>
      <c r="FR90" s="29"/>
      <c r="FU90" s="29"/>
      <c r="FZ90" s="29"/>
    </row>
    <row r="91" spans="1:182">
      <c r="A91" s="11">
        <v>1987</v>
      </c>
      <c r="D91" s="30">
        <v>0.17</v>
      </c>
      <c r="L91" s="10">
        <v>0.53031148822150276</v>
      </c>
      <c r="O91" s="29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BM91" s="24"/>
      <c r="BN91" s="25"/>
      <c r="BO91" s="25"/>
      <c r="BY91" s="29"/>
      <c r="BZ91"/>
      <c r="CG91"/>
      <c r="CJ91"/>
      <c r="CM91"/>
      <c r="CX91" s="29"/>
      <c r="EE91" s="29"/>
      <c r="EL91" s="30"/>
      <c r="EM91" s="15"/>
      <c r="EN91" s="15"/>
      <c r="EO91" s="15"/>
      <c r="EP91" s="15"/>
      <c r="FH91" s="29"/>
      <c r="FK91" s="29"/>
      <c r="FO91" s="29"/>
      <c r="FR91" s="29"/>
      <c r="FU91" s="29"/>
      <c r="FZ91" s="29"/>
    </row>
    <row r="92" spans="1:182">
      <c r="A92" s="11">
        <v>1988</v>
      </c>
      <c r="L92" s="10">
        <v>0.55112219451371569</v>
      </c>
      <c r="O92" s="29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BM92" s="24"/>
      <c r="BN92" s="25"/>
      <c r="BO92" s="25"/>
      <c r="BY92" s="29"/>
      <c r="BZ92"/>
      <c r="CG92"/>
      <c r="CJ92"/>
      <c r="CM92"/>
      <c r="CX92" s="29"/>
      <c r="EE92" s="29"/>
      <c r="EL92" s="30"/>
      <c r="EM92" s="15"/>
      <c r="EN92" s="15"/>
      <c r="EO92" s="15"/>
      <c r="EP92" s="15"/>
      <c r="FH92" s="29"/>
      <c r="FK92" s="29"/>
      <c r="FN92" s="15"/>
      <c r="FO92" s="29"/>
      <c r="FR92" s="29"/>
      <c r="FU92" s="29"/>
      <c r="FZ92" s="29"/>
    </row>
    <row r="93" spans="1:182">
      <c r="A93" s="11">
        <v>1989</v>
      </c>
      <c r="L93" s="10">
        <v>0.57311429893567789</v>
      </c>
      <c r="O93" s="30">
        <v>0.443</v>
      </c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BM93" s="24"/>
      <c r="BN93" s="25"/>
      <c r="BO93" s="25"/>
      <c r="BY93" s="29"/>
      <c r="BZ93"/>
      <c r="CG93"/>
      <c r="CJ93"/>
      <c r="CM93"/>
      <c r="CX93" s="29"/>
      <c r="EE93" s="29"/>
      <c r="EL93" s="30"/>
      <c r="EM93" s="15"/>
      <c r="EN93" s="15"/>
      <c r="EO93" s="15"/>
      <c r="EP93" s="15"/>
      <c r="EQ93" s="28"/>
      <c r="FH93" s="29"/>
      <c r="FK93" s="29"/>
      <c r="FO93" s="30"/>
      <c r="FR93" s="29"/>
      <c r="FU93" s="29"/>
      <c r="FZ93" s="29"/>
    </row>
    <row r="94" spans="1:182">
      <c r="A94" s="11">
        <v>1990</v>
      </c>
      <c r="B94" s="1">
        <f>C94/D94</f>
        <v>48679.6875</v>
      </c>
      <c r="C94" s="16">
        <v>12462</v>
      </c>
      <c r="D94" s="21">
        <v>0.25600000000000001</v>
      </c>
      <c r="L94" s="10">
        <v>0.61047145800509028</v>
      </c>
      <c r="O94" s="29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BE94" s="15"/>
      <c r="BG94" s="15"/>
      <c r="BH94" s="15"/>
      <c r="BM94" s="24"/>
      <c r="BN94" s="25"/>
      <c r="BO94" s="25"/>
      <c r="BY94" s="29"/>
      <c r="BZ94"/>
      <c r="CG94"/>
      <c r="CJ94"/>
      <c r="CM94"/>
      <c r="CX94" s="29"/>
      <c r="EE94" s="29"/>
      <c r="EL94" s="30"/>
      <c r="EM94" s="21"/>
      <c r="EN94" s="15"/>
      <c r="EO94" s="15"/>
      <c r="EP94" s="21"/>
      <c r="EX94" s="28"/>
      <c r="EY94" s="28"/>
      <c r="FH94" s="29"/>
      <c r="FK94" s="30"/>
      <c r="FO94" s="29"/>
      <c r="FR94" s="29"/>
      <c r="FU94" s="29"/>
      <c r="FZ94" s="29"/>
    </row>
    <row r="95" spans="1:182">
      <c r="A95" s="11">
        <v>1991</v>
      </c>
      <c r="L95" s="10">
        <v>0.60118764845605699</v>
      </c>
      <c r="O95" s="29"/>
      <c r="Z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BM95" s="24"/>
      <c r="BN95" s="25"/>
      <c r="BO95" s="25"/>
      <c r="BY95" s="29"/>
      <c r="BZ95"/>
      <c r="CG95"/>
      <c r="CJ95"/>
      <c r="CM95"/>
      <c r="CX95" s="29"/>
      <c r="EB95" s="29"/>
      <c r="EE95" s="29"/>
      <c r="EF95" s="32"/>
      <c r="EG95" s="32"/>
      <c r="EH95" s="15"/>
      <c r="EL95" s="30"/>
      <c r="EM95" s="15"/>
      <c r="EN95" s="15"/>
      <c r="EO95" s="15"/>
      <c r="EP95" s="15"/>
      <c r="FH95" s="29"/>
      <c r="FK95" s="29"/>
      <c r="FO95" s="29"/>
      <c r="FR95" s="29"/>
      <c r="FU95" s="29"/>
      <c r="FZ95" s="29"/>
    </row>
    <row r="96" spans="1:182">
      <c r="A96" s="11">
        <v>1992</v>
      </c>
      <c r="L96" s="10">
        <v>0.62075091792017056</v>
      </c>
      <c r="O96" s="29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BM96" s="24"/>
      <c r="BN96" s="25"/>
      <c r="BO96" s="25"/>
      <c r="BY96" s="29"/>
      <c r="CG96"/>
      <c r="CJ96"/>
      <c r="CM96"/>
      <c r="CX96" s="29"/>
      <c r="EB96" s="29"/>
      <c r="EE96" s="29"/>
      <c r="EL96" s="30"/>
      <c r="EM96" s="15"/>
      <c r="EN96" s="15"/>
      <c r="EO96" s="15"/>
      <c r="EP96" s="15"/>
      <c r="FH96" s="29"/>
      <c r="FK96" s="29"/>
      <c r="FO96" s="29"/>
      <c r="FR96" s="29"/>
      <c r="FU96" s="29"/>
      <c r="FZ96" s="29"/>
    </row>
    <row r="97" spans="1:182">
      <c r="A97" s="11">
        <v>1993</v>
      </c>
      <c r="L97" s="10">
        <v>0.63850254983773758</v>
      </c>
      <c r="O97" s="29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BM97" s="24"/>
      <c r="BN97" s="25"/>
      <c r="BO97" s="25"/>
      <c r="BY97" s="29"/>
      <c r="BZ97"/>
      <c r="CG97"/>
      <c r="CJ97"/>
      <c r="CM97"/>
      <c r="CX97" s="29"/>
      <c r="EB97" s="29"/>
      <c r="EE97" s="29"/>
      <c r="EL97" s="30"/>
      <c r="EM97" s="15"/>
      <c r="EN97" s="15"/>
      <c r="EO97" s="15"/>
      <c r="EP97" s="15"/>
      <c r="FH97" s="29"/>
      <c r="FK97" s="29"/>
      <c r="FO97" s="29"/>
      <c r="FR97" s="29"/>
      <c r="FU97" s="29"/>
      <c r="FZ97" s="29"/>
    </row>
    <row r="98" spans="1:182">
      <c r="A98" s="11">
        <v>1994</v>
      </c>
      <c r="L98" s="10">
        <v>0.64824063564131673</v>
      </c>
      <c r="O98" s="29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BM98" s="24"/>
      <c r="BN98" s="25"/>
      <c r="BO98" s="25"/>
      <c r="BY98" s="29"/>
      <c r="BZ98"/>
      <c r="CG98"/>
      <c r="CJ98"/>
      <c r="CX98" s="29"/>
      <c r="EB98" s="29"/>
      <c r="EE98" s="29"/>
      <c r="EL98" s="30"/>
      <c r="EM98" s="15"/>
      <c r="EN98" s="15"/>
      <c r="EO98" s="15"/>
      <c r="EP98" s="15"/>
      <c r="EU98" s="29"/>
      <c r="FH98" s="29"/>
      <c r="FK98" s="29"/>
      <c r="FO98" s="29"/>
      <c r="FR98" s="29"/>
      <c r="FU98" s="29"/>
      <c r="FZ98" s="29"/>
    </row>
    <row r="99" spans="1:182">
      <c r="A99" s="11">
        <v>1995</v>
      </c>
      <c r="B99" s="1">
        <f>C99/D99</f>
        <v>55314.984709480123</v>
      </c>
      <c r="C99" s="16">
        <v>18088</v>
      </c>
      <c r="D99" s="21">
        <v>0.32700000000000001</v>
      </c>
      <c r="L99" s="10">
        <v>0.65889014722536809</v>
      </c>
      <c r="O99" s="29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BB99" s="15"/>
      <c r="BM99" s="24"/>
      <c r="BN99" s="25"/>
      <c r="BO99" s="25"/>
      <c r="BY99" s="29"/>
      <c r="BZ99"/>
      <c r="CG99"/>
      <c r="CJ99"/>
      <c r="CN99" s="20"/>
      <c r="CX99" s="29"/>
      <c r="EB99" s="29"/>
      <c r="EE99" s="29"/>
      <c r="EL99" s="30"/>
      <c r="EM99" s="21"/>
      <c r="EN99" s="15"/>
      <c r="EO99" s="15"/>
      <c r="EP99" s="15"/>
      <c r="ER99" s="21"/>
      <c r="EU99" s="29"/>
      <c r="FH99" s="29"/>
      <c r="FK99" s="29"/>
      <c r="FO99" s="29"/>
      <c r="FR99" s="29"/>
      <c r="FU99" s="29"/>
      <c r="FZ99" s="29"/>
    </row>
    <row r="100" spans="1:182">
      <c r="A100" s="11">
        <v>1996</v>
      </c>
      <c r="L100" s="10">
        <v>0.66367254121660035</v>
      </c>
      <c r="O100" s="30">
        <v>0.65800000000000003</v>
      </c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BM100" s="24"/>
      <c r="BN100" s="25"/>
      <c r="BO100" s="25"/>
      <c r="BY100" s="29"/>
      <c r="CJ100"/>
      <c r="CM100"/>
      <c r="CX100" s="29"/>
      <c r="EB100" s="29"/>
      <c r="EE100" s="29"/>
      <c r="EL100" s="30"/>
      <c r="EM100" s="15"/>
      <c r="EN100" s="15"/>
      <c r="EO100" s="15"/>
      <c r="EP100" s="15"/>
      <c r="ER100" s="21"/>
      <c r="EU100" s="29"/>
      <c r="FH100" s="29"/>
      <c r="FK100" s="29"/>
      <c r="FO100" s="29"/>
      <c r="FR100" s="29"/>
      <c r="FU100" s="29"/>
      <c r="FZ100" s="29"/>
    </row>
    <row r="101" spans="1:182">
      <c r="A101" s="11">
        <v>1997</v>
      </c>
      <c r="L101" s="10">
        <v>0.66872543514879279</v>
      </c>
      <c r="O101" s="29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BB101" s="15"/>
      <c r="BM101" s="24"/>
      <c r="BN101" s="25"/>
      <c r="BO101" s="25"/>
      <c r="BY101" s="29"/>
      <c r="CJ101"/>
      <c r="CX101" s="29"/>
      <c r="DO101" s="28"/>
      <c r="EB101" s="29"/>
      <c r="EE101" s="29"/>
      <c r="EL101" s="30"/>
      <c r="EM101" s="15"/>
      <c r="EN101" s="15"/>
      <c r="EO101" s="15"/>
      <c r="EP101" s="15"/>
      <c r="EU101" s="29"/>
      <c r="FH101" s="29"/>
      <c r="FK101" s="29"/>
      <c r="FO101" s="29"/>
      <c r="FR101" s="29"/>
      <c r="FU101" s="29"/>
      <c r="FZ101" s="29"/>
    </row>
    <row r="102" spans="1:182">
      <c r="A102" s="11">
        <v>1998</v>
      </c>
      <c r="L102" s="10">
        <v>0.67879870492352345</v>
      </c>
      <c r="O102" s="29"/>
      <c r="R102" s="22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BM102" s="24"/>
      <c r="BN102" s="25"/>
      <c r="BO102" s="25"/>
      <c r="BY102" s="29"/>
      <c r="CJ102"/>
      <c r="CX102" s="29"/>
      <c r="EB102" s="29"/>
      <c r="EE102" s="29"/>
      <c r="EH102" s="29"/>
      <c r="EL102" s="30"/>
      <c r="EM102" s="15"/>
      <c r="EN102" s="15"/>
      <c r="EO102" s="15"/>
      <c r="EP102" s="15"/>
      <c r="EU102" s="29"/>
      <c r="FH102" s="29"/>
      <c r="FK102" s="29"/>
      <c r="FO102" s="29"/>
      <c r="FR102" s="29"/>
      <c r="FU102" s="29"/>
      <c r="FZ102" s="29"/>
    </row>
    <row r="103" spans="1:182">
      <c r="A103" s="11">
        <v>1999</v>
      </c>
      <c r="B103" s="15">
        <v>60800</v>
      </c>
      <c r="D103" s="21">
        <v>0.435</v>
      </c>
      <c r="L103" s="10">
        <v>0.69574397155239476</v>
      </c>
      <c r="O103" s="29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BM103" s="24"/>
      <c r="BN103" s="25"/>
      <c r="BO103" s="25"/>
      <c r="BY103" s="29"/>
      <c r="CJ103"/>
      <c r="CX103" s="29"/>
      <c r="EB103" s="29"/>
      <c r="EE103" s="29"/>
      <c r="EH103" s="29"/>
      <c r="EL103" s="30"/>
      <c r="EM103" s="15"/>
      <c r="EN103" s="15"/>
      <c r="EO103" s="15"/>
      <c r="EP103" s="15"/>
      <c r="EQ103" s="28"/>
      <c r="EU103" s="29"/>
      <c r="FH103" s="29"/>
      <c r="FK103" s="29"/>
      <c r="FO103" s="29"/>
      <c r="FR103" s="29"/>
      <c r="FU103" s="29"/>
      <c r="FZ103" s="29"/>
    </row>
    <row r="104" spans="1:182">
      <c r="A104" s="11">
        <v>2000</v>
      </c>
      <c r="L104" s="10">
        <v>0.70444272957777532</v>
      </c>
      <c r="O104" s="29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BG104" s="15"/>
      <c r="BM104" s="24"/>
      <c r="BN104" s="25"/>
      <c r="BO104" s="25"/>
      <c r="BQ104" s="15"/>
      <c r="BR104" s="29"/>
      <c r="BY104" s="29"/>
      <c r="CJ104"/>
      <c r="CX104" s="29"/>
      <c r="DZ104" s="15"/>
      <c r="EB104" s="30"/>
      <c r="EE104" s="29"/>
      <c r="EH104" s="29"/>
      <c r="EL104" s="30"/>
      <c r="EM104" s="21"/>
      <c r="EN104" s="15"/>
      <c r="EO104" s="15"/>
      <c r="EP104" s="21"/>
      <c r="EU104" s="29"/>
      <c r="EY104" s="22"/>
      <c r="FH104" s="29"/>
      <c r="FK104" s="29"/>
      <c r="FO104" s="29"/>
      <c r="FR104" s="29"/>
      <c r="FU104" s="29"/>
      <c r="FZ104" s="29"/>
    </row>
    <row r="105" spans="1:182">
      <c r="A105" s="11">
        <v>2001</v>
      </c>
      <c r="L105" s="10">
        <v>0.71747945205479458</v>
      </c>
      <c r="O105" s="29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BM105" s="24"/>
      <c r="BN105" s="25"/>
      <c r="BO105" s="25"/>
      <c r="BR105" s="29"/>
      <c r="BY105" s="29"/>
      <c r="CJ105"/>
      <c r="CX105" s="29"/>
      <c r="DO105" s="29"/>
      <c r="EB105" s="29"/>
      <c r="EC105" s="16"/>
      <c r="ED105" s="15"/>
      <c r="EE105" s="29"/>
      <c r="EH105" s="29"/>
      <c r="EL105" s="30"/>
      <c r="EM105" s="15"/>
      <c r="EN105" s="15"/>
      <c r="EO105" s="15"/>
      <c r="EP105" s="15"/>
      <c r="EU105" s="29"/>
      <c r="FH105" s="29"/>
      <c r="FK105" s="29"/>
      <c r="FO105" s="29"/>
      <c r="FR105" s="29"/>
      <c r="FU105" s="29"/>
      <c r="FZ105" s="29"/>
    </row>
    <row r="106" spans="1:182">
      <c r="A106" s="1">
        <v>2002</v>
      </c>
      <c r="L106" s="10">
        <v>0.73167823070251514</v>
      </c>
      <c r="O106" s="29"/>
      <c r="AI106" s="18"/>
      <c r="AJ106" s="18"/>
      <c r="AK106" s="18"/>
      <c r="AL106" s="18"/>
      <c r="AM106" s="18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BM106" s="24"/>
      <c r="BN106" s="25"/>
      <c r="BO106" s="25"/>
      <c r="BR106" s="29"/>
      <c r="BY106" s="29"/>
      <c r="CJ106"/>
      <c r="CX106" s="29"/>
      <c r="EB106" s="29"/>
      <c r="EE106" s="29"/>
      <c r="EH106" s="29"/>
      <c r="EL106" s="30"/>
      <c r="EM106" s="15"/>
      <c r="EN106" s="15"/>
      <c r="EO106" s="15"/>
      <c r="EP106" s="15"/>
      <c r="EU106" s="29"/>
      <c r="FH106" s="29"/>
      <c r="FK106" s="29"/>
      <c r="FO106" s="29"/>
      <c r="FR106" s="29"/>
      <c r="FU106" s="29"/>
      <c r="FZ106" s="29"/>
    </row>
    <row r="107" spans="1:182">
      <c r="A107" s="1">
        <v>2003</v>
      </c>
      <c r="L107" s="10">
        <v>0.74736955121322735</v>
      </c>
      <c r="O107" s="30"/>
      <c r="Q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BM107" s="24"/>
      <c r="BN107" s="25"/>
      <c r="BO107" s="25"/>
      <c r="BR107" s="29"/>
      <c r="BY107" s="29"/>
      <c r="CJ107"/>
      <c r="CX107" s="29"/>
      <c r="EB107" s="29"/>
      <c r="EE107" s="29"/>
      <c r="EH107" s="29"/>
      <c r="EL107" s="30"/>
      <c r="EM107" s="15"/>
      <c r="EN107" s="15"/>
      <c r="EO107" s="15"/>
      <c r="EP107" s="15"/>
      <c r="EU107" s="29"/>
      <c r="FF107" s="15"/>
      <c r="FG107" s="15"/>
      <c r="FH107" s="29"/>
      <c r="FK107" s="29"/>
      <c r="FO107" s="29"/>
      <c r="FR107" s="29"/>
      <c r="FU107" s="29"/>
      <c r="FZ107" s="29"/>
    </row>
    <row r="108" spans="1:182">
      <c r="A108" s="1">
        <v>2004</v>
      </c>
      <c r="L108" s="10">
        <v>0.74739667203435323</v>
      </c>
      <c r="O108" s="29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BM108" s="24"/>
      <c r="BN108" s="25"/>
      <c r="BO108" s="25"/>
      <c r="BR108" s="29"/>
      <c r="BY108" s="29"/>
      <c r="CJ108"/>
      <c r="CX108" s="29"/>
      <c r="EB108" s="29"/>
      <c r="EE108" s="29"/>
      <c r="EH108" s="29"/>
      <c r="EL108" s="30"/>
      <c r="EM108" s="15"/>
      <c r="EN108" s="15"/>
      <c r="EO108" s="15"/>
      <c r="EP108" s="15"/>
      <c r="EU108" s="29"/>
      <c r="FF108" s="15"/>
      <c r="FG108" s="15"/>
      <c r="FH108" s="29"/>
      <c r="FK108" s="29"/>
      <c r="FO108" s="29"/>
      <c r="FR108" s="29"/>
      <c r="FU108" s="29"/>
      <c r="FZ108" s="29"/>
    </row>
    <row r="109" spans="1:182">
      <c r="A109" s="1">
        <v>2005</v>
      </c>
      <c r="B109" s="16">
        <f>C109+43186</f>
        <v>79569</v>
      </c>
      <c r="C109" s="16">
        <v>36383</v>
      </c>
      <c r="D109" s="1">
        <f>C109/B109</f>
        <v>0.45725093943621259</v>
      </c>
      <c r="L109" s="10">
        <v>0.76836797694998971</v>
      </c>
      <c r="O109" s="29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BM109" s="24"/>
      <c r="BN109" s="25"/>
      <c r="BO109" s="25"/>
      <c r="BR109" s="29"/>
      <c r="BY109" s="29"/>
      <c r="CJ109"/>
      <c r="CX109" s="29"/>
      <c r="EB109" s="29"/>
      <c r="EE109" s="29"/>
      <c r="EH109" s="29"/>
      <c r="EL109" s="30"/>
      <c r="EM109" s="21"/>
      <c r="EN109" s="15"/>
      <c r="EO109" s="15"/>
      <c r="EP109" s="15"/>
      <c r="EU109" s="29"/>
      <c r="FH109" s="29"/>
      <c r="FK109" s="29"/>
      <c r="FO109" s="29"/>
      <c r="FR109" s="29"/>
      <c r="FU109" s="29"/>
      <c r="FZ109" s="29"/>
    </row>
    <row r="110" spans="1:182">
      <c r="A110" s="1">
        <v>2006</v>
      </c>
      <c r="L110" s="10">
        <v>0.77842331964339373</v>
      </c>
      <c r="O110" s="29"/>
      <c r="Y110"/>
      <c r="Z110" s="15"/>
      <c r="AI110" s="17"/>
      <c r="AJ110" s="17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BQ110" s="15"/>
      <c r="BR110" s="29"/>
      <c r="BY110" s="29"/>
      <c r="CJ110"/>
      <c r="CX110" s="29"/>
      <c r="EB110" s="29"/>
      <c r="EE110" s="29"/>
      <c r="EH110" s="29"/>
      <c r="EL110" s="30"/>
      <c r="EM110" s="15"/>
      <c r="EN110" s="15"/>
      <c r="EO110" s="15"/>
      <c r="EP110" s="15"/>
      <c r="EU110" s="29"/>
      <c r="FH110" s="29"/>
      <c r="FK110" s="29"/>
      <c r="FO110" s="29"/>
      <c r="FR110" s="29"/>
      <c r="FU110" s="29"/>
      <c r="FZ110" s="29"/>
    </row>
    <row r="111" spans="1:182">
      <c r="A111" s="1">
        <v>2007</v>
      </c>
      <c r="B111" s="4">
        <v>83730</v>
      </c>
      <c r="C111" s="3">
        <v>40534</v>
      </c>
      <c r="D111" s="9">
        <v>0.48410366654723502</v>
      </c>
      <c r="E111" s="5">
        <v>6077</v>
      </c>
      <c r="G111" s="1">
        <v>0.46800000000000003</v>
      </c>
      <c r="H111" s="1">
        <f>(E111/B111)</f>
        <v>7.2578526215215572E-2</v>
      </c>
      <c r="J111" s="2">
        <v>10218</v>
      </c>
      <c r="L111" s="10">
        <v>0.77735368956743001</v>
      </c>
      <c r="M111" s="16">
        <f>N111+616</f>
        <v>2489</v>
      </c>
      <c r="N111" s="16">
        <v>1873</v>
      </c>
      <c r="O111" s="29">
        <f>N111/M111</f>
        <v>0.75251104861390117</v>
      </c>
      <c r="AZ111" s="3"/>
      <c r="BA111" s="23"/>
      <c r="BR111" s="29"/>
      <c r="BY111" s="29"/>
      <c r="CX111" s="29"/>
      <c r="DS111" s="22"/>
      <c r="EB111" s="29"/>
      <c r="EE111" s="29"/>
      <c r="EH111" s="29"/>
      <c r="EL111" s="30"/>
      <c r="EM111" s="15"/>
      <c r="EN111" s="15"/>
      <c r="EO111" s="15"/>
      <c r="EP111" s="15"/>
      <c r="EU111" s="29"/>
      <c r="EX111" s="28"/>
      <c r="EY111" s="28"/>
      <c r="FE111" s="21"/>
      <c r="FH111" s="29"/>
      <c r="FK111" s="30"/>
      <c r="FO111" s="29"/>
      <c r="FR111" s="29"/>
      <c r="FU111" s="29"/>
      <c r="FZ111" s="29"/>
    </row>
    <row r="112" spans="1:182">
      <c r="A112" s="1">
        <v>2008</v>
      </c>
      <c r="B112" s="4">
        <v>85977</v>
      </c>
      <c r="C112" s="3">
        <v>42690</v>
      </c>
      <c r="D112" s="9">
        <v>0.496528141247078</v>
      </c>
      <c r="E112" s="5">
        <v>6257</v>
      </c>
      <c r="G112" s="1">
        <v>0.48199999999999998</v>
      </c>
      <c r="H112" s="1">
        <f t="shared" ref="H112:H124" si="0">(E112/B112)</f>
        <v>7.2775277108994271E-2</v>
      </c>
      <c r="J112" s="2">
        <v>10330</v>
      </c>
      <c r="L112" s="10">
        <v>0.77463697967086154</v>
      </c>
      <c r="O112" s="29"/>
      <c r="BR112" s="29"/>
      <c r="BY112" s="29"/>
      <c r="BZ112"/>
      <c r="CX112" s="29"/>
      <c r="DJ112" s="9"/>
      <c r="EB112" s="29"/>
      <c r="EE112" s="29"/>
      <c r="EH112" s="29"/>
      <c r="EL112" s="30"/>
      <c r="EM112" s="15"/>
      <c r="EN112" s="15"/>
      <c r="EO112" s="15"/>
      <c r="EP112" s="15"/>
      <c r="EU112" s="29"/>
      <c r="FH112" s="29"/>
      <c r="FK112" s="29"/>
      <c r="FO112" s="29"/>
      <c r="FR112" s="29"/>
      <c r="FU112" s="29"/>
      <c r="FZ112" s="29"/>
    </row>
    <row r="113" spans="1:182">
      <c r="A113" s="1">
        <v>2009</v>
      </c>
      <c r="B113" s="4">
        <v>87998</v>
      </c>
      <c r="C113" s="3">
        <v>44802</v>
      </c>
      <c r="D113" s="9">
        <v>0.50912520739107703</v>
      </c>
      <c r="E113" s="1">
        <v>6356</v>
      </c>
      <c r="G113" s="5">
        <v>0.49399999999999999</v>
      </c>
      <c r="H113" s="1">
        <f t="shared" si="0"/>
        <v>7.2228914293506669E-2</v>
      </c>
      <c r="J113" s="2">
        <v>10534</v>
      </c>
      <c r="L113" s="10">
        <v>0.77561300133054556</v>
      </c>
      <c r="O113" s="29"/>
      <c r="BG113" s="15"/>
      <c r="BR113" s="29"/>
      <c r="BY113" s="29"/>
      <c r="CJ113"/>
      <c r="CX113" s="29"/>
      <c r="EB113" s="29"/>
      <c r="EE113" s="29"/>
      <c r="EH113" s="29"/>
      <c r="EL113" s="30"/>
      <c r="EM113" s="15"/>
      <c r="EN113" s="15"/>
      <c r="EO113" s="15"/>
      <c r="EP113" s="15"/>
      <c r="EU113" s="29"/>
      <c r="EY113" s="22"/>
      <c r="FH113" s="29"/>
      <c r="FK113" s="29"/>
      <c r="FO113" s="29"/>
      <c r="FR113" s="29"/>
      <c r="FU113" s="29"/>
      <c r="FZ113" s="29"/>
    </row>
    <row r="114" spans="1:182">
      <c r="A114" s="1">
        <v>2010</v>
      </c>
      <c r="B114" s="3">
        <v>90201</v>
      </c>
      <c r="C114" s="3">
        <v>46992</v>
      </c>
      <c r="D114" s="9">
        <v>0.520969834037317</v>
      </c>
      <c r="E114" s="5">
        <v>6425</v>
      </c>
      <c r="G114" s="1">
        <v>0.499</v>
      </c>
      <c r="H114" s="1">
        <f t="shared" si="0"/>
        <v>7.1229808982162066E-2</v>
      </c>
      <c r="J114" s="2">
        <v>11046</v>
      </c>
      <c r="L114" s="10">
        <v>0.775310254735467</v>
      </c>
      <c r="O114" s="29"/>
      <c r="AZ114" s="19"/>
      <c r="BA114" s="16"/>
      <c r="BG114" s="15"/>
      <c r="BH114" s="20"/>
      <c r="BJ114" s="15"/>
      <c r="BR114" s="29"/>
      <c r="BY114" s="29"/>
      <c r="CJ114"/>
      <c r="CX114" s="29"/>
      <c r="DZ114" s="15"/>
      <c r="EB114" s="30"/>
      <c r="EE114" s="29"/>
      <c r="EH114" s="29"/>
      <c r="EL114" s="30"/>
      <c r="EM114" s="21"/>
      <c r="EN114" s="15"/>
      <c r="EO114" s="15"/>
      <c r="EP114" s="21"/>
      <c r="EU114" s="29"/>
      <c r="FH114" s="29"/>
      <c r="FK114" s="29"/>
      <c r="FO114" s="29"/>
      <c r="FR114" s="29"/>
      <c r="FU114" s="29"/>
      <c r="FZ114" s="29"/>
    </row>
    <row r="115" spans="1:182">
      <c r="A115" s="1">
        <v>2011</v>
      </c>
      <c r="B115" s="3">
        <v>92547</v>
      </c>
      <c r="C115" s="4">
        <v>49353</v>
      </c>
      <c r="D115" s="9">
        <v>0.53327498460241796</v>
      </c>
      <c r="E115" s="1">
        <v>6555</v>
      </c>
      <c r="G115" s="1">
        <v>0.51700000000000002</v>
      </c>
      <c r="H115" s="1">
        <f t="shared" si="0"/>
        <v>7.082887613861065E-2</v>
      </c>
      <c r="J115" s="3">
        <v>10996</v>
      </c>
      <c r="L115" s="10">
        <v>0.77909738717339672</v>
      </c>
      <c r="O115" s="29"/>
      <c r="S115" s="15"/>
      <c r="T115" s="15"/>
      <c r="BK115" s="15"/>
      <c r="BL115" s="15"/>
      <c r="BM115" s="15"/>
      <c r="BN115" s="15"/>
      <c r="BO115" s="15"/>
      <c r="BR115" s="29"/>
      <c r="BY115" s="29"/>
      <c r="CJ115"/>
      <c r="CX115" s="29"/>
      <c r="DR115" s="29"/>
      <c r="EB115" s="29"/>
      <c r="EC115"/>
      <c r="EE115" s="30"/>
      <c r="EH115" s="29"/>
      <c r="EL115" s="29"/>
      <c r="EN115" s="15"/>
      <c r="EO115" s="15"/>
      <c r="EP115" s="15"/>
      <c r="EU115" s="29"/>
      <c r="FH115" s="29"/>
      <c r="FK115" s="29"/>
      <c r="FO115" s="29"/>
      <c r="FR115" s="29"/>
      <c r="FU115" s="29"/>
      <c r="FZ115" s="29"/>
    </row>
    <row r="116" spans="1:182">
      <c r="A116" s="1">
        <v>2012</v>
      </c>
      <c r="B116" s="4">
        <v>97111</v>
      </c>
      <c r="C116" s="3">
        <v>52506</v>
      </c>
      <c r="D116" s="9">
        <v>0.54068025249456797</v>
      </c>
      <c r="E116" s="5">
        <v>6563</v>
      </c>
      <c r="G116" s="1">
        <v>0.52500000000000002</v>
      </c>
      <c r="H116" s="1">
        <f t="shared" si="0"/>
        <v>6.758245718816612E-2</v>
      </c>
      <c r="J116" s="3">
        <v>11255</v>
      </c>
      <c r="L116" s="10">
        <v>0.77447568049977689</v>
      </c>
      <c r="O116" s="29"/>
      <c r="AI116" s="3"/>
      <c r="AJ116" s="2"/>
      <c r="BR116" s="29"/>
      <c r="BY116" s="29"/>
      <c r="BZ116"/>
      <c r="CJ116"/>
      <c r="CX116" s="29"/>
      <c r="DR116" s="29"/>
      <c r="EB116" s="29"/>
      <c r="EE116" s="29"/>
      <c r="EH116" s="29"/>
      <c r="EI116" s="22"/>
      <c r="EJ116" s="22"/>
      <c r="EK116" s="22"/>
      <c r="EL116" s="29"/>
      <c r="EN116" s="15"/>
      <c r="EO116" s="15"/>
      <c r="EP116" s="15"/>
      <c r="EU116" s="29"/>
      <c r="FH116" s="29"/>
      <c r="FK116" s="29"/>
      <c r="FO116" s="29"/>
      <c r="FR116" s="29"/>
      <c r="FU116" s="29"/>
      <c r="FZ116" s="29"/>
    </row>
    <row r="117" spans="1:182">
      <c r="A117" s="1">
        <v>2013</v>
      </c>
      <c r="B117" s="3">
        <v>99720</v>
      </c>
      <c r="C117" s="4">
        <v>55253</v>
      </c>
      <c r="D117" s="9">
        <v>0.55408142799839599</v>
      </c>
      <c r="E117" s="4">
        <v>6545</v>
      </c>
      <c r="G117" s="1">
        <v>0.53500000000000003</v>
      </c>
      <c r="H117" s="1">
        <f t="shared" si="0"/>
        <v>6.5633774568792616E-2</v>
      </c>
      <c r="J117" s="3">
        <v>11474</v>
      </c>
      <c r="L117" s="10">
        <v>0.78608786610878656</v>
      </c>
      <c r="O117" s="29"/>
      <c r="U117" s="3"/>
      <c r="Y117"/>
      <c r="Z117"/>
      <c r="BB117"/>
      <c r="BR117" s="29"/>
      <c r="BY117" s="29"/>
      <c r="CX117" s="29"/>
      <c r="EB117" s="29"/>
      <c r="EE117" s="29"/>
      <c r="EH117" s="29"/>
      <c r="EL117" s="29"/>
      <c r="EN117" s="15"/>
      <c r="EO117" s="15"/>
      <c r="EP117" s="15"/>
      <c r="EU117" s="29"/>
      <c r="FH117" s="29"/>
      <c r="FK117" s="29"/>
      <c r="FL117" s="22"/>
      <c r="FO117" s="29"/>
      <c r="FR117" s="29"/>
      <c r="FU117" s="29"/>
      <c r="FZ117" s="29"/>
    </row>
    <row r="118" spans="1:182">
      <c r="A118" s="1">
        <v>2014</v>
      </c>
      <c r="B118" s="4">
        <v>102583</v>
      </c>
      <c r="C118" s="3">
        <v>58148</v>
      </c>
      <c r="D118" s="9">
        <v>0.56683855999532096</v>
      </c>
      <c r="E118" s="3">
        <v>6505</v>
      </c>
      <c r="G118" s="1">
        <v>0.54299999999999993</v>
      </c>
      <c r="H118" s="1">
        <f t="shared" si="0"/>
        <v>6.3412066326779287E-2</v>
      </c>
      <c r="J118" s="2">
        <v>11693</v>
      </c>
      <c r="L118" s="10">
        <v>0.79625151148730355</v>
      </c>
      <c r="O118" s="29"/>
      <c r="U118" s="3"/>
      <c r="AI118" s="2"/>
      <c r="AJ118" s="2"/>
      <c r="BR118" s="29"/>
      <c r="BY118" s="29"/>
      <c r="CX118" s="29"/>
      <c r="EB118" s="29"/>
      <c r="EE118" s="29"/>
      <c r="EH118" s="29"/>
      <c r="EI118" s="22"/>
      <c r="EJ118" s="22"/>
      <c r="EK118" s="22"/>
      <c r="EL118" s="29"/>
      <c r="EN118" s="15"/>
      <c r="EO118" s="15"/>
      <c r="EP118" s="15"/>
      <c r="EU118" s="29"/>
      <c r="FC118" s="15"/>
      <c r="FD118" s="15"/>
      <c r="FE118"/>
      <c r="FH118" s="29"/>
      <c r="FK118" s="29"/>
      <c r="FO118" s="29"/>
      <c r="FR118" s="29"/>
      <c r="FU118" s="29"/>
      <c r="FZ118" s="29"/>
    </row>
    <row r="119" spans="1:182">
      <c r="A119" s="1">
        <v>2015</v>
      </c>
      <c r="B119" s="3">
        <v>105358</v>
      </c>
      <c r="C119" s="4">
        <v>60988</v>
      </c>
      <c r="D119" s="9">
        <v>0.57886444313673402</v>
      </c>
      <c r="E119" s="3">
        <v>6596</v>
      </c>
      <c r="G119" s="1">
        <v>0.55200000000000005</v>
      </c>
      <c r="H119" s="1">
        <f t="shared" si="0"/>
        <v>6.2605592361282478E-2</v>
      </c>
      <c r="J119" s="2">
        <v>12395</v>
      </c>
      <c r="L119" s="10">
        <v>0.79152884227511089</v>
      </c>
      <c r="O119" s="29"/>
      <c r="U119" s="3"/>
      <c r="BR119" s="29"/>
      <c r="BY119" s="29"/>
      <c r="CX119" s="29"/>
      <c r="EB119" s="29"/>
      <c r="EE119" s="29"/>
      <c r="EH119" s="29"/>
      <c r="EI119" s="22"/>
      <c r="EJ119" s="32"/>
      <c r="EK119" s="32"/>
      <c r="EL119" s="33"/>
      <c r="EM119" s="21"/>
      <c r="EN119" s="15"/>
      <c r="EO119" s="15"/>
      <c r="EP119" s="15"/>
      <c r="EU119" s="29"/>
      <c r="FH119" s="29"/>
      <c r="FK119" s="29"/>
      <c r="FO119" s="29"/>
      <c r="FR119" s="29"/>
      <c r="FU119" s="29"/>
      <c r="FZ119" s="29"/>
    </row>
    <row r="120" spans="1:182">
      <c r="A120" s="1">
        <v>2016</v>
      </c>
      <c r="B120" s="5">
        <v>107995</v>
      </c>
      <c r="C120" s="3">
        <v>63857</v>
      </c>
      <c r="D120" s="9">
        <v>0.59129589332839505</v>
      </c>
      <c r="E120" s="4">
        <v>6702</v>
      </c>
      <c r="G120" s="1">
        <v>0.56700000000000006</v>
      </c>
      <c r="H120" s="1">
        <f t="shared" si="0"/>
        <v>6.2058428630955134E-2</v>
      </c>
      <c r="J120" s="2">
        <v>12400</v>
      </c>
      <c r="L120" s="10">
        <v>0.80034956701358539</v>
      </c>
      <c r="O120" s="29"/>
      <c r="U120" s="3"/>
      <c r="AA120"/>
      <c r="AI120" s="3"/>
      <c r="AJ120" s="2"/>
      <c r="BR120" s="29"/>
      <c r="BY120" s="29"/>
      <c r="CX120" s="29"/>
      <c r="EB120" s="29"/>
      <c r="EE120" s="29"/>
      <c r="EH120" s="29"/>
      <c r="EJ120" s="15"/>
      <c r="EK120" s="15"/>
      <c r="EL120" s="33"/>
      <c r="EN120" s="15"/>
      <c r="EO120" s="15"/>
      <c r="EP120" s="15"/>
      <c r="EU120" s="29"/>
      <c r="FC120" s="15"/>
      <c r="FD120" s="15"/>
      <c r="FH120" s="29"/>
      <c r="FK120" s="29"/>
      <c r="FO120" s="29"/>
      <c r="FR120" s="29"/>
      <c r="FU120" s="29"/>
      <c r="FZ120" s="29"/>
    </row>
    <row r="121" spans="1:182" ht="15" thickBot="1">
      <c r="A121" s="1">
        <v>2017</v>
      </c>
      <c r="B121" s="6">
        <v>110531</v>
      </c>
      <c r="C121" s="3">
        <v>66731</v>
      </c>
      <c r="D121" s="9">
        <v>0.60373107996851605</v>
      </c>
      <c r="E121" s="3">
        <v>6878</v>
      </c>
      <c r="G121" s="1">
        <v>0.57999999999999996</v>
      </c>
      <c r="H121" s="1">
        <f t="shared" si="0"/>
        <v>6.2226886574807065E-2</v>
      </c>
      <c r="J121" s="2">
        <v>12587</v>
      </c>
      <c r="L121" s="10">
        <v>0.80513784461152882</v>
      </c>
      <c r="M121" s="3"/>
      <c r="N121" s="3"/>
      <c r="O121" s="29"/>
      <c r="P121" s="3"/>
      <c r="Q121" s="3"/>
      <c r="R121" s="3"/>
      <c r="U121" s="3"/>
      <c r="AA121"/>
      <c r="AD121"/>
      <c r="AZ121"/>
      <c r="BA121"/>
      <c r="BE121" s="15"/>
      <c r="BH121" s="20"/>
      <c r="BQ121" s="15"/>
      <c r="BR121" s="29"/>
      <c r="BV121" s="30"/>
      <c r="BY121" s="29"/>
      <c r="CX121" s="29"/>
      <c r="DL121" s="9"/>
      <c r="EA121" s="15"/>
      <c r="EB121" s="29"/>
      <c r="EE121" s="29"/>
      <c r="EH121" s="29"/>
      <c r="EJ121" s="15"/>
      <c r="EK121" s="15"/>
      <c r="EL121" s="33"/>
      <c r="EN121" s="15"/>
      <c r="EO121" s="15"/>
      <c r="EP121" s="15"/>
      <c r="EU121" s="29"/>
      <c r="FH121" s="22"/>
      <c r="FK121" s="29"/>
      <c r="FO121" s="29"/>
      <c r="FR121" s="29"/>
      <c r="FU121" s="29"/>
      <c r="FZ121" s="29"/>
    </row>
    <row r="122" spans="1:182" ht="15" thickBot="1">
      <c r="A122" s="1">
        <v>2018</v>
      </c>
      <c r="B122" s="6">
        <v>113394</v>
      </c>
      <c r="C122" s="3">
        <v>69908</v>
      </c>
      <c r="D122" s="9">
        <v>0.61650528246644398</v>
      </c>
      <c r="E122" s="3">
        <v>6889</v>
      </c>
      <c r="G122" s="7">
        <v>0.58799999999999997</v>
      </c>
      <c r="H122" s="1">
        <f t="shared" si="0"/>
        <v>6.0752773515353548E-2</v>
      </c>
      <c r="J122" s="2">
        <v>12768</v>
      </c>
      <c r="L122" s="10">
        <v>0.80497190795043483</v>
      </c>
      <c r="M122" s="3"/>
      <c r="O122" s="29"/>
      <c r="U122" s="3"/>
      <c r="Y122"/>
      <c r="Z122"/>
      <c r="AA122"/>
      <c r="AE122"/>
      <c r="AI122" s="2"/>
      <c r="AJ122" s="2"/>
      <c r="BQ122" s="15"/>
      <c r="BR122" s="29"/>
      <c r="BY122" s="29"/>
      <c r="CX122" s="29"/>
      <c r="DI122" s="3"/>
      <c r="DJ122" s="9"/>
      <c r="EA122" s="15"/>
      <c r="EB122" s="29"/>
      <c r="EE122" s="29"/>
      <c r="EH122" s="29"/>
      <c r="EJ122" s="15"/>
      <c r="EK122" s="15"/>
      <c r="EL122" s="33"/>
      <c r="EM122" s="21"/>
      <c r="EN122" s="15"/>
      <c r="EO122" s="15"/>
      <c r="EP122" s="15"/>
      <c r="EU122" s="29"/>
      <c r="EV122" s="22"/>
      <c r="EY122" s="22"/>
      <c r="FH122" s="29"/>
      <c r="FK122" s="29"/>
      <c r="FO122" s="29"/>
      <c r="FR122" s="29"/>
      <c r="FU122" s="29"/>
      <c r="FW122" s="22"/>
      <c r="FZ122" s="29"/>
    </row>
    <row r="123" spans="1:182">
      <c r="A123" s="1">
        <v>2019</v>
      </c>
      <c r="B123" s="6">
        <v>116091</v>
      </c>
      <c r="C123" s="3">
        <v>72928</v>
      </c>
      <c r="D123" s="9">
        <v>0.62819684557803801</v>
      </c>
      <c r="E123" s="3">
        <v>6951</v>
      </c>
      <c r="G123" s="1">
        <v>0.59899999999999998</v>
      </c>
      <c r="H123" s="1">
        <f t="shared" si="0"/>
        <v>5.9875442540765433E-2</v>
      </c>
      <c r="J123" s="2">
        <v>13323</v>
      </c>
      <c r="L123" s="10">
        <v>0.81499999999999995</v>
      </c>
      <c r="M123" s="3"/>
      <c r="O123" s="29"/>
      <c r="U123" s="3"/>
      <c r="BR123" s="29"/>
      <c r="BY123" s="29"/>
      <c r="CX123" s="29"/>
      <c r="EA123" s="15"/>
      <c r="EB123" s="29"/>
      <c r="EC123" s="16"/>
      <c r="ED123" s="3"/>
      <c r="EE123" s="30"/>
      <c r="EF123" s="32"/>
      <c r="EG123" s="32"/>
      <c r="EH123" s="30"/>
      <c r="EJ123" s="15"/>
      <c r="EK123" s="15"/>
      <c r="EL123" s="33"/>
      <c r="EN123" s="15"/>
      <c r="EO123" s="15"/>
      <c r="EP123" s="21"/>
      <c r="EW123" s="22"/>
      <c r="FB123" s="28"/>
      <c r="FC123" s="28"/>
      <c r="FD123" s="28"/>
      <c r="FH123" s="29"/>
      <c r="FK123" s="29"/>
      <c r="FO123" s="29"/>
      <c r="FR123" s="29"/>
      <c r="FU123" s="29"/>
      <c r="FZ123" s="29"/>
    </row>
    <row r="124" spans="1:182">
      <c r="A124" s="1">
        <v>2020</v>
      </c>
      <c r="B124" s="6">
        <v>118624</v>
      </c>
      <c r="C124" s="3">
        <v>75900</v>
      </c>
      <c r="D124" s="9">
        <v>0.63983679525222503</v>
      </c>
      <c r="E124" s="1">
        <v>6948</v>
      </c>
      <c r="G124" s="1">
        <v>0.60499999999999998</v>
      </c>
      <c r="H124" s="1">
        <f t="shared" si="0"/>
        <v>5.8571621257081201E-2</v>
      </c>
      <c r="J124" s="8">
        <v>13548</v>
      </c>
      <c r="L124" s="10">
        <v>0.81799999999999995</v>
      </c>
      <c r="M124" s="3"/>
      <c r="O124" s="29"/>
      <c r="AI124" s="3"/>
      <c r="AJ124" s="3"/>
      <c r="AZ124" s="3"/>
      <c r="BC124" s="15"/>
      <c r="BD124" s="15"/>
      <c r="BR124" s="29"/>
      <c r="BY124" s="29"/>
      <c r="CX124" s="29"/>
      <c r="DF124" s="3"/>
      <c r="DG124" s="3"/>
      <c r="EA124" s="15"/>
      <c r="EB124" s="29"/>
      <c r="EE124" s="29"/>
      <c r="EH124" s="29"/>
      <c r="EJ124" s="15"/>
      <c r="EK124" s="15"/>
      <c r="EL124" s="33"/>
      <c r="FF124" s="15"/>
      <c r="FG124" s="15"/>
      <c r="FH124" s="29"/>
      <c r="FK124" s="29"/>
      <c r="FO124" s="29"/>
      <c r="FR124" s="36"/>
      <c r="FU124" s="29"/>
      <c r="FZ124" s="29"/>
    </row>
    <row r="125" spans="1:182">
      <c r="A125" s="1">
        <v>2021</v>
      </c>
      <c r="B125" s="3">
        <v>121461</v>
      </c>
      <c r="C125" s="3">
        <v>79045</v>
      </c>
      <c r="D125" s="9">
        <f>C125/B125</f>
        <v>0.6507850256460922</v>
      </c>
      <c r="J125" s="2">
        <v>13952</v>
      </c>
      <c r="M125" s="3"/>
      <c r="O125" s="29"/>
      <c r="BR125" s="29"/>
      <c r="BY125" s="29"/>
      <c r="EE125" s="29"/>
      <c r="EH125" s="29"/>
      <c r="FH125" s="29"/>
      <c r="FK125" s="29"/>
      <c r="FO125" s="29"/>
      <c r="FR125" s="30"/>
      <c r="FU125" s="29"/>
      <c r="FW125" s="22"/>
      <c r="FZ125" s="29"/>
    </row>
    <row r="126" spans="1:182">
      <c r="A126" s="1">
        <v>2022</v>
      </c>
      <c r="B126" s="3">
        <v>124069</v>
      </c>
      <c r="C126" s="44">
        <v>82036</v>
      </c>
      <c r="D126" s="9">
        <f>C126/B126</f>
        <v>0.66121271228106937</v>
      </c>
      <c r="J126" s="2"/>
      <c r="M126" s="3"/>
      <c r="O126" s="29"/>
      <c r="BR126" s="29"/>
      <c r="BY126" s="29"/>
      <c r="EE126" s="29"/>
      <c r="EH126" s="29"/>
      <c r="FH126" s="29"/>
      <c r="FK126" s="29"/>
      <c r="FO126" s="29"/>
      <c r="FR126" s="30"/>
      <c r="FU126" s="29"/>
      <c r="FW126" s="22"/>
      <c r="FZ126" s="29"/>
    </row>
    <row r="127" spans="1:182">
      <c r="A127" s="1">
        <v>2023</v>
      </c>
      <c r="B127" s="3">
        <v>127131</v>
      </c>
      <c r="C127" s="3">
        <v>85337</v>
      </c>
      <c r="D127" s="9">
        <f>C127/B127</f>
        <v>0.67125248759153944</v>
      </c>
      <c r="J127" s="2"/>
      <c r="M127" s="3"/>
      <c r="O127" s="29"/>
      <c r="BR127" s="29"/>
      <c r="BY127" s="29"/>
      <c r="EE127" s="29"/>
      <c r="EH127" s="29"/>
      <c r="FH127" s="29"/>
      <c r="FK127" s="29"/>
      <c r="FO127" s="29"/>
      <c r="FR127" s="30"/>
      <c r="FU127" s="29"/>
      <c r="FW127" s="22"/>
      <c r="FZ127" s="29"/>
    </row>
    <row r="128" spans="1:182">
      <c r="A128" s="1">
        <v>2024</v>
      </c>
      <c r="J128" s="2"/>
      <c r="M128" s="3"/>
      <c r="O128" s="29"/>
      <c r="BR128" s="29"/>
      <c r="BY128" s="29"/>
      <c r="EE128" s="29"/>
      <c r="EH128" s="29"/>
      <c r="FH128" s="29"/>
      <c r="FK128" s="29"/>
      <c r="FO128" s="29"/>
      <c r="FR128" s="30"/>
      <c r="FU128" s="29"/>
      <c r="FW128" s="22"/>
      <c r="FZ128" s="29"/>
    </row>
    <row r="129" spans="1:177">
      <c r="A129" s="1">
        <v>2030</v>
      </c>
      <c r="D129" s="15">
        <v>71</v>
      </c>
      <c r="O129" s="29"/>
      <c r="BR129" s="29"/>
      <c r="EE129" s="29"/>
      <c r="EH129" s="29"/>
      <c r="EX129" s="28"/>
      <c r="EY129" s="28"/>
      <c r="FH129" s="29"/>
      <c r="FK129" s="29"/>
      <c r="FO129" s="29"/>
      <c r="FR129" s="29"/>
      <c r="FU129" s="29"/>
    </row>
    <row r="130" spans="1:177">
      <c r="G130" s="1">
        <f>F130/100</f>
        <v>0</v>
      </c>
      <c r="O130" s="29"/>
      <c r="BR130" s="29"/>
      <c r="EE130" s="29"/>
      <c r="EH130" s="29"/>
      <c r="FH130" s="29"/>
      <c r="FK130" s="29"/>
    </row>
    <row r="131" spans="1:177">
      <c r="F131" s="1">
        <v>51.8</v>
      </c>
      <c r="G131" s="1">
        <f t="shared" ref="G131:G143" si="1">F131/100</f>
        <v>0.51800000000000002</v>
      </c>
      <c r="O131" s="29"/>
      <c r="BR131" s="29"/>
      <c r="EE131" s="29"/>
      <c r="EH131" s="29"/>
    </row>
    <row r="132" spans="1:177">
      <c r="F132" s="5">
        <v>50.6</v>
      </c>
      <c r="G132" s="1">
        <f t="shared" si="1"/>
        <v>0.50600000000000001</v>
      </c>
      <c r="O132" s="29"/>
      <c r="BR132" s="29"/>
    </row>
    <row r="133" spans="1:177">
      <c r="F133" s="1">
        <v>50.1</v>
      </c>
      <c r="G133" s="1">
        <f t="shared" si="1"/>
        <v>0.501</v>
      </c>
      <c r="O133" s="29"/>
      <c r="BR133" s="29"/>
    </row>
    <row r="134" spans="1:177">
      <c r="F134" s="1">
        <v>51.7</v>
      </c>
      <c r="G134" s="1">
        <f t="shared" si="1"/>
        <v>0.51700000000000002</v>
      </c>
      <c r="O134" s="29"/>
    </row>
    <row r="135" spans="1:177">
      <c r="F135" s="1">
        <v>52.5</v>
      </c>
      <c r="G135" s="1">
        <f t="shared" si="1"/>
        <v>0.52500000000000002</v>
      </c>
      <c r="O135" s="29"/>
    </row>
    <row r="136" spans="1:177">
      <c r="F136" s="1">
        <v>53.5</v>
      </c>
      <c r="G136" s="1">
        <f t="shared" si="1"/>
        <v>0.53500000000000003</v>
      </c>
      <c r="O136" s="29"/>
    </row>
    <row r="137" spans="1:177">
      <c r="F137" s="1">
        <v>54.3</v>
      </c>
      <c r="G137" s="1">
        <f t="shared" si="1"/>
        <v>0.54299999999999993</v>
      </c>
      <c r="O137" s="29"/>
    </row>
    <row r="138" spans="1:177">
      <c r="F138" s="1">
        <v>55.2</v>
      </c>
      <c r="G138" s="1">
        <f t="shared" si="1"/>
        <v>0.55200000000000005</v>
      </c>
      <c r="O138" s="29"/>
    </row>
    <row r="139" spans="1:177">
      <c r="F139" s="1">
        <v>56.7</v>
      </c>
      <c r="G139" s="1">
        <f t="shared" si="1"/>
        <v>0.56700000000000006</v>
      </c>
      <c r="O139" s="29"/>
    </row>
    <row r="140" spans="1:177" ht="15" thickBot="1">
      <c r="F140" s="1">
        <v>58</v>
      </c>
      <c r="G140" s="1">
        <f t="shared" si="1"/>
        <v>0.57999999999999996</v>
      </c>
      <c r="O140" s="29"/>
    </row>
    <row r="141" spans="1:177" ht="15" thickBot="1">
      <c r="F141" s="7">
        <v>58.8</v>
      </c>
      <c r="G141" s="1">
        <f t="shared" si="1"/>
        <v>0.58799999999999997</v>
      </c>
      <c r="O141" s="29"/>
    </row>
    <row r="142" spans="1:177">
      <c r="F142" s="1">
        <v>59.9</v>
      </c>
      <c r="G142" s="1">
        <f t="shared" si="1"/>
        <v>0.59899999999999998</v>
      </c>
      <c r="O142" s="29"/>
    </row>
    <row r="143" spans="1:177">
      <c r="F143" s="1">
        <v>60.5</v>
      </c>
      <c r="G143" s="1">
        <f t="shared" si="1"/>
        <v>0.60499999999999998</v>
      </c>
      <c r="O143" s="29"/>
    </row>
    <row r="144" spans="1:177">
      <c r="O144" s="29"/>
    </row>
    <row r="145" spans="15:15">
      <c r="O145" s="29"/>
    </row>
    <row r="146" spans="15:15">
      <c r="O146" s="29"/>
    </row>
    <row r="147" spans="15:15">
      <c r="O147" s="29"/>
    </row>
    <row r="148" spans="15:15">
      <c r="O148" s="29"/>
    </row>
    <row r="149" spans="15:15">
      <c r="O149" s="29"/>
    </row>
    <row r="150" spans="15:15">
      <c r="O150" s="29"/>
    </row>
    <row r="151" spans="15:15">
      <c r="O151" s="29"/>
    </row>
    <row r="152" spans="15:15">
      <c r="O152" s="29"/>
    </row>
    <row r="153" spans="15:15">
      <c r="O153" s="29"/>
    </row>
    <row r="154" spans="15:15">
      <c r="O154" s="29"/>
    </row>
    <row r="155" spans="15:15">
      <c r="O155" s="29"/>
    </row>
    <row r="156" spans="15:15">
      <c r="O156" s="29"/>
    </row>
    <row r="157" spans="15:15">
      <c r="O157" s="29"/>
    </row>
  </sheetData>
  <mergeCells count="5">
    <mergeCell ref="B2:D2"/>
    <mergeCell ref="J2:L2"/>
    <mergeCell ref="B1:L1"/>
    <mergeCell ref="E2:I2"/>
    <mergeCell ref="A1:A3"/>
  </mergeCells>
  <hyperlinks>
    <hyperlink ref="D74" r:id="rId1" display="http://www.dissertations.wsu.edu/Dissertations/Spring2004/A_Lincoln_050404.pdf" xr:uid="{00000000-0004-0000-2300-000000000000}"/>
    <hyperlink ref="L72" r:id="rId2" display="https://www.jstor.org/stable/pdf/20676846.pdf?refreqid=excelsior%3A67279bcca727c64ef8ca5cd50e1f7ff5" xr:uid="{00000000-0004-0000-2300-000001000000}"/>
    <hyperlink ref="L79" r:id="rId3" display="https://www.jstor.org/stable/pdf/20676846.pdf?refreqid=excelsior%3A67279bcca727c64ef8ca5cd50e1f7ff5" xr:uid="{00000000-0004-0000-2300-000002000000}"/>
    <hyperlink ref="C74" r:id="rId4" display="http://www.dissertations.wsu.edu/Dissertations/Spring2004/A_Lincoln_050404.pdf" xr:uid="{00000000-0004-0000-2300-000003000000}"/>
    <hyperlink ref="C84" r:id="rId5" display="http://www.dissertations.wsu.edu/Dissertations/Spring2004/A_Lincoln_050404.pdf" xr:uid="{00000000-0004-0000-2300-000004000000}"/>
    <hyperlink ref="D84" r:id="rId6" display="http://www.dissertations.wsu.edu/Dissertations/Spring2004/A_Lincoln_050404.pdf" xr:uid="{00000000-0004-0000-2300-000005000000}"/>
    <hyperlink ref="C94" r:id="rId7" display="http://www.dissertations.wsu.edu/Dissertations/Spring2004/A_Lincoln_050404.pdf" xr:uid="{00000000-0004-0000-2300-000006000000}"/>
    <hyperlink ref="D94" r:id="rId8" display="http://www.dissertations.wsu.edu/Dissertations/Spring2004/A_Lincoln_050404.pdf" xr:uid="{00000000-0004-0000-2300-000007000000}"/>
    <hyperlink ref="C99" r:id="rId9" display="http://www.dissertations.wsu.edu/Dissertations/Spring2004/A_Lincoln_050404.pdf" xr:uid="{00000000-0004-0000-2300-000008000000}"/>
    <hyperlink ref="D99" r:id="rId10" display="http://www.dissertations.wsu.edu/Dissertations/Spring2004/A_Lincoln_050404.pdf" xr:uid="{00000000-0004-0000-2300-000009000000}"/>
    <hyperlink ref="D129" r:id="rId11" display="https://www.ucop.edu/uc-health/_files/vet-med-an-era-of-change.pdf" xr:uid="{00000000-0004-0000-2300-00000A000000}"/>
    <hyperlink ref="D90" r:id="rId12" display="https://www.ncbi.nlm.nih.gov/pmc/articles/PMC1681137/?page=2" xr:uid="{00000000-0004-0000-2300-00000B000000}"/>
    <hyperlink ref="D103" r:id="rId13" display="https://www.crmv-pr.org.br/uploads/revista/arquivos/20160307140058.pdf" xr:uid="{00000000-0004-0000-2300-00000C000000}"/>
    <hyperlink ref="B103" r:id="rId14" display="https://www.crmv-pr.org.br/uploads/revista/arquivos/20160307140058.pdf" xr:uid="{00000000-0004-0000-2300-00000D000000}"/>
    <hyperlink ref="M111:N111" r:id="rId15" display="avma.org/javma-news/2007-06-15/2007-dvm-year-woman" xr:uid="{00000000-0004-0000-2300-00000E000000}"/>
    <hyperlink ref="B109:C109" r:id="rId16" display="avma.org/javma-news/2007-06-15/2007-dvm-year-woman" xr:uid="{00000000-0004-0000-2300-00000F000000}"/>
    <hyperlink ref="C48" r:id="rId17" display="https://www.avma.org/javma-news/2007-06-15/2007-dvm-year-woman" xr:uid="{00000000-0004-0000-2300-000010000000}"/>
    <hyperlink ref="C51" r:id="rId18" display="avma.org/javma-news/2007-06-15/2007-dvm-year-woman" xr:uid="{00000000-0004-0000-2300-000011000000}"/>
    <hyperlink ref="D91" r:id="rId19" display="https://pubmed.ncbi.nlm.nih.gov/23050383/" xr:uid="{00000000-0004-0000-2300-000012000000}"/>
    <hyperlink ref="L73" r:id="rId20" display="https://pubmed.ncbi.nlm.nih.gov/23050383/" xr:uid="{00000000-0004-0000-2300-000013000000}"/>
    <hyperlink ref="C40" r:id="rId21" display="https://pubmed.ncbi.nlm.nih.gov/23050383/" xr:uid="{00000000-0004-0000-2300-000014000000}"/>
    <hyperlink ref="C67" r:id="rId22" display="https://pubmed.ncbi.nlm.nih.gov/23050383/" xr:uid="{00000000-0004-0000-2300-000015000000}"/>
    <hyperlink ref="C43" r:id="rId23" display="https://www.avma.org/javma-news/2007-06-15/2007-dvm-year-woman" xr:uid="{00000000-0004-0000-2300-000016000000}"/>
    <hyperlink ref="O83" r:id="rId24" display="https://www.avma.org/javma-news/2007-06-15/2007-dvm-year-woman" xr:uid="{00000000-0004-0000-2300-000017000000}"/>
    <hyperlink ref="O93" r:id="rId25" display="https://www.avma.org/javma-news/2007-06-15/2007-dvm-year-woman" xr:uid="{00000000-0004-0000-2300-000018000000}"/>
    <hyperlink ref="O100" r:id="rId26" display="https://www.avma.org/javma-news/2007-06-15/2007-dvm-year-woman" xr:uid="{00000000-0004-0000-2300-000019000000}"/>
    <hyperlink ref="O73" r:id="rId27" display="https://archiveswest.orbiscascade.org/ark:/80444/xv70617" xr:uid="{00000000-0004-0000-2300-00001A000000}"/>
    <hyperlink ref="B4" r:id="rId28" display="https://www.avma.org/javma-news/2013-07-15/one-history-books" xr:uid="{D00216FC-EAED-418E-AADF-783A34F3F282}"/>
    <hyperlink ref="B24" r:id="rId29" display="https://www.avma.org/javma-news/2013-07-15/one-history-books" xr:uid="{1F9D9142-CFF3-44DF-8B64-A90E0A88222E}"/>
    <hyperlink ref="B56" r:id="rId30" display="https://www.avma.org/javma-news/2015-10-01/1945-1955" xr:uid="{E58F5735-22D2-4445-97C3-9256A0A0953D}"/>
    <hyperlink ref="C7" r:id="rId31" display="https://www.iowapbs.org/shows/mtom/market-feature/clip/11340/nations-almost-forgotten-first-female-veterinarian" xr:uid="{6035DAD3-6D60-4C36-B1DE-3AA0D6BB73C9}"/>
    <hyperlink ref="C14" r:id="rId32" display="https://www.iowapbs.org/shows/mtom/market-feature/clip/11340/nations-almost-forgotten-first-female-veterinarian" xr:uid="{C64B62B2-C259-4DD3-ADF3-8922B8AB481A}"/>
  </hyperlinks>
  <pageMargins left="0.7" right="0.7" top="0.75" bottom="0.75" header="0.3" footer="0.3"/>
  <pageSetup orientation="portrait" r:id="rId33"/>
  <drawing r:id="rId34"/>
  <legacyDrawing r:id="rId35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FZ108"/>
  <sheetViews>
    <sheetView zoomScaleNormal="100" workbookViewId="0">
      <pane xSplit="1" topLeftCell="FE1" activePane="topRight" state="frozen"/>
      <selection pane="topRight" activeCell="FR33" sqref="FR33"/>
    </sheetView>
  </sheetViews>
  <sheetFormatPr defaultColWidth="8.88671875" defaultRowHeight="14.4"/>
  <cols>
    <col min="1" max="1" width="5" style="1" customWidth="1"/>
    <col min="2" max="2" width="8" style="1" customWidth="1"/>
    <col min="3" max="3" width="6.5546875" style="1" customWidth="1"/>
    <col min="4" max="4" width="7.88671875" style="1" customWidth="1"/>
    <col min="5" max="5" width="6.109375" style="1" customWidth="1"/>
    <col min="6" max="6" width="8.88671875" style="1"/>
    <col min="7" max="7" width="7.6640625" style="1" customWidth="1"/>
    <col min="8" max="8" width="6.6640625" style="1" customWidth="1"/>
    <col min="9" max="9" width="8.88671875" style="1"/>
    <col min="10" max="10" width="6.5546875" style="1" customWidth="1"/>
    <col min="11" max="28" width="8.88671875" style="1"/>
    <col min="29" max="29" width="12" style="1" bestFit="1" customWidth="1"/>
    <col min="30" max="136" width="8.88671875" style="1"/>
    <col min="137" max="137" width="10.109375" style="1" bestFit="1" customWidth="1"/>
    <col min="138" max="174" width="8.88671875" style="1"/>
    <col min="175" max="175" width="10" style="1" bestFit="1" customWidth="1"/>
    <col min="176" max="16384" width="8.88671875" style="1"/>
  </cols>
  <sheetData>
    <row r="1" spans="1:182">
      <c r="A1" s="1" t="s">
        <v>0</v>
      </c>
      <c r="B1" s="53" t="s">
        <v>142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4" t="s">
        <v>45</v>
      </c>
      <c r="N1" s="54"/>
      <c r="O1" s="54"/>
      <c r="P1" s="54"/>
      <c r="Q1" s="54"/>
      <c r="R1" s="54"/>
      <c r="S1" s="54"/>
      <c r="T1" s="54"/>
      <c r="U1" s="53" t="s">
        <v>124</v>
      </c>
      <c r="V1" s="53"/>
      <c r="W1" s="53"/>
      <c r="X1" s="53"/>
      <c r="Y1" s="53" t="s">
        <v>22</v>
      </c>
      <c r="Z1" s="53"/>
      <c r="AA1" s="53"/>
      <c r="AB1" s="53"/>
      <c r="AC1" s="53"/>
      <c r="AD1" s="53" t="s">
        <v>109</v>
      </c>
      <c r="AE1" s="53"/>
      <c r="AF1" s="53"/>
      <c r="AG1" s="53"/>
      <c r="AH1" s="53"/>
      <c r="AI1" s="53" t="s">
        <v>80</v>
      </c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4" t="s">
        <v>60</v>
      </c>
      <c r="BA1" s="54"/>
      <c r="BB1" s="54"/>
      <c r="BC1" s="54"/>
      <c r="BD1" s="54"/>
      <c r="BE1" s="54"/>
      <c r="BF1" s="54"/>
      <c r="BG1" s="54"/>
      <c r="BH1" s="54"/>
      <c r="BI1" s="54"/>
      <c r="BJ1" s="54"/>
      <c r="BK1" s="1" t="s">
        <v>123</v>
      </c>
      <c r="BM1" s="53" t="s">
        <v>137</v>
      </c>
      <c r="BN1" s="53"/>
      <c r="BO1" s="53"/>
      <c r="BP1" s="53" t="s">
        <v>129</v>
      </c>
      <c r="BQ1" s="53"/>
      <c r="BR1" s="53"/>
      <c r="BS1" s="53"/>
      <c r="BT1" s="53"/>
      <c r="BU1" s="53"/>
      <c r="BV1" s="53"/>
      <c r="BW1" s="53"/>
      <c r="BX1" s="53"/>
      <c r="BY1" s="53"/>
      <c r="BZ1" s="54" t="s">
        <v>66</v>
      </c>
      <c r="CA1" s="54"/>
      <c r="CB1" s="54"/>
      <c r="CC1" s="54"/>
      <c r="CD1" s="54"/>
      <c r="CE1" s="54"/>
      <c r="CF1" s="54"/>
      <c r="CG1" s="54"/>
      <c r="CH1" s="54"/>
      <c r="CI1" s="54"/>
      <c r="CJ1" s="54"/>
      <c r="CK1" s="54"/>
      <c r="CL1" s="54"/>
      <c r="CM1" s="54"/>
      <c r="CN1" s="54"/>
      <c r="CO1" s="54"/>
      <c r="CP1" s="53" t="s">
        <v>36</v>
      </c>
      <c r="CQ1" s="53"/>
      <c r="CR1" s="53"/>
      <c r="CS1" s="53"/>
      <c r="CT1" s="53" t="s">
        <v>140</v>
      </c>
      <c r="CU1" s="53"/>
      <c r="CV1" s="53"/>
      <c r="CW1" s="53"/>
      <c r="CX1" s="53"/>
      <c r="CY1" s="54" t="s">
        <v>30</v>
      </c>
      <c r="CZ1" s="54"/>
      <c r="DA1" s="54"/>
      <c r="DB1" s="54"/>
      <c r="DC1" s="54"/>
      <c r="DD1" s="54"/>
      <c r="DE1" s="54"/>
      <c r="DF1" s="54"/>
      <c r="DG1" s="54"/>
      <c r="DH1" s="54"/>
      <c r="DI1" s="54" t="s">
        <v>78</v>
      </c>
      <c r="DJ1" s="54"/>
      <c r="DK1" s="54"/>
      <c r="DL1" s="54"/>
      <c r="DM1" s="54" t="s">
        <v>106</v>
      </c>
      <c r="DN1" s="54"/>
      <c r="DO1" s="54"/>
      <c r="DP1" s="54" t="s">
        <v>139</v>
      </c>
      <c r="DQ1" s="54"/>
      <c r="DR1" s="54"/>
      <c r="DS1" s="1" t="s">
        <v>104</v>
      </c>
      <c r="DT1" s="53" t="s">
        <v>1</v>
      </c>
      <c r="DU1" s="53"/>
      <c r="DV1" s="53"/>
      <c r="DW1" s="53"/>
      <c r="DX1" s="53"/>
      <c r="DY1" s="53"/>
      <c r="DZ1" s="53" t="s">
        <v>39</v>
      </c>
      <c r="EA1" s="53"/>
      <c r="EB1" s="53"/>
      <c r="EC1" s="53"/>
      <c r="ED1" s="53"/>
      <c r="EE1" s="53"/>
      <c r="EF1" s="53"/>
      <c r="EG1" s="53"/>
      <c r="EH1" s="53"/>
      <c r="EI1" s="53"/>
      <c r="EJ1" s="53" t="s">
        <v>126</v>
      </c>
      <c r="EK1" s="53"/>
      <c r="EL1" s="53"/>
      <c r="EM1" s="53"/>
      <c r="EN1" s="53"/>
      <c r="EO1" s="53"/>
      <c r="EP1" s="53"/>
      <c r="EQ1" s="1" t="s">
        <v>54</v>
      </c>
      <c r="ER1" s="1" t="s">
        <v>105</v>
      </c>
      <c r="ES1" s="53" t="s">
        <v>59</v>
      </c>
      <c r="ET1" s="53"/>
      <c r="EU1" s="53"/>
      <c r="EV1" s="53" t="s">
        <v>107</v>
      </c>
      <c r="EW1" s="53"/>
      <c r="EX1" s="53" t="s">
        <v>127</v>
      </c>
      <c r="EY1" s="53"/>
      <c r="EZ1" s="53"/>
      <c r="FA1" s="53"/>
      <c r="FB1" s="53"/>
      <c r="FC1" s="53" t="s">
        <v>57</v>
      </c>
      <c r="FD1" s="53"/>
      <c r="FE1" s="53"/>
      <c r="FF1" s="53" t="s">
        <v>114</v>
      </c>
      <c r="FG1" s="53"/>
      <c r="FH1" s="53"/>
      <c r="FI1" s="53"/>
      <c r="FJ1" s="53"/>
      <c r="FK1" s="53"/>
      <c r="FL1" s="1" t="s">
        <v>121</v>
      </c>
      <c r="FM1" s="53" t="s">
        <v>55</v>
      </c>
      <c r="FN1" s="53"/>
      <c r="FO1" s="53"/>
      <c r="FP1" s="53"/>
      <c r="FQ1" s="53"/>
      <c r="FR1" s="53"/>
      <c r="FS1" s="53"/>
      <c r="FT1" s="53"/>
      <c r="FU1" s="53"/>
      <c r="FV1" s="1" t="s">
        <v>122</v>
      </c>
      <c r="FW1" s="53" t="s">
        <v>75</v>
      </c>
      <c r="FX1" s="53"/>
      <c r="FY1" s="53"/>
      <c r="FZ1" s="53"/>
    </row>
    <row r="2" spans="1:182" ht="15" customHeight="1">
      <c r="B2" s="53" t="s">
        <v>49</v>
      </c>
      <c r="C2" s="53"/>
      <c r="D2" s="53"/>
      <c r="E2" s="53" t="s">
        <v>151</v>
      </c>
      <c r="F2" s="53"/>
      <c r="G2" s="53"/>
      <c r="J2" s="53" t="s">
        <v>61</v>
      </c>
      <c r="K2" s="53"/>
      <c r="L2" s="53"/>
      <c r="M2" s="53" t="s">
        <v>23</v>
      </c>
      <c r="N2" s="53"/>
      <c r="O2" s="53"/>
      <c r="P2" s="53"/>
      <c r="Q2" s="12" t="s">
        <v>46</v>
      </c>
      <c r="R2" s="12" t="s">
        <v>47</v>
      </c>
      <c r="S2" s="53" t="s">
        <v>48</v>
      </c>
      <c r="T2" s="53"/>
      <c r="U2" s="54" t="s">
        <v>23</v>
      </c>
      <c r="V2" s="54"/>
      <c r="W2" s="54"/>
      <c r="X2" s="15" t="s">
        <v>125</v>
      </c>
      <c r="Y2" s="54" t="s">
        <v>23</v>
      </c>
      <c r="Z2" s="54"/>
      <c r="AA2" s="54"/>
      <c r="AB2" s="54"/>
      <c r="AC2" s="54"/>
      <c r="AD2" s="54" t="s">
        <v>23</v>
      </c>
      <c r="AE2" s="54"/>
      <c r="AF2" s="54"/>
      <c r="AG2" s="54"/>
      <c r="AH2" s="54"/>
      <c r="AI2" s="53" t="s">
        <v>23</v>
      </c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 t="s">
        <v>81</v>
      </c>
      <c r="AY2" s="53"/>
      <c r="AZ2" s="56" t="s">
        <v>23</v>
      </c>
      <c r="BA2" s="56"/>
      <c r="BB2" s="56"/>
      <c r="BC2" s="53" t="s">
        <v>61</v>
      </c>
      <c r="BD2" s="53"/>
      <c r="BE2" s="53"/>
      <c r="BF2" s="53"/>
      <c r="BG2" s="1" t="s">
        <v>62</v>
      </c>
      <c r="BH2" s="53" t="s">
        <v>63</v>
      </c>
      <c r="BI2" s="53"/>
      <c r="BJ2" s="53"/>
      <c r="BK2" s="1" t="s">
        <v>23</v>
      </c>
      <c r="BL2" s="1" t="s">
        <v>81</v>
      </c>
      <c r="BM2" s="53" t="s">
        <v>32</v>
      </c>
      <c r="BN2" s="53"/>
      <c r="BO2" s="27" t="s">
        <v>138</v>
      </c>
      <c r="BP2" s="53" t="s">
        <v>23</v>
      </c>
      <c r="BQ2" s="53"/>
      <c r="BR2" s="53"/>
      <c r="BS2" s="53" t="s">
        <v>62</v>
      </c>
      <c r="BT2" s="53"/>
      <c r="BU2" s="53"/>
      <c r="BV2" s="12" t="s">
        <v>131</v>
      </c>
      <c r="BW2" s="60" t="s">
        <v>132</v>
      </c>
      <c r="BX2" s="60"/>
      <c r="BY2" s="60"/>
      <c r="BZ2" s="53" t="s">
        <v>23</v>
      </c>
      <c r="CA2" s="53"/>
      <c r="CB2" s="53"/>
      <c r="CC2" s="53" t="s">
        <v>67</v>
      </c>
      <c r="CD2" s="53"/>
      <c r="CE2" s="53"/>
      <c r="CF2" s="53"/>
      <c r="CG2" s="53" t="s">
        <v>68</v>
      </c>
      <c r="CH2" s="53"/>
      <c r="CI2" s="53"/>
      <c r="CJ2" s="53" t="s">
        <v>16</v>
      </c>
      <c r="CK2" s="53"/>
      <c r="CL2" s="53"/>
      <c r="CM2" s="53" t="s">
        <v>69</v>
      </c>
      <c r="CN2" s="53"/>
      <c r="CO2" s="53"/>
      <c r="CP2" s="15" t="s">
        <v>37</v>
      </c>
      <c r="CQ2" s="54" t="s">
        <v>38</v>
      </c>
      <c r="CR2" s="54"/>
      <c r="CS2" s="54"/>
      <c r="CT2" s="54" t="s">
        <v>23</v>
      </c>
      <c r="CU2" s="54"/>
      <c r="CV2" s="54" t="s">
        <v>58</v>
      </c>
      <c r="CW2" s="54"/>
      <c r="CX2" s="54"/>
      <c r="CY2" s="26" t="s">
        <v>23</v>
      </c>
      <c r="CZ2" s="53" t="s">
        <v>31</v>
      </c>
      <c r="DA2" s="53"/>
      <c r="DB2" s="53"/>
      <c r="DC2" s="53" t="s">
        <v>32</v>
      </c>
      <c r="DD2" s="53"/>
      <c r="DE2" s="53"/>
      <c r="DF2" s="54" t="s">
        <v>16</v>
      </c>
      <c r="DG2" s="54"/>
      <c r="DH2" s="54"/>
      <c r="DI2" s="52" t="s">
        <v>23</v>
      </c>
      <c r="DJ2" s="52"/>
      <c r="DK2" s="53" t="s">
        <v>32</v>
      </c>
      <c r="DL2" s="53"/>
      <c r="DM2" s="53" t="s">
        <v>58</v>
      </c>
      <c r="DN2" s="53"/>
      <c r="DO2" s="53"/>
      <c r="DP2" s="53" t="s">
        <v>58</v>
      </c>
      <c r="DQ2" s="53"/>
      <c r="DR2" s="53"/>
      <c r="DS2" s="1" t="s">
        <v>24</v>
      </c>
      <c r="DT2" s="53" t="s">
        <v>2</v>
      </c>
      <c r="DU2" s="53"/>
      <c r="DV2" s="53"/>
      <c r="DW2" s="53"/>
      <c r="DX2" s="53"/>
      <c r="DY2" s="53"/>
      <c r="DZ2" s="53" t="s">
        <v>23</v>
      </c>
      <c r="EA2" s="53"/>
      <c r="EB2" s="53"/>
      <c r="EC2" s="53" t="s">
        <v>40</v>
      </c>
      <c r="ED2" s="53"/>
      <c r="EE2" s="53"/>
      <c r="EF2" s="53" t="s">
        <v>16</v>
      </c>
      <c r="EG2" s="53"/>
      <c r="EH2" s="53"/>
      <c r="EI2" s="1" t="s">
        <v>41</v>
      </c>
      <c r="EJ2" s="54" t="s">
        <v>58</v>
      </c>
      <c r="EK2" s="54"/>
      <c r="EL2" s="54"/>
      <c r="EM2" s="15" t="s">
        <v>47</v>
      </c>
      <c r="EN2" s="54" t="s">
        <v>23</v>
      </c>
      <c r="EO2" s="54"/>
      <c r="EP2" s="54"/>
      <c r="EQ2" s="1" t="s">
        <v>32</v>
      </c>
      <c r="ER2" s="1" t="s">
        <v>58</v>
      </c>
      <c r="ES2" s="53" t="s">
        <v>31</v>
      </c>
      <c r="ET2" s="53"/>
      <c r="EU2" s="53"/>
      <c r="EV2" s="1" t="s">
        <v>16</v>
      </c>
      <c r="EW2" s="1" t="s">
        <v>23</v>
      </c>
      <c r="EX2" s="1" t="s">
        <v>58</v>
      </c>
      <c r="EY2" s="1" t="s">
        <v>128</v>
      </c>
      <c r="EZ2" s="53" t="s">
        <v>23</v>
      </c>
      <c r="FA2" s="53"/>
      <c r="FB2" s="53"/>
      <c r="FC2" s="53" t="s">
        <v>58</v>
      </c>
      <c r="FD2" s="53"/>
      <c r="FE2" s="53"/>
      <c r="FF2" s="53" t="s">
        <v>31</v>
      </c>
      <c r="FG2" s="53"/>
      <c r="FH2" s="53"/>
      <c r="FI2" s="53" t="s">
        <v>16</v>
      </c>
      <c r="FJ2" s="53"/>
      <c r="FK2" s="53"/>
      <c r="FL2" s="1" t="s">
        <v>16</v>
      </c>
      <c r="FM2" s="54" t="s">
        <v>32</v>
      </c>
      <c r="FN2" s="54"/>
      <c r="FO2" s="54"/>
      <c r="FP2" s="53" t="s">
        <v>16</v>
      </c>
      <c r="FQ2" s="53"/>
      <c r="FR2" s="53"/>
      <c r="FS2" s="54" t="s">
        <v>56</v>
      </c>
      <c r="FT2" s="54"/>
      <c r="FU2" s="54"/>
      <c r="FV2" s="1" t="s">
        <v>16</v>
      </c>
      <c r="FW2" s="1" t="s">
        <v>16</v>
      </c>
      <c r="FX2" s="53" t="s">
        <v>32</v>
      </c>
      <c r="FY2" s="53"/>
      <c r="FZ2" s="53"/>
    </row>
    <row r="3" spans="1:182">
      <c r="B3" s="1" t="s">
        <v>49</v>
      </c>
      <c r="C3" s="1" t="s">
        <v>50</v>
      </c>
      <c r="D3" s="1" t="s">
        <v>146</v>
      </c>
      <c r="E3" s="1" t="s">
        <v>49</v>
      </c>
      <c r="F3" s="1" t="s">
        <v>50</v>
      </c>
      <c r="G3" s="1" t="s">
        <v>147</v>
      </c>
      <c r="H3" s="1" t="s">
        <v>148</v>
      </c>
      <c r="I3" s="1" t="s">
        <v>149</v>
      </c>
      <c r="J3" s="1" t="s">
        <v>61</v>
      </c>
      <c r="K3" s="1" t="s">
        <v>97</v>
      </c>
      <c r="L3" s="1" t="s">
        <v>27</v>
      </c>
      <c r="M3" s="1" t="s">
        <v>49</v>
      </c>
      <c r="N3" s="1" t="s">
        <v>50</v>
      </c>
      <c r="O3" s="1" t="s">
        <v>27</v>
      </c>
      <c r="P3" s="1" t="s">
        <v>51</v>
      </c>
      <c r="Q3" s="1" t="s">
        <v>33</v>
      </c>
      <c r="R3" s="1" t="s">
        <v>27</v>
      </c>
      <c r="S3" s="1" t="s">
        <v>52</v>
      </c>
      <c r="T3" s="1" t="s">
        <v>53</v>
      </c>
      <c r="U3" s="1" t="s">
        <v>49</v>
      </c>
      <c r="V3" s="1" t="s">
        <v>50</v>
      </c>
      <c r="W3" s="1" t="s">
        <v>111</v>
      </c>
      <c r="X3" s="1" t="s">
        <v>27</v>
      </c>
      <c r="Y3" s="1" t="s">
        <v>25</v>
      </c>
      <c r="Z3" s="1" t="s">
        <v>26</v>
      </c>
      <c r="AA3" s="1" t="s">
        <v>27</v>
      </c>
      <c r="AB3" s="1" t="s">
        <v>28</v>
      </c>
      <c r="AC3" s="1" t="s">
        <v>29</v>
      </c>
      <c r="AD3" s="1" t="s">
        <v>110</v>
      </c>
      <c r="AE3" s="1" t="s">
        <v>26</v>
      </c>
      <c r="AF3" s="1" t="s">
        <v>111</v>
      </c>
      <c r="AG3" s="1" t="s">
        <v>112</v>
      </c>
      <c r="AH3" s="1" t="s">
        <v>113</v>
      </c>
      <c r="AI3" s="15" t="s">
        <v>82</v>
      </c>
      <c r="AJ3" s="15" t="s">
        <v>83</v>
      </c>
      <c r="AK3" s="15" t="s">
        <v>84</v>
      </c>
      <c r="AL3" s="15" t="s">
        <v>85</v>
      </c>
      <c r="AM3" s="15" t="s">
        <v>86</v>
      </c>
      <c r="AN3" s="15" t="s">
        <v>87</v>
      </c>
      <c r="AO3" s="15" t="s">
        <v>88</v>
      </c>
      <c r="AP3" s="15" t="s">
        <v>89</v>
      </c>
      <c r="AQ3" s="15" t="s">
        <v>90</v>
      </c>
      <c r="AR3" s="15" t="s">
        <v>91</v>
      </c>
      <c r="AS3" s="15" t="s">
        <v>92</v>
      </c>
      <c r="AT3" s="15" t="s">
        <v>93</v>
      </c>
      <c r="AU3" s="15" t="s">
        <v>94</v>
      </c>
      <c r="AV3" s="15" t="s">
        <v>95</v>
      </c>
      <c r="AW3" s="15" t="s">
        <v>96</v>
      </c>
      <c r="AX3" s="15" t="s">
        <v>97</v>
      </c>
      <c r="AY3" s="15" t="s">
        <v>27</v>
      </c>
      <c r="AZ3" s="1" t="s">
        <v>64</v>
      </c>
      <c r="BA3" s="1" t="s">
        <v>43</v>
      </c>
      <c r="BB3" s="1" t="s">
        <v>44</v>
      </c>
      <c r="BC3" s="1" t="s">
        <v>64</v>
      </c>
      <c r="BD3" s="1" t="s">
        <v>43</v>
      </c>
      <c r="BE3" s="1" t="s">
        <v>44</v>
      </c>
      <c r="BF3" s="1" t="s">
        <v>65</v>
      </c>
      <c r="BG3" s="1" t="s">
        <v>44</v>
      </c>
      <c r="BH3" s="1" t="s">
        <v>64</v>
      </c>
      <c r="BI3" s="1" t="s">
        <v>43</v>
      </c>
      <c r="BJ3" s="1" t="s">
        <v>44</v>
      </c>
      <c r="BK3" s="1" t="s">
        <v>44</v>
      </c>
      <c r="BL3" s="1" t="s">
        <v>44</v>
      </c>
      <c r="BM3" s="1" t="s">
        <v>43</v>
      </c>
      <c r="BN3" s="1" t="s">
        <v>44</v>
      </c>
      <c r="BO3" s="1" t="s">
        <v>44</v>
      </c>
      <c r="BP3" s="1" t="s">
        <v>42</v>
      </c>
      <c r="BQ3" s="1" t="s">
        <v>43</v>
      </c>
      <c r="BR3" s="1" t="s">
        <v>44</v>
      </c>
      <c r="BS3" s="1" t="s">
        <v>42</v>
      </c>
      <c r="BT3" s="1" t="s">
        <v>43</v>
      </c>
      <c r="BU3" s="1" t="s">
        <v>44</v>
      </c>
      <c r="BV3" s="1" t="s">
        <v>44</v>
      </c>
      <c r="BW3" s="1" t="s">
        <v>34</v>
      </c>
      <c r="BX3" s="1" t="s">
        <v>35</v>
      </c>
      <c r="BY3" s="1" t="s">
        <v>33</v>
      </c>
      <c r="BZ3" s="1" t="s">
        <v>70</v>
      </c>
      <c r="CA3" s="1" t="s">
        <v>50</v>
      </c>
      <c r="CB3" s="1" t="s">
        <v>3</v>
      </c>
      <c r="CC3" s="1" t="s">
        <v>71</v>
      </c>
      <c r="CD3" s="1" t="s">
        <v>72</v>
      </c>
      <c r="CE3" s="1" t="s">
        <v>73</v>
      </c>
      <c r="CF3" s="1" t="s">
        <v>74</v>
      </c>
      <c r="CG3" s="1" t="s">
        <v>70</v>
      </c>
      <c r="CH3" s="1" t="s">
        <v>50</v>
      </c>
      <c r="CI3" s="1" t="s">
        <v>3</v>
      </c>
      <c r="CJ3" s="1" t="s">
        <v>70</v>
      </c>
      <c r="CK3" s="1" t="s">
        <v>50</v>
      </c>
      <c r="CL3" s="1" t="s">
        <v>3</v>
      </c>
      <c r="CM3" s="1" t="s">
        <v>70</v>
      </c>
      <c r="CN3" s="1" t="s">
        <v>50</v>
      </c>
      <c r="CO3" s="1" t="s">
        <v>3</v>
      </c>
      <c r="CP3" s="1" t="s">
        <v>3</v>
      </c>
      <c r="CQ3" s="1" t="s">
        <v>34</v>
      </c>
      <c r="CR3" s="1" t="s">
        <v>35</v>
      </c>
      <c r="CS3" s="1" t="s">
        <v>33</v>
      </c>
      <c r="CT3" s="1" t="s">
        <v>3</v>
      </c>
      <c r="CU3" s="1" t="s">
        <v>141</v>
      </c>
      <c r="CV3" s="1" t="s">
        <v>34</v>
      </c>
      <c r="CW3" s="1" t="s">
        <v>35</v>
      </c>
      <c r="CX3" s="1" t="s">
        <v>33</v>
      </c>
      <c r="CY3" s="1" t="s">
        <v>33</v>
      </c>
      <c r="CZ3" s="1" t="s">
        <v>34</v>
      </c>
      <c r="DA3" s="1" t="s">
        <v>35</v>
      </c>
      <c r="DB3" s="1" t="s">
        <v>33</v>
      </c>
      <c r="DC3" s="1" t="s">
        <v>34</v>
      </c>
      <c r="DD3" s="1" t="s">
        <v>35</v>
      </c>
      <c r="DE3" s="1" t="s">
        <v>33</v>
      </c>
      <c r="DF3" s="1" t="s">
        <v>34</v>
      </c>
      <c r="DG3" s="1" t="s">
        <v>35</v>
      </c>
      <c r="DH3" s="1" t="s">
        <v>33</v>
      </c>
      <c r="DI3" s="1" t="s">
        <v>79</v>
      </c>
      <c r="DJ3" s="1" t="s">
        <v>33</v>
      </c>
      <c r="DK3" s="1" t="s">
        <v>34</v>
      </c>
      <c r="DL3" s="1" t="s">
        <v>33</v>
      </c>
      <c r="DM3" s="1" t="s">
        <v>34</v>
      </c>
      <c r="DN3" s="1" t="s">
        <v>50</v>
      </c>
      <c r="DO3" s="1" t="s">
        <v>3</v>
      </c>
      <c r="DP3" s="1" t="s">
        <v>34</v>
      </c>
      <c r="DQ3" s="1" t="s">
        <v>50</v>
      </c>
      <c r="DR3" s="1" t="s">
        <v>3</v>
      </c>
      <c r="DS3" s="1" t="s">
        <v>33</v>
      </c>
      <c r="DT3" s="1" t="s">
        <v>3</v>
      </c>
      <c r="DU3" s="1" t="s">
        <v>4</v>
      </c>
      <c r="DV3" s="1" t="s">
        <v>5</v>
      </c>
      <c r="DW3" s="1" t="s">
        <v>6</v>
      </c>
      <c r="DX3" s="1" t="s">
        <v>7</v>
      </c>
      <c r="DZ3" s="1" t="s">
        <v>42</v>
      </c>
      <c r="EA3" s="1" t="s">
        <v>43</v>
      </c>
      <c r="EB3" s="1" t="s">
        <v>44</v>
      </c>
      <c r="EC3" s="1" t="s">
        <v>34</v>
      </c>
      <c r="ED3" s="1" t="s">
        <v>35</v>
      </c>
      <c r="EE3" s="15" t="s">
        <v>33</v>
      </c>
      <c r="EF3" s="31" t="s">
        <v>34</v>
      </c>
      <c r="EG3" s="31" t="s">
        <v>35</v>
      </c>
      <c r="EH3" s="1" t="s">
        <v>33</v>
      </c>
      <c r="EI3" s="1" t="s">
        <v>33</v>
      </c>
      <c r="EJ3" s="1" t="s">
        <v>34</v>
      </c>
      <c r="EK3" s="1" t="s">
        <v>35</v>
      </c>
      <c r="EL3" s="1" t="s">
        <v>33</v>
      </c>
      <c r="EM3" s="1" t="s">
        <v>33</v>
      </c>
      <c r="EN3" s="1" t="s">
        <v>34</v>
      </c>
      <c r="EO3" s="1" t="s">
        <v>35</v>
      </c>
      <c r="EP3" s="1" t="s">
        <v>33</v>
      </c>
      <c r="EQ3" s="15" t="s">
        <v>33</v>
      </c>
      <c r="ER3" s="1" t="s">
        <v>33</v>
      </c>
      <c r="ES3" s="1" t="s">
        <v>34</v>
      </c>
      <c r="ET3" s="1" t="s">
        <v>35</v>
      </c>
      <c r="EU3" s="1" t="s">
        <v>33</v>
      </c>
      <c r="EV3" s="1" t="s">
        <v>33</v>
      </c>
      <c r="EW3" s="1" t="s">
        <v>33</v>
      </c>
      <c r="EX3" s="15" t="s">
        <v>3</v>
      </c>
      <c r="EY3" s="31" t="s">
        <v>33</v>
      </c>
      <c r="EZ3" s="1" t="s">
        <v>34</v>
      </c>
      <c r="FA3" s="1" t="s">
        <v>35</v>
      </c>
      <c r="FB3" s="1" t="s">
        <v>33</v>
      </c>
      <c r="FC3" s="1" t="s">
        <v>34</v>
      </c>
      <c r="FD3" s="1" t="s">
        <v>35</v>
      </c>
      <c r="FE3" s="1" t="s">
        <v>33</v>
      </c>
      <c r="FF3" s="1" t="s">
        <v>34</v>
      </c>
      <c r="FG3" s="1" t="s">
        <v>35</v>
      </c>
      <c r="FH3" s="1" t="s">
        <v>33</v>
      </c>
      <c r="FI3" s="1" t="s">
        <v>34</v>
      </c>
      <c r="FJ3" s="1" t="s">
        <v>35</v>
      </c>
      <c r="FK3" s="1" t="s">
        <v>33</v>
      </c>
      <c r="FL3" s="1" t="s">
        <v>33</v>
      </c>
      <c r="FM3" s="1" t="s">
        <v>34</v>
      </c>
      <c r="FN3" s="1" t="s">
        <v>35</v>
      </c>
      <c r="FO3" s="1" t="s">
        <v>33</v>
      </c>
      <c r="FP3" s="1" t="s">
        <v>34</v>
      </c>
      <c r="FQ3" s="1" t="s">
        <v>35</v>
      </c>
      <c r="FR3" s="1" t="s">
        <v>33</v>
      </c>
      <c r="FS3" s="1" t="s">
        <v>34</v>
      </c>
      <c r="FT3" s="1" t="s">
        <v>35</v>
      </c>
      <c r="FU3" s="1" t="s">
        <v>33</v>
      </c>
      <c r="FV3" s="1" t="s">
        <v>33</v>
      </c>
      <c r="FW3" s="1" t="s">
        <v>33</v>
      </c>
      <c r="FX3" s="1" t="s">
        <v>34</v>
      </c>
      <c r="FY3" s="1" t="s">
        <v>35</v>
      </c>
      <c r="FZ3" s="1" t="s">
        <v>33</v>
      </c>
    </row>
    <row r="4" spans="1:182">
      <c r="A4" s="1">
        <v>1932</v>
      </c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EE4" s="15"/>
      <c r="EF4" s="31"/>
      <c r="EG4" s="31"/>
      <c r="EQ4" s="15"/>
      <c r="EX4" s="15"/>
      <c r="EY4" s="31"/>
      <c r="FN4" s="15">
        <v>1</v>
      </c>
      <c r="FO4" s="22"/>
      <c r="FZ4" s="29"/>
    </row>
    <row r="5" spans="1:182">
      <c r="A5" s="1">
        <v>1933</v>
      </c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CQ5" s="1">
        <v>12</v>
      </c>
      <c r="CR5" s="1">
        <v>0</v>
      </c>
      <c r="CS5" s="1">
        <f>CR5/CQ5</f>
        <v>0</v>
      </c>
      <c r="EE5" s="15"/>
      <c r="EF5" s="31"/>
      <c r="EG5" s="31"/>
      <c r="EQ5" s="15"/>
      <c r="FN5" s="1">
        <v>0</v>
      </c>
      <c r="FO5" s="29"/>
      <c r="FR5" s="29"/>
      <c r="FU5" s="29"/>
      <c r="FZ5" s="29"/>
    </row>
    <row r="6" spans="1:182">
      <c r="A6" s="1">
        <v>1934</v>
      </c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CQ6" s="1">
        <v>26</v>
      </c>
      <c r="CR6" s="1">
        <v>0</v>
      </c>
      <c r="CS6" s="1">
        <f t="shared" ref="CS6:CS69" si="0">CR6/CQ6</f>
        <v>0</v>
      </c>
      <c r="EE6" s="15"/>
      <c r="EF6" s="31"/>
      <c r="EG6" s="31"/>
      <c r="EQ6" s="15"/>
      <c r="FN6" s="1">
        <v>0</v>
      </c>
      <c r="FO6" s="29"/>
      <c r="FR6" s="29"/>
      <c r="FU6" s="29"/>
      <c r="FZ6" s="29"/>
    </row>
    <row r="7" spans="1:182">
      <c r="A7" s="1">
        <v>1935</v>
      </c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CQ7" s="1">
        <v>36</v>
      </c>
      <c r="CR7" s="1">
        <v>0</v>
      </c>
      <c r="CS7" s="1">
        <f t="shared" si="0"/>
        <v>0</v>
      </c>
      <c r="EE7" s="15"/>
      <c r="EF7" s="31"/>
      <c r="EG7" s="31"/>
      <c r="EQ7" s="15"/>
      <c r="FF7" s="15">
        <v>15</v>
      </c>
      <c r="FG7" s="15">
        <v>0</v>
      </c>
      <c r="FH7" s="29">
        <v>0</v>
      </c>
      <c r="FK7" s="29"/>
      <c r="FN7" s="15">
        <v>1</v>
      </c>
      <c r="FO7" s="29"/>
      <c r="FR7" s="29"/>
      <c r="FU7" s="29"/>
      <c r="FZ7" s="29"/>
    </row>
    <row r="8" spans="1:182">
      <c r="A8" s="1">
        <v>1936</v>
      </c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BA8" s="15">
        <v>1</v>
      </c>
      <c r="BI8" s="15">
        <v>1</v>
      </c>
      <c r="CQ8" s="1">
        <v>53</v>
      </c>
      <c r="CR8" s="1">
        <v>1</v>
      </c>
      <c r="CS8" s="1">
        <f t="shared" si="0"/>
        <v>1.8867924528301886E-2</v>
      </c>
      <c r="FH8" s="29"/>
      <c r="FK8" s="29"/>
      <c r="FN8" s="1">
        <v>0</v>
      </c>
      <c r="FO8" s="29"/>
      <c r="FR8" s="29"/>
      <c r="FU8" s="29"/>
      <c r="FZ8" s="29"/>
    </row>
    <row r="9" spans="1:182">
      <c r="A9" s="1">
        <v>1937</v>
      </c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CQ9" s="1">
        <v>50</v>
      </c>
      <c r="CR9" s="1">
        <v>0</v>
      </c>
      <c r="CS9" s="1">
        <f t="shared" si="0"/>
        <v>0</v>
      </c>
      <c r="FH9" s="29"/>
      <c r="FK9" s="29"/>
      <c r="FN9" s="1">
        <v>0</v>
      </c>
      <c r="FO9" s="29"/>
      <c r="FR9" s="29"/>
      <c r="FU9" s="29"/>
      <c r="FZ9" s="29"/>
    </row>
    <row r="10" spans="1:182">
      <c r="A10" s="1">
        <v>1938</v>
      </c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CQ10" s="1">
        <v>58</v>
      </c>
      <c r="CR10" s="1">
        <v>0</v>
      </c>
      <c r="CS10" s="1">
        <f t="shared" si="0"/>
        <v>0</v>
      </c>
      <c r="FH10" s="29"/>
      <c r="FK10" s="29"/>
      <c r="FN10" s="1">
        <v>0</v>
      </c>
      <c r="FO10" s="29"/>
      <c r="FR10" s="29"/>
      <c r="FU10" s="29"/>
      <c r="FZ10" s="29"/>
    </row>
    <row r="11" spans="1:182">
      <c r="A11" s="1">
        <v>1939</v>
      </c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BO11" s="1">
        <v>6.9000000000000006E-2</v>
      </c>
      <c r="CQ11" s="1">
        <v>58</v>
      </c>
      <c r="CR11" s="1">
        <v>0</v>
      </c>
      <c r="CS11" s="1">
        <f t="shared" si="0"/>
        <v>0</v>
      </c>
      <c r="FH11" s="29"/>
      <c r="FK11" s="29"/>
      <c r="FN11" s="15">
        <v>1</v>
      </c>
      <c r="FO11" s="29"/>
      <c r="FR11" s="29"/>
      <c r="FU11" s="29"/>
      <c r="FZ11" s="29"/>
    </row>
    <row r="12" spans="1:182">
      <c r="A12" s="1">
        <v>1940</v>
      </c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CQ12" s="1">
        <v>62</v>
      </c>
      <c r="CR12" s="1">
        <v>0</v>
      </c>
      <c r="CS12" s="1">
        <f t="shared" si="0"/>
        <v>0</v>
      </c>
      <c r="FH12" s="29"/>
      <c r="FK12" s="29"/>
      <c r="FN12" s="15">
        <v>1</v>
      </c>
      <c r="FO12" s="29"/>
      <c r="FR12" s="29"/>
      <c r="FU12" s="29"/>
      <c r="FZ12" s="29"/>
    </row>
    <row r="13" spans="1:182">
      <c r="A13" s="1">
        <v>1941</v>
      </c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CQ13" s="1">
        <v>62</v>
      </c>
      <c r="CR13" s="1">
        <v>0</v>
      </c>
      <c r="CS13" s="1">
        <f t="shared" si="0"/>
        <v>0</v>
      </c>
      <c r="FH13" s="29"/>
      <c r="FK13" s="29"/>
      <c r="FN13" s="1">
        <v>0</v>
      </c>
      <c r="FO13" s="29"/>
      <c r="FR13" s="29"/>
      <c r="FU13" s="29"/>
      <c r="FZ13" s="29"/>
    </row>
    <row r="14" spans="1:182">
      <c r="A14" s="1">
        <v>1942</v>
      </c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CQ14" s="1">
        <v>57</v>
      </c>
      <c r="CR14" s="1">
        <v>0</v>
      </c>
      <c r="CS14" s="1">
        <f t="shared" si="0"/>
        <v>0</v>
      </c>
      <c r="FH14" s="29"/>
      <c r="FK14" s="29"/>
      <c r="FN14" s="1">
        <v>0</v>
      </c>
      <c r="FO14" s="29"/>
      <c r="FR14" s="29"/>
      <c r="FU14" s="29"/>
      <c r="FZ14" s="29"/>
    </row>
    <row r="15" spans="1:182">
      <c r="A15" s="1">
        <v>1943</v>
      </c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CQ15" s="1">
        <v>65</v>
      </c>
      <c r="CR15" s="1">
        <v>0</v>
      </c>
      <c r="CS15" s="1">
        <f t="shared" si="0"/>
        <v>0</v>
      </c>
      <c r="FH15" s="29"/>
      <c r="FK15" s="29"/>
      <c r="FN15" s="1">
        <v>0</v>
      </c>
      <c r="FO15" s="29"/>
      <c r="FR15" s="29"/>
      <c r="FU15" s="29"/>
      <c r="FZ15" s="29"/>
    </row>
    <row r="16" spans="1:182">
      <c r="A16" s="1">
        <v>1944</v>
      </c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BO16" s="1">
        <v>7.5999999999999998E-2</v>
      </c>
      <c r="CQ16" s="1">
        <v>95</v>
      </c>
      <c r="CR16" s="1">
        <v>1</v>
      </c>
      <c r="CS16" s="1">
        <f t="shared" si="0"/>
        <v>1.0526315789473684E-2</v>
      </c>
      <c r="FH16" s="29"/>
      <c r="FK16" s="29"/>
      <c r="FN16" s="1">
        <v>0</v>
      </c>
      <c r="FO16" s="29"/>
      <c r="FR16" s="29"/>
      <c r="FU16" s="29"/>
      <c r="FZ16" s="29"/>
    </row>
    <row r="17" spans="1:182">
      <c r="A17" s="1">
        <v>1945</v>
      </c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BY17" s="29"/>
      <c r="CQ17" s="1">
        <v>68</v>
      </c>
      <c r="CR17" s="1">
        <v>0</v>
      </c>
      <c r="CS17" s="1">
        <f t="shared" si="0"/>
        <v>0</v>
      </c>
      <c r="EZ17" s="1">
        <v>550</v>
      </c>
      <c r="FA17" s="1">
        <v>6</v>
      </c>
      <c r="FB17" s="28">
        <v>0.01</v>
      </c>
      <c r="FC17" s="28"/>
      <c r="FD17" s="28"/>
      <c r="FH17" s="29"/>
      <c r="FK17" s="29"/>
      <c r="FN17" s="1">
        <v>0</v>
      </c>
      <c r="FO17" s="29"/>
      <c r="FR17" s="29"/>
      <c r="FU17" s="29"/>
      <c r="FZ17" s="29"/>
    </row>
    <row r="18" spans="1:182">
      <c r="A18" s="1">
        <v>1946</v>
      </c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BY18" s="29"/>
      <c r="CQ18" s="1">
        <v>70</v>
      </c>
      <c r="CR18" s="1">
        <v>0</v>
      </c>
      <c r="CS18" s="1">
        <f t="shared" si="0"/>
        <v>0</v>
      </c>
      <c r="FH18" s="29"/>
      <c r="FK18" s="29"/>
      <c r="FN18" s="1">
        <v>0</v>
      </c>
      <c r="FO18" s="29"/>
      <c r="FR18" s="29"/>
      <c r="FU18" s="29"/>
      <c r="FZ18" s="29"/>
    </row>
    <row r="19" spans="1:182">
      <c r="A19" s="1">
        <v>1947</v>
      </c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BY19" s="29"/>
      <c r="CQ19" s="1">
        <v>71</v>
      </c>
      <c r="CR19" s="1">
        <v>0</v>
      </c>
      <c r="CS19" s="1">
        <f t="shared" si="0"/>
        <v>0</v>
      </c>
      <c r="FH19" s="29"/>
      <c r="FK19" s="29"/>
      <c r="FN19" s="1">
        <v>0</v>
      </c>
      <c r="FO19" s="29"/>
      <c r="FR19" s="29"/>
      <c r="FU19" s="29"/>
      <c r="FZ19" s="29"/>
    </row>
    <row r="20" spans="1:182">
      <c r="A20" s="1">
        <v>1948</v>
      </c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BY20" s="29"/>
      <c r="CQ20" s="1">
        <v>75</v>
      </c>
      <c r="CR20" s="1">
        <v>1</v>
      </c>
      <c r="CS20" s="1">
        <f t="shared" si="0"/>
        <v>1.3333333333333334E-2</v>
      </c>
      <c r="FH20" s="29"/>
      <c r="FK20" s="29"/>
      <c r="FN20" s="1">
        <v>0</v>
      </c>
      <c r="FO20" s="29"/>
      <c r="FR20" s="29"/>
      <c r="FU20" s="29"/>
      <c r="FZ20" s="29"/>
    </row>
    <row r="21" spans="1:182">
      <c r="A21" s="1">
        <v>1949</v>
      </c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BO21" s="1">
        <v>5.5E-2</v>
      </c>
      <c r="BY21" s="29"/>
      <c r="CQ21" s="1">
        <v>74</v>
      </c>
      <c r="CR21" s="1">
        <v>0</v>
      </c>
      <c r="CS21" s="1">
        <f t="shared" si="0"/>
        <v>0</v>
      </c>
      <c r="FH21" s="29"/>
      <c r="FK21" s="29"/>
      <c r="FN21" s="1">
        <v>0</v>
      </c>
      <c r="FO21" s="29"/>
      <c r="FR21" s="29"/>
      <c r="FU21" s="29"/>
      <c r="FZ21" s="29"/>
    </row>
    <row r="22" spans="1:182">
      <c r="A22" s="1">
        <v>1950</v>
      </c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BW22" s="1">
        <v>256</v>
      </c>
      <c r="BX22" s="1">
        <v>5</v>
      </c>
      <c r="BY22" s="29">
        <f>BX22/BW22</f>
        <v>1.953125E-2</v>
      </c>
      <c r="CQ22" s="1">
        <v>80</v>
      </c>
      <c r="CR22" s="1">
        <v>1</v>
      </c>
      <c r="CS22" s="1">
        <f t="shared" si="0"/>
        <v>1.2500000000000001E-2</v>
      </c>
      <c r="FH22" s="29"/>
      <c r="FK22" s="29"/>
      <c r="FN22" s="1">
        <v>1</v>
      </c>
      <c r="FO22" s="29"/>
      <c r="FR22" s="29"/>
      <c r="FU22" s="29"/>
      <c r="FZ22" s="29"/>
    </row>
    <row r="23" spans="1:182">
      <c r="A23" s="1">
        <v>1951</v>
      </c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BY23" s="29"/>
      <c r="CQ23" s="1">
        <v>79</v>
      </c>
      <c r="CR23" s="1">
        <v>1</v>
      </c>
      <c r="CS23" s="1">
        <f t="shared" si="0"/>
        <v>1.2658227848101266E-2</v>
      </c>
      <c r="FH23" s="29"/>
      <c r="FK23" s="29"/>
      <c r="FO23" s="29"/>
      <c r="FR23" s="29"/>
      <c r="FU23" s="29"/>
      <c r="FZ23" s="29"/>
    </row>
    <row r="24" spans="1:182">
      <c r="A24" s="1">
        <v>1952</v>
      </c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BY24" s="29"/>
      <c r="CQ24" s="1">
        <v>77</v>
      </c>
      <c r="CR24" s="1">
        <v>1</v>
      </c>
      <c r="CS24" s="1">
        <f t="shared" si="0"/>
        <v>1.2987012987012988E-2</v>
      </c>
      <c r="FH24" s="29"/>
      <c r="FK24" s="29"/>
      <c r="FO24" s="29"/>
      <c r="FR24" s="29"/>
      <c r="FU24" s="29"/>
      <c r="FZ24" s="29"/>
    </row>
    <row r="25" spans="1:182">
      <c r="A25" s="1">
        <v>1953</v>
      </c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BY25" s="29"/>
      <c r="CQ25" s="1">
        <v>82</v>
      </c>
      <c r="CR25" s="1">
        <v>1</v>
      </c>
      <c r="CS25" s="1">
        <f t="shared" si="0"/>
        <v>1.2195121951219513E-2</v>
      </c>
      <c r="CX25" s="29"/>
      <c r="EN25" s="15">
        <v>5829</v>
      </c>
      <c r="EO25" s="15">
        <v>7</v>
      </c>
      <c r="EP25" s="21">
        <v>1.1999999999999999E-3</v>
      </c>
      <c r="FH25" s="29"/>
      <c r="FK25" s="29"/>
      <c r="FO25" s="29"/>
      <c r="FR25" s="29"/>
      <c r="FU25" s="29"/>
      <c r="FZ25" s="29"/>
    </row>
    <row r="26" spans="1:182">
      <c r="A26" s="1">
        <v>1954</v>
      </c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BO26" s="1">
        <v>1.6E-2</v>
      </c>
      <c r="BY26" s="29"/>
      <c r="CQ26" s="1">
        <v>83</v>
      </c>
      <c r="CR26" s="1">
        <v>1</v>
      </c>
      <c r="CS26" s="1">
        <f t="shared" si="0"/>
        <v>1.2048192771084338E-2</v>
      </c>
      <c r="CX26" s="29"/>
      <c r="EN26" s="15"/>
      <c r="EO26" s="15"/>
      <c r="EP26" s="15"/>
      <c r="FH26" s="29"/>
      <c r="FK26" s="29"/>
      <c r="FO26" s="29"/>
      <c r="FR26" s="29"/>
      <c r="FU26" s="29"/>
      <c r="FV26" s="21">
        <v>1.6500000000000001E-2</v>
      </c>
      <c r="FZ26" s="29"/>
    </row>
    <row r="27" spans="1:182">
      <c r="A27" s="1">
        <v>1955</v>
      </c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BY27" s="29"/>
      <c r="CQ27" s="1">
        <v>95</v>
      </c>
      <c r="CR27" s="1">
        <v>1</v>
      </c>
      <c r="CS27" s="1">
        <f t="shared" si="0"/>
        <v>1.0526315789473684E-2</v>
      </c>
      <c r="CX27" s="29"/>
      <c r="EN27" s="15"/>
      <c r="EO27" s="15"/>
      <c r="EP27" s="15"/>
      <c r="FH27" s="29"/>
      <c r="FK27" s="29"/>
      <c r="FO27" s="29"/>
      <c r="FR27" s="29"/>
      <c r="FU27" s="29"/>
      <c r="FZ27" s="29"/>
    </row>
    <row r="28" spans="1:182">
      <c r="A28" s="1">
        <v>1956</v>
      </c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BY28" s="29"/>
      <c r="CQ28" s="1">
        <v>98</v>
      </c>
      <c r="CR28" s="1">
        <v>1</v>
      </c>
      <c r="CS28" s="1">
        <f t="shared" si="0"/>
        <v>1.020408163265306E-2</v>
      </c>
      <c r="CX28" s="29"/>
      <c r="EN28" s="15"/>
      <c r="EO28" s="15"/>
      <c r="EP28" s="15"/>
      <c r="FH28" s="29"/>
      <c r="FK28" s="29"/>
      <c r="FO28" s="29"/>
      <c r="FR28" s="29"/>
      <c r="FU28" s="29"/>
      <c r="FZ28" s="29"/>
    </row>
    <row r="29" spans="1:182">
      <c r="A29" s="1">
        <v>1957</v>
      </c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BY29" s="29"/>
      <c r="CQ29" s="1">
        <v>107</v>
      </c>
      <c r="CR29" s="1">
        <v>1</v>
      </c>
      <c r="CS29" s="1">
        <f t="shared" si="0"/>
        <v>9.3457943925233638E-3</v>
      </c>
      <c r="CX29" s="29"/>
      <c r="EN29" s="15"/>
      <c r="EO29" s="15"/>
      <c r="EP29" s="15"/>
      <c r="FH29" s="29"/>
      <c r="FK29" s="29"/>
      <c r="FO29" s="29"/>
      <c r="FR29" s="29"/>
      <c r="FU29" s="29"/>
      <c r="FZ29" s="29"/>
    </row>
    <row r="30" spans="1:182">
      <c r="A30" s="1">
        <v>1958</v>
      </c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BY30" s="29"/>
      <c r="CG30">
        <v>233</v>
      </c>
      <c r="CH30" s="1">
        <v>20</v>
      </c>
      <c r="CI30" s="1">
        <f t="shared" ref="CI30:CI60" si="1">CH30/CG30</f>
        <v>8.5836909871244635E-2</v>
      </c>
      <c r="CJ30">
        <v>1548</v>
      </c>
      <c r="CK30" s="1">
        <v>217</v>
      </c>
      <c r="CL30" s="1">
        <f t="shared" ref="CL30:CL63" si="2">CK30/CJ30</f>
        <v>0.14018087855297157</v>
      </c>
      <c r="CM30">
        <v>358</v>
      </c>
      <c r="CN30" s="1">
        <v>19</v>
      </c>
      <c r="CO30" s="1">
        <f t="shared" ref="CO30:CO67" si="3">CN30/CM30</f>
        <v>5.3072625698324022E-2</v>
      </c>
      <c r="CQ30" s="1">
        <v>103</v>
      </c>
      <c r="CR30" s="1">
        <v>0</v>
      </c>
      <c r="CS30" s="1">
        <f t="shared" si="0"/>
        <v>0</v>
      </c>
      <c r="CX30" s="29"/>
      <c r="EN30" s="15"/>
      <c r="EO30" s="15"/>
      <c r="EP30" s="15"/>
      <c r="FH30" s="29"/>
      <c r="FK30" s="29"/>
      <c r="FO30" s="29"/>
      <c r="FR30" s="29"/>
      <c r="FU30" s="29"/>
      <c r="FZ30" s="29"/>
    </row>
    <row r="31" spans="1:182">
      <c r="A31" s="1">
        <v>1959</v>
      </c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BO31" s="1">
        <v>1.6E-2</v>
      </c>
      <c r="BY31" s="29"/>
      <c r="CG31">
        <v>240</v>
      </c>
      <c r="CH31" s="1">
        <v>25</v>
      </c>
      <c r="CI31" s="1">
        <f t="shared" si="1"/>
        <v>0.10416666666666667</v>
      </c>
      <c r="CJ31">
        <v>1570</v>
      </c>
      <c r="CK31" s="1">
        <v>226</v>
      </c>
      <c r="CL31" s="1">
        <f t="shared" si="2"/>
        <v>0.14394904458598726</v>
      </c>
      <c r="CM31">
        <v>291</v>
      </c>
      <c r="CN31" s="1">
        <v>12</v>
      </c>
      <c r="CO31" s="1">
        <f t="shared" si="3"/>
        <v>4.1237113402061855E-2</v>
      </c>
      <c r="CQ31" s="1">
        <v>97</v>
      </c>
      <c r="CR31" s="1">
        <v>0</v>
      </c>
      <c r="CS31" s="1">
        <f t="shared" si="0"/>
        <v>0</v>
      </c>
      <c r="CX31" s="29"/>
      <c r="EN31" s="15"/>
      <c r="EO31" s="15"/>
      <c r="EP31" s="15"/>
      <c r="FH31" s="29"/>
      <c r="FK31" s="29"/>
      <c r="FO31" s="29"/>
      <c r="FR31" s="29"/>
      <c r="FU31" s="29"/>
      <c r="FZ31" s="29"/>
    </row>
    <row r="32" spans="1:182">
      <c r="A32" s="1">
        <v>1960</v>
      </c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BW32" s="1">
        <v>235</v>
      </c>
      <c r="BX32" s="1">
        <v>7</v>
      </c>
      <c r="BY32" s="29">
        <f>BX32/BW32</f>
        <v>2.9787234042553193E-2</v>
      </c>
      <c r="CG32">
        <v>291</v>
      </c>
      <c r="CH32" s="1">
        <v>56</v>
      </c>
      <c r="CI32" s="1">
        <f t="shared" si="1"/>
        <v>0.19243986254295534</v>
      </c>
      <c r="CJ32">
        <v>1624</v>
      </c>
      <c r="CK32" s="1">
        <v>235</v>
      </c>
      <c r="CL32" s="1">
        <f t="shared" si="2"/>
        <v>0.14470443349753695</v>
      </c>
      <c r="CM32">
        <v>334</v>
      </c>
      <c r="CN32" s="1">
        <v>17</v>
      </c>
      <c r="CO32" s="1">
        <f t="shared" si="3"/>
        <v>5.089820359281437E-2</v>
      </c>
      <c r="CQ32" s="1">
        <v>99</v>
      </c>
      <c r="CR32" s="1">
        <v>0</v>
      </c>
      <c r="CS32" s="1">
        <f t="shared" si="0"/>
        <v>0</v>
      </c>
      <c r="CX32" s="29"/>
      <c r="EN32" s="15">
        <v>7275</v>
      </c>
      <c r="EO32" s="15">
        <v>11</v>
      </c>
      <c r="EP32" s="21">
        <v>1.5E-3</v>
      </c>
      <c r="FH32" s="29"/>
      <c r="FK32" s="29"/>
      <c r="FO32" s="29"/>
      <c r="FR32" s="29"/>
      <c r="FU32" s="29"/>
      <c r="FZ32" s="29"/>
    </row>
    <row r="33" spans="1:182">
      <c r="A33" s="1">
        <v>1961</v>
      </c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BY33" s="29"/>
      <c r="CG33">
        <v>276</v>
      </c>
      <c r="CH33" s="1">
        <v>39</v>
      </c>
      <c r="CI33" s="1">
        <f t="shared" si="1"/>
        <v>0.14130434782608695</v>
      </c>
      <c r="CJ33">
        <v>1641</v>
      </c>
      <c r="CK33" s="1">
        <v>231</v>
      </c>
      <c r="CL33" s="1">
        <f t="shared" si="2"/>
        <v>0.14076782449725778</v>
      </c>
      <c r="CM33">
        <v>339</v>
      </c>
      <c r="CN33" s="1">
        <v>26</v>
      </c>
      <c r="CO33" s="1">
        <f t="shared" si="3"/>
        <v>7.6696165191740412E-2</v>
      </c>
      <c r="CQ33" s="1">
        <v>103</v>
      </c>
      <c r="CR33" s="1">
        <v>1</v>
      </c>
      <c r="CS33" s="1">
        <f t="shared" si="0"/>
        <v>9.7087378640776691E-3</v>
      </c>
      <c r="CX33" s="29"/>
      <c r="EN33" s="15"/>
      <c r="EO33" s="15"/>
      <c r="EP33" s="15"/>
      <c r="FH33" s="29"/>
      <c r="FK33" s="29"/>
      <c r="FO33" s="29"/>
      <c r="FR33" s="29"/>
      <c r="FU33" s="29"/>
      <c r="FZ33" s="29"/>
    </row>
    <row r="34" spans="1:182">
      <c r="A34" s="1">
        <v>1962</v>
      </c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BB34" s="15">
        <v>4.4000000000000004</v>
      </c>
      <c r="BY34" s="29"/>
      <c r="CG34">
        <v>276</v>
      </c>
      <c r="CH34" s="1">
        <v>39</v>
      </c>
      <c r="CI34" s="1">
        <f t="shared" si="1"/>
        <v>0.14130434782608695</v>
      </c>
      <c r="CJ34">
        <v>1595</v>
      </c>
      <c r="CK34" s="1">
        <v>250</v>
      </c>
      <c r="CL34" s="1">
        <f t="shared" si="2"/>
        <v>0.15673981191222572</v>
      </c>
      <c r="CM34">
        <v>307</v>
      </c>
      <c r="CN34" s="1">
        <v>25</v>
      </c>
      <c r="CO34" s="1">
        <f t="shared" si="3"/>
        <v>8.143322475570032E-2</v>
      </c>
      <c r="CQ34" s="1">
        <v>93</v>
      </c>
      <c r="CR34" s="1">
        <v>1</v>
      </c>
      <c r="CS34" s="1">
        <f t="shared" si="0"/>
        <v>1.0752688172043012E-2</v>
      </c>
      <c r="CX34" s="29"/>
      <c r="EN34" s="15"/>
      <c r="EO34" s="15"/>
      <c r="EP34" s="15"/>
      <c r="FH34" s="29"/>
      <c r="FK34" s="29"/>
      <c r="FN34" s="1">
        <v>0</v>
      </c>
      <c r="FO34" s="29"/>
      <c r="FR34" s="29"/>
      <c r="FU34" s="29"/>
      <c r="FZ34" s="29"/>
    </row>
    <row r="35" spans="1:182">
      <c r="A35" s="1">
        <v>1963</v>
      </c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BB35" s="15">
        <v>4.4000000000000004</v>
      </c>
      <c r="BY35" s="29"/>
      <c r="CG35">
        <v>302</v>
      </c>
      <c r="CH35" s="1">
        <v>35</v>
      </c>
      <c r="CI35" s="1">
        <f t="shared" si="1"/>
        <v>0.11589403973509933</v>
      </c>
      <c r="CJ35">
        <v>1647</v>
      </c>
      <c r="CK35" s="1">
        <v>309</v>
      </c>
      <c r="CL35" s="1">
        <f t="shared" si="2"/>
        <v>0.18761384335154827</v>
      </c>
      <c r="CM35">
        <v>406</v>
      </c>
      <c r="CN35" s="1">
        <v>40</v>
      </c>
      <c r="CO35" s="1">
        <f t="shared" si="3"/>
        <v>9.8522167487684734E-2</v>
      </c>
      <c r="CQ35" s="1">
        <v>96</v>
      </c>
      <c r="CR35" s="1">
        <v>1</v>
      </c>
      <c r="CS35" s="1">
        <f t="shared" si="0"/>
        <v>1.0416666666666666E-2</v>
      </c>
      <c r="CX35" s="29"/>
      <c r="EN35" s="15"/>
      <c r="EO35" s="15"/>
      <c r="EP35" s="15"/>
      <c r="FH35" s="29"/>
      <c r="FK35" s="29"/>
      <c r="FO35" s="29"/>
      <c r="FR35" s="29"/>
      <c r="FU35" s="29"/>
      <c r="FZ35" s="29"/>
    </row>
    <row r="36" spans="1:182">
      <c r="A36" s="1">
        <v>1964</v>
      </c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BO36" s="1">
        <v>8.5999999999999993E-2</v>
      </c>
      <c r="BY36" s="29"/>
      <c r="BZ36">
        <v>8863</v>
      </c>
      <c r="CA36" s="1">
        <v>292</v>
      </c>
      <c r="CB36" s="1">
        <f t="shared" ref="CB36:CB67" si="4">CA36/BZ36</f>
        <v>3.2945955094211894E-2</v>
      </c>
      <c r="CG36">
        <v>281</v>
      </c>
      <c r="CH36" s="1">
        <v>46</v>
      </c>
      <c r="CI36" s="1">
        <f t="shared" si="1"/>
        <v>0.16370106761565836</v>
      </c>
      <c r="CJ36">
        <v>1712</v>
      </c>
      <c r="CK36" s="1">
        <v>331</v>
      </c>
      <c r="CL36" s="1">
        <f t="shared" si="2"/>
        <v>0.19334112149532709</v>
      </c>
      <c r="CM36">
        <v>531</v>
      </c>
      <c r="CN36" s="1">
        <v>31</v>
      </c>
      <c r="CO36" s="1">
        <f t="shared" si="3"/>
        <v>5.8380414312617701E-2</v>
      </c>
      <c r="CQ36" s="1">
        <v>88</v>
      </c>
      <c r="CR36" s="1">
        <v>1</v>
      </c>
      <c r="CS36" s="1">
        <f t="shared" si="0"/>
        <v>1.1363636363636364E-2</v>
      </c>
      <c r="CX36" s="29"/>
      <c r="EN36" s="15"/>
      <c r="EO36" s="15"/>
      <c r="EP36" s="15"/>
      <c r="FH36" s="29"/>
      <c r="FK36" s="29"/>
      <c r="FO36" s="29"/>
      <c r="FR36" s="29"/>
      <c r="FU36" s="29"/>
      <c r="FZ36" s="29"/>
    </row>
    <row r="37" spans="1:182">
      <c r="A37" s="1">
        <v>1965</v>
      </c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BB37" s="15">
        <v>8.4</v>
      </c>
      <c r="BY37" s="29"/>
      <c r="BZ37">
        <v>9054</v>
      </c>
      <c r="CA37" s="1">
        <v>357</v>
      </c>
      <c r="CB37" s="1">
        <f t="shared" si="4"/>
        <v>3.9430086149768055E-2</v>
      </c>
      <c r="CG37">
        <v>289</v>
      </c>
      <c r="CH37" s="1">
        <v>43</v>
      </c>
      <c r="CI37" s="1">
        <f t="shared" si="1"/>
        <v>0.14878892733564014</v>
      </c>
      <c r="CJ37">
        <v>1748</v>
      </c>
      <c r="CK37" s="1">
        <v>313</v>
      </c>
      <c r="CL37" s="1">
        <f t="shared" si="2"/>
        <v>0.17906178489702518</v>
      </c>
      <c r="CM37">
        <v>486</v>
      </c>
      <c r="CN37" s="1">
        <v>33</v>
      </c>
      <c r="CO37" s="1">
        <f t="shared" si="3"/>
        <v>6.7901234567901231E-2</v>
      </c>
      <c r="CQ37" s="1">
        <v>95</v>
      </c>
      <c r="CR37" s="1">
        <v>1</v>
      </c>
      <c r="CS37" s="1">
        <f t="shared" si="0"/>
        <v>1.0526315789473684E-2</v>
      </c>
      <c r="CX37" s="29"/>
      <c r="EN37" s="15"/>
      <c r="EO37" s="15"/>
      <c r="EP37" s="15"/>
      <c r="FC37" s="15">
        <f>FD37+340</f>
        <v>407</v>
      </c>
      <c r="FD37" s="15">
        <v>67</v>
      </c>
      <c r="FE37" s="1">
        <f>FD37/FC37</f>
        <v>0.16461916461916462</v>
      </c>
      <c r="FH37" s="29"/>
      <c r="FK37" s="29"/>
      <c r="FO37" s="29"/>
      <c r="FR37" s="29"/>
      <c r="FU37" s="29"/>
      <c r="FZ37" s="29"/>
    </row>
    <row r="38" spans="1:182">
      <c r="A38" s="1">
        <v>1966</v>
      </c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BA38" s="15">
        <v>86</v>
      </c>
      <c r="BY38" s="29"/>
      <c r="BZ38">
        <v>9195</v>
      </c>
      <c r="CA38" s="1">
        <v>364</v>
      </c>
      <c r="CB38" s="1">
        <f t="shared" si="4"/>
        <v>3.958673191952148E-2</v>
      </c>
      <c r="CG38">
        <v>223</v>
      </c>
      <c r="CH38" s="1">
        <v>43</v>
      </c>
      <c r="CI38" s="1">
        <f t="shared" si="1"/>
        <v>0.19282511210762332</v>
      </c>
      <c r="CJ38">
        <v>2096</v>
      </c>
      <c r="CK38" s="1">
        <v>440</v>
      </c>
      <c r="CL38" s="1">
        <f t="shared" si="2"/>
        <v>0.20992366412213739</v>
      </c>
      <c r="CM38">
        <v>758</v>
      </c>
      <c r="CN38" s="1">
        <v>107</v>
      </c>
      <c r="CO38" s="1">
        <f t="shared" si="3"/>
        <v>0.14116094986807387</v>
      </c>
      <c r="CQ38" s="1">
        <v>104</v>
      </c>
      <c r="CR38" s="1">
        <v>3</v>
      </c>
      <c r="CS38" s="1">
        <f t="shared" si="0"/>
        <v>2.8846153846153848E-2</v>
      </c>
      <c r="CX38" s="29"/>
      <c r="EN38" s="15"/>
      <c r="EO38" s="15"/>
      <c r="EP38" s="15"/>
      <c r="FH38" s="29"/>
      <c r="FK38" s="29"/>
      <c r="FO38" s="29"/>
      <c r="FR38" s="29"/>
      <c r="FU38" s="29"/>
      <c r="FZ38" s="29"/>
    </row>
    <row r="39" spans="1:182">
      <c r="A39" s="1">
        <v>1967</v>
      </c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BY39" s="29"/>
      <c r="BZ39">
        <v>9370</v>
      </c>
      <c r="CA39" s="1">
        <v>408</v>
      </c>
      <c r="CB39" s="1">
        <f t="shared" si="4"/>
        <v>4.3543223052294557E-2</v>
      </c>
      <c r="CG39">
        <v>231</v>
      </c>
      <c r="CH39" s="1">
        <v>44</v>
      </c>
      <c r="CI39" s="1">
        <f t="shared" si="1"/>
        <v>0.19047619047619047</v>
      </c>
      <c r="CJ39">
        <v>2596</v>
      </c>
      <c r="CK39" s="1">
        <v>554</v>
      </c>
      <c r="CL39" s="1">
        <f t="shared" si="2"/>
        <v>0.21340523882896764</v>
      </c>
      <c r="CM39">
        <v>927</v>
      </c>
      <c r="CN39" s="1">
        <v>81</v>
      </c>
      <c r="CO39" s="1">
        <f t="shared" si="3"/>
        <v>8.7378640776699032E-2</v>
      </c>
      <c r="CQ39" s="1">
        <v>145</v>
      </c>
      <c r="CR39" s="1">
        <v>5</v>
      </c>
      <c r="CS39" s="1">
        <f t="shared" si="0"/>
        <v>3.4482758620689655E-2</v>
      </c>
      <c r="CX39" s="29"/>
      <c r="EN39" s="15"/>
      <c r="EO39" s="15"/>
      <c r="EP39" s="15"/>
      <c r="FH39" s="29"/>
      <c r="FK39" s="29"/>
      <c r="FO39" s="29"/>
      <c r="FR39" s="29"/>
      <c r="FU39" s="29"/>
      <c r="FZ39" s="29"/>
    </row>
    <row r="40" spans="1:182">
      <c r="A40" s="1">
        <v>1968</v>
      </c>
      <c r="L40" s="22">
        <v>0.09</v>
      </c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BI40" s="15"/>
      <c r="BY40" s="29"/>
      <c r="BZ40">
        <v>9549</v>
      </c>
      <c r="CA40" s="1">
        <v>447</v>
      </c>
      <c r="CB40" s="1">
        <f t="shared" si="4"/>
        <v>4.6811184417216462E-2</v>
      </c>
      <c r="CG40"/>
      <c r="CJ40">
        <v>2519</v>
      </c>
      <c r="CK40" s="1">
        <v>545</v>
      </c>
      <c r="CL40" s="1">
        <f t="shared" si="2"/>
        <v>0.21635569670504168</v>
      </c>
      <c r="CM40">
        <v>534</v>
      </c>
      <c r="CN40" s="1">
        <v>72</v>
      </c>
      <c r="CO40" s="1">
        <f t="shared" si="3"/>
        <v>0.1348314606741573</v>
      </c>
      <c r="CQ40" s="1">
        <v>188</v>
      </c>
      <c r="CR40" s="1">
        <v>8</v>
      </c>
      <c r="CS40" s="1">
        <f t="shared" si="0"/>
        <v>4.2553191489361701E-2</v>
      </c>
      <c r="CX40" s="29"/>
      <c r="EN40" s="15"/>
      <c r="EO40" s="15"/>
      <c r="EP40" s="15"/>
      <c r="EY40" s="22">
        <v>0.31</v>
      </c>
      <c r="FH40" s="29"/>
      <c r="FK40" s="29"/>
      <c r="FM40" s="15">
        <v>64</v>
      </c>
      <c r="FN40" s="15">
        <v>3</v>
      </c>
      <c r="FO40" s="29">
        <f>FN40/FM40</f>
        <v>4.6875E-2</v>
      </c>
      <c r="FR40" s="29"/>
      <c r="FU40" s="29"/>
      <c r="FZ40" s="29"/>
    </row>
    <row r="41" spans="1:182">
      <c r="A41" s="1">
        <v>1969</v>
      </c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BO41" s="1">
        <v>9.4E-2</v>
      </c>
      <c r="BY41" s="29"/>
      <c r="BZ41">
        <v>9518</v>
      </c>
      <c r="CA41" s="1">
        <v>558</v>
      </c>
      <c r="CB41" s="1">
        <f t="shared" si="4"/>
        <v>5.8625761714645931E-2</v>
      </c>
      <c r="CJ41">
        <v>2529</v>
      </c>
      <c r="CK41" s="1">
        <v>571</v>
      </c>
      <c r="CL41" s="1">
        <f t="shared" si="2"/>
        <v>0.22578094108343219</v>
      </c>
      <c r="CM41">
        <v>469</v>
      </c>
      <c r="CN41" s="1">
        <v>92</v>
      </c>
      <c r="CO41" s="1">
        <f t="shared" si="3"/>
        <v>0.19616204690831557</v>
      </c>
      <c r="CQ41" s="1">
        <v>13</v>
      </c>
      <c r="CR41" s="1">
        <v>246</v>
      </c>
      <c r="CS41" s="1">
        <f t="shared" si="0"/>
        <v>18.923076923076923</v>
      </c>
      <c r="CX41" s="29"/>
      <c r="EE41" s="29">
        <v>0.05</v>
      </c>
      <c r="EN41" s="15"/>
      <c r="EO41" s="15"/>
      <c r="EP41" s="15"/>
      <c r="EQ41" s="28">
        <v>0.19</v>
      </c>
      <c r="FF41" s="1">
        <f>FG41/0.25</f>
        <v>36</v>
      </c>
      <c r="FG41" s="15">
        <v>9</v>
      </c>
      <c r="FH41" s="30">
        <v>0.25</v>
      </c>
      <c r="FK41" s="29"/>
      <c r="FM41" s="15">
        <v>52</v>
      </c>
      <c r="FN41" s="15">
        <v>4</v>
      </c>
      <c r="FO41" s="29">
        <f t="shared" ref="FO41:FO44" si="5">FN41/FM41</f>
        <v>7.6923076923076927E-2</v>
      </c>
      <c r="FR41" s="29"/>
      <c r="FU41" s="29"/>
      <c r="FZ41" s="29"/>
    </row>
    <row r="42" spans="1:182">
      <c r="A42" s="1">
        <v>1970</v>
      </c>
      <c r="C42" s="16">
        <v>1320</v>
      </c>
      <c r="D42" s="21">
        <v>5.0999999999999997E-2</v>
      </c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BG42" s="15">
        <v>10</v>
      </c>
      <c r="BW42" s="1">
        <f>BX42+191</f>
        <v>227</v>
      </c>
      <c r="BX42" s="1">
        <v>36</v>
      </c>
      <c r="BY42" s="29">
        <f>BX42/BW42</f>
        <v>0.15859030837004406</v>
      </c>
      <c r="BZ42">
        <v>9908</v>
      </c>
      <c r="CA42" s="1">
        <v>605</v>
      </c>
      <c r="CB42" s="1">
        <f t="shared" si="4"/>
        <v>6.106176826806621E-2</v>
      </c>
      <c r="CJ42">
        <v>2600</v>
      </c>
      <c r="CK42" s="1">
        <v>637</v>
      </c>
      <c r="CL42" s="1">
        <f t="shared" si="2"/>
        <v>0.245</v>
      </c>
      <c r="CM42">
        <v>477</v>
      </c>
      <c r="CN42" s="1">
        <v>120</v>
      </c>
      <c r="CO42" s="1">
        <f t="shared" si="3"/>
        <v>0.25157232704402516</v>
      </c>
      <c r="CQ42" s="1">
        <v>545</v>
      </c>
      <c r="CR42" s="1">
        <v>45</v>
      </c>
      <c r="CS42" s="1">
        <f t="shared" si="0"/>
        <v>8.2568807339449546E-2</v>
      </c>
      <c r="CX42" s="30">
        <v>0.30599999999999999</v>
      </c>
      <c r="EB42" s="22"/>
      <c r="EE42" s="29">
        <v>0.06</v>
      </c>
      <c r="EN42" s="15">
        <v>7661</v>
      </c>
      <c r="EO42" s="15">
        <v>15</v>
      </c>
      <c r="EP42" s="21">
        <v>2E-3</v>
      </c>
      <c r="FH42" s="29"/>
      <c r="FK42" s="30">
        <v>0.25</v>
      </c>
      <c r="FM42" s="15">
        <v>62</v>
      </c>
      <c r="FN42" s="15">
        <v>11</v>
      </c>
      <c r="FO42" s="29">
        <f t="shared" si="5"/>
        <v>0.17741935483870969</v>
      </c>
      <c r="FR42" s="29"/>
      <c r="FU42" s="29"/>
      <c r="FZ42" s="29"/>
    </row>
    <row r="43" spans="1:182">
      <c r="A43" s="1">
        <v>1971</v>
      </c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BY43" s="29"/>
      <c r="BZ43">
        <v>9960</v>
      </c>
      <c r="CA43" s="1">
        <v>600</v>
      </c>
      <c r="CB43" s="1">
        <f t="shared" si="4"/>
        <v>6.0240963855421686E-2</v>
      </c>
      <c r="CG43">
        <v>397</v>
      </c>
      <c r="CH43" s="1">
        <v>104</v>
      </c>
      <c r="CI43" s="1">
        <f t="shared" si="1"/>
        <v>0.26196473551637278</v>
      </c>
      <c r="CJ43">
        <v>2736</v>
      </c>
      <c r="CK43" s="1">
        <v>730</v>
      </c>
      <c r="CL43" s="1">
        <f t="shared" si="2"/>
        <v>0.266812865497076</v>
      </c>
      <c r="CM43">
        <v>380</v>
      </c>
      <c r="CN43" s="1">
        <v>96</v>
      </c>
      <c r="CO43" s="1">
        <f t="shared" si="3"/>
        <v>0.25263157894736843</v>
      </c>
      <c r="CQ43" s="1">
        <v>713</v>
      </c>
      <c r="CR43" s="1">
        <v>59</v>
      </c>
      <c r="CS43" s="1">
        <f t="shared" si="0"/>
        <v>8.2748948106591863E-2</v>
      </c>
      <c r="CX43" s="29"/>
      <c r="EE43" s="29">
        <v>7.0000000000000007E-2</v>
      </c>
      <c r="EN43" s="15"/>
      <c r="EO43" s="15"/>
      <c r="EP43" s="15"/>
      <c r="FH43" s="29"/>
      <c r="FK43" s="29"/>
      <c r="FM43" s="15">
        <v>107</v>
      </c>
      <c r="FN43" s="15">
        <v>14</v>
      </c>
      <c r="FO43" s="29">
        <f t="shared" si="5"/>
        <v>0.13084112149532709</v>
      </c>
      <c r="FR43" s="29"/>
      <c r="FU43" s="29"/>
      <c r="FZ43" s="29"/>
    </row>
    <row r="44" spans="1:182">
      <c r="A44" s="1">
        <v>1972</v>
      </c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BY44" s="29"/>
      <c r="BZ44">
        <v>9954</v>
      </c>
      <c r="CA44" s="1">
        <v>667</v>
      </c>
      <c r="CB44" s="1">
        <f t="shared" si="4"/>
        <v>6.7008237894313843E-2</v>
      </c>
      <c r="CG44">
        <v>444</v>
      </c>
      <c r="CH44" s="1">
        <v>112</v>
      </c>
      <c r="CI44" s="1">
        <f t="shared" si="1"/>
        <v>0.25225225225225223</v>
      </c>
      <c r="CJ44">
        <v>2830</v>
      </c>
      <c r="CK44" s="1">
        <v>851</v>
      </c>
      <c r="CL44" s="1">
        <f t="shared" si="2"/>
        <v>0.30070671378091873</v>
      </c>
      <c r="CM44">
        <v>642</v>
      </c>
      <c r="CQ44" s="1">
        <v>660</v>
      </c>
      <c r="CR44" s="1">
        <v>61</v>
      </c>
      <c r="CS44" s="1">
        <f t="shared" si="0"/>
        <v>9.2424242424242423E-2</v>
      </c>
      <c r="CX44" s="29"/>
      <c r="EE44" s="29">
        <v>7.0000000000000007E-2</v>
      </c>
      <c r="EN44" s="15"/>
      <c r="EO44" s="15"/>
      <c r="EP44" s="15"/>
      <c r="FH44" s="29"/>
      <c r="FK44" s="29"/>
      <c r="FM44" s="15">
        <v>145</v>
      </c>
      <c r="FN44" s="15">
        <v>24</v>
      </c>
      <c r="FO44" s="29">
        <f t="shared" si="5"/>
        <v>0.16551724137931034</v>
      </c>
      <c r="FP44" s="15">
        <v>673</v>
      </c>
      <c r="FQ44" s="15">
        <v>139</v>
      </c>
      <c r="FR44" s="29">
        <f>FQ44/FP44</f>
        <v>0.20653789004457651</v>
      </c>
      <c r="FU44" s="29"/>
      <c r="FZ44" s="29"/>
    </row>
    <row r="45" spans="1:182">
      <c r="A45" s="1">
        <v>1973</v>
      </c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BY45" s="29"/>
      <c r="BZ45">
        <v>10264</v>
      </c>
      <c r="CA45" s="1">
        <v>849</v>
      </c>
      <c r="CB45" s="1">
        <f t="shared" si="4"/>
        <v>8.2716289945440377E-2</v>
      </c>
      <c r="CG45">
        <v>188</v>
      </c>
      <c r="CH45" s="1">
        <v>81</v>
      </c>
      <c r="CI45" s="1">
        <f t="shared" si="1"/>
        <v>0.43085106382978722</v>
      </c>
      <c r="CJ45">
        <v>2953</v>
      </c>
      <c r="CK45" s="1">
        <v>978</v>
      </c>
      <c r="CL45" s="1">
        <f t="shared" si="2"/>
        <v>0.33118862174060276</v>
      </c>
      <c r="CM45">
        <v>664</v>
      </c>
      <c r="CN45" s="1">
        <v>228</v>
      </c>
      <c r="CO45" s="1">
        <f t="shared" si="3"/>
        <v>0.34337349397590361</v>
      </c>
      <c r="CQ45" s="1">
        <v>625</v>
      </c>
      <c r="CR45" s="1">
        <v>71</v>
      </c>
      <c r="CS45" s="1">
        <f t="shared" si="0"/>
        <v>0.11360000000000001</v>
      </c>
      <c r="CX45" s="29"/>
      <c r="EE45" s="29">
        <v>0.11</v>
      </c>
      <c r="EN45" s="15"/>
      <c r="EO45" s="15"/>
      <c r="EP45" s="15"/>
      <c r="FH45" s="29"/>
      <c r="FK45" s="29"/>
      <c r="FO45" s="29"/>
      <c r="FR45" s="29"/>
      <c r="FU45" s="29"/>
      <c r="FZ45" s="29"/>
    </row>
    <row r="46" spans="1:182">
      <c r="A46" s="1">
        <v>1974</v>
      </c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BO46" s="1">
        <v>0.06</v>
      </c>
      <c r="BY46" s="29"/>
      <c r="BZ46">
        <v>10612</v>
      </c>
      <c r="CA46" s="1">
        <v>945</v>
      </c>
      <c r="CB46" s="1">
        <f t="shared" si="4"/>
        <v>8.9050131926121379E-2</v>
      </c>
      <c r="CG46">
        <v>347</v>
      </c>
      <c r="CH46" s="1">
        <v>88</v>
      </c>
      <c r="CI46" s="1">
        <f t="shared" si="1"/>
        <v>0.25360230547550433</v>
      </c>
      <c r="CJ46">
        <v>2991</v>
      </c>
      <c r="CK46" s="1">
        <v>987</v>
      </c>
      <c r="CL46" s="1">
        <f t="shared" si="2"/>
        <v>0.32998996990972917</v>
      </c>
      <c r="CM46">
        <v>680</v>
      </c>
      <c r="CN46" s="1">
        <v>143</v>
      </c>
      <c r="CO46" s="1">
        <f t="shared" si="3"/>
        <v>0.21029411764705883</v>
      </c>
      <c r="CQ46" s="1">
        <v>681</v>
      </c>
      <c r="CR46" s="1">
        <v>98</v>
      </c>
      <c r="CS46" s="1">
        <f t="shared" si="0"/>
        <v>0.14390602055800295</v>
      </c>
      <c r="CX46" s="29"/>
      <c r="EE46" s="29">
        <v>0.11</v>
      </c>
      <c r="EL46" s="29"/>
      <c r="EN46" s="15"/>
      <c r="EO46" s="15"/>
      <c r="EP46" s="15"/>
      <c r="FH46" s="29"/>
      <c r="FK46" s="29"/>
      <c r="FO46" s="29"/>
      <c r="FR46" s="29"/>
      <c r="FU46" s="29"/>
      <c r="FZ46" s="29"/>
    </row>
    <row r="47" spans="1:182">
      <c r="A47" s="1">
        <v>1975</v>
      </c>
      <c r="L47" s="21">
        <v>0.24399999999999999</v>
      </c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BB47" s="15">
        <v>5.6</v>
      </c>
      <c r="BM47" s="1">
        <v>11</v>
      </c>
      <c r="BN47" s="9">
        <v>0.08</v>
      </c>
      <c r="BO47" s="9"/>
      <c r="BY47" s="29"/>
      <c r="BZ47">
        <v>10812</v>
      </c>
      <c r="CA47" s="1">
        <v>1022</v>
      </c>
      <c r="CB47" s="1">
        <f t="shared" si="4"/>
        <v>9.4524602293747692E-2</v>
      </c>
      <c r="CG47">
        <v>279</v>
      </c>
      <c r="CH47" s="1">
        <v>83</v>
      </c>
      <c r="CI47" s="1">
        <f t="shared" si="1"/>
        <v>0.29749103942652327</v>
      </c>
      <c r="CJ47">
        <v>3228</v>
      </c>
      <c r="CK47" s="1">
        <v>1090</v>
      </c>
      <c r="CL47" s="1">
        <f t="shared" si="2"/>
        <v>0.33767038413878564</v>
      </c>
      <c r="CM47">
        <v>703</v>
      </c>
      <c r="CN47" s="1">
        <v>220</v>
      </c>
      <c r="CO47" s="1">
        <f t="shared" si="3"/>
        <v>0.31294452347083929</v>
      </c>
      <c r="CQ47" s="1">
        <v>714</v>
      </c>
      <c r="CR47" s="1">
        <v>114</v>
      </c>
      <c r="CS47" s="1">
        <f t="shared" si="0"/>
        <v>0.15966386554621848</v>
      </c>
      <c r="CX47" s="29"/>
      <c r="EE47" s="29">
        <v>0.12</v>
      </c>
      <c r="EL47" s="29"/>
      <c r="EN47" s="15"/>
      <c r="EO47" s="15"/>
      <c r="EP47" s="15"/>
      <c r="FH47" s="29"/>
      <c r="FK47" s="29"/>
      <c r="FO47" s="29"/>
      <c r="FR47" s="29"/>
      <c r="FU47" s="29"/>
      <c r="FV47" s="22">
        <v>0.11</v>
      </c>
      <c r="FZ47" s="29"/>
    </row>
    <row r="48" spans="1:182">
      <c r="A48" s="1">
        <v>1976</v>
      </c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BM48" s="1">
        <v>4</v>
      </c>
      <c r="BN48" s="9">
        <v>4.2999999999999997E-2</v>
      </c>
      <c r="BO48" s="9"/>
      <c r="BY48" s="29"/>
      <c r="BZ48">
        <v>10978</v>
      </c>
      <c r="CA48" s="1">
        <v>1114</v>
      </c>
      <c r="CB48" s="1">
        <f t="shared" si="4"/>
        <v>0.10147567862998724</v>
      </c>
      <c r="CG48">
        <v>314</v>
      </c>
      <c r="CH48" s="1">
        <v>104</v>
      </c>
      <c r="CI48" s="1">
        <f t="shared" si="1"/>
        <v>0.33121019108280253</v>
      </c>
      <c r="CJ48">
        <v>3493</v>
      </c>
      <c r="CK48" s="1">
        <v>1145</v>
      </c>
      <c r="CL48" s="1">
        <f t="shared" si="2"/>
        <v>0.32779845405095909</v>
      </c>
      <c r="CM48">
        <v>807</v>
      </c>
      <c r="CN48" s="1">
        <v>273</v>
      </c>
      <c r="CO48" s="1">
        <f t="shared" si="3"/>
        <v>0.33828996282527879</v>
      </c>
      <c r="CQ48" s="1">
        <v>794</v>
      </c>
      <c r="CR48" s="1">
        <v>158</v>
      </c>
      <c r="CS48" s="1">
        <f t="shared" si="0"/>
        <v>0.19899244332493704</v>
      </c>
      <c r="CX48" s="29"/>
      <c r="EE48" s="29">
        <v>0.14000000000000001</v>
      </c>
      <c r="EL48" s="29"/>
      <c r="EN48" s="15"/>
      <c r="EO48" s="15"/>
      <c r="EP48" s="15"/>
      <c r="FH48" s="29"/>
      <c r="FK48" s="29"/>
      <c r="FO48" s="29"/>
      <c r="FR48" s="29"/>
      <c r="FU48" s="29"/>
      <c r="FZ48" s="29"/>
    </row>
    <row r="49" spans="1:182">
      <c r="A49" s="1">
        <v>1977</v>
      </c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BM49" s="1">
        <v>3</v>
      </c>
      <c r="BN49" s="9">
        <v>2.3E-2</v>
      </c>
      <c r="BO49" s="9"/>
      <c r="BY49" s="29"/>
      <c r="BZ49">
        <v>11098</v>
      </c>
      <c r="CA49" s="1">
        <v>1233</v>
      </c>
      <c r="CB49" s="1">
        <f t="shared" si="4"/>
        <v>0.11110109929717066</v>
      </c>
      <c r="CG49">
        <v>379</v>
      </c>
      <c r="CH49" s="1">
        <v>153</v>
      </c>
      <c r="CI49" s="1">
        <f t="shared" si="1"/>
        <v>0.40369393139841686</v>
      </c>
      <c r="CJ49">
        <v>3768</v>
      </c>
      <c r="CK49" s="1">
        <v>1298</v>
      </c>
      <c r="CL49" s="1">
        <f t="shared" si="2"/>
        <v>0.34447983014861994</v>
      </c>
      <c r="CM49">
        <v>923</v>
      </c>
      <c r="CN49" s="1">
        <v>381</v>
      </c>
      <c r="CO49" s="1">
        <f t="shared" si="3"/>
        <v>0.41278439869989164</v>
      </c>
      <c r="CQ49" s="1">
        <v>833</v>
      </c>
      <c r="CR49" s="1">
        <v>187</v>
      </c>
      <c r="CS49" s="1">
        <f t="shared" si="0"/>
        <v>0.22448979591836735</v>
      </c>
      <c r="CX49" s="29"/>
      <c r="EE49" s="29">
        <v>0.18</v>
      </c>
      <c r="EL49" s="29"/>
      <c r="EN49" s="15"/>
      <c r="EO49" s="15"/>
      <c r="EP49" s="15"/>
      <c r="FH49" s="29"/>
      <c r="FK49" s="29"/>
      <c r="FO49" s="29"/>
      <c r="FR49" s="29"/>
      <c r="FU49" s="29"/>
      <c r="FZ49" s="29"/>
    </row>
    <row r="50" spans="1:182">
      <c r="A50" s="11">
        <v>1978</v>
      </c>
      <c r="L50" s="10">
        <v>0.30841663045052875</v>
      </c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BM50" s="1">
        <v>6</v>
      </c>
      <c r="BN50" s="9">
        <v>2.7000000000000003E-2</v>
      </c>
      <c r="BO50" s="9"/>
      <c r="BY50" s="29"/>
      <c r="BZ50">
        <v>11446</v>
      </c>
      <c r="CA50" s="1">
        <v>1388</v>
      </c>
      <c r="CB50" s="1">
        <f t="shared" si="4"/>
        <v>0.12126507076708021</v>
      </c>
      <c r="CG50">
        <v>439</v>
      </c>
      <c r="CH50" s="1">
        <v>173</v>
      </c>
      <c r="CI50" s="1">
        <f t="shared" si="1"/>
        <v>0.39407744874715261</v>
      </c>
      <c r="CJ50">
        <v>3931</v>
      </c>
      <c r="CK50" s="1">
        <v>1555</v>
      </c>
      <c r="CL50" s="1">
        <f t="shared" si="2"/>
        <v>0.39557364538285422</v>
      </c>
      <c r="CM50">
        <v>872</v>
      </c>
      <c r="CN50" s="1">
        <v>401</v>
      </c>
      <c r="CO50" s="1">
        <f t="shared" si="3"/>
        <v>0.45986238532110091</v>
      </c>
      <c r="CQ50" s="1">
        <v>798</v>
      </c>
      <c r="CR50" s="1">
        <v>170</v>
      </c>
      <c r="CS50" s="1">
        <f t="shared" si="0"/>
        <v>0.21303258145363407</v>
      </c>
      <c r="CX50" s="29"/>
      <c r="EE50" s="29">
        <v>0.19</v>
      </c>
      <c r="EL50" s="29"/>
      <c r="EN50" s="15"/>
      <c r="EO50" s="15"/>
      <c r="EP50" s="15"/>
      <c r="FH50" s="29"/>
      <c r="FK50" s="29"/>
      <c r="FO50" s="29"/>
      <c r="FR50" s="29"/>
      <c r="FU50" s="29"/>
      <c r="FZ50" s="29"/>
    </row>
    <row r="51" spans="1:182">
      <c r="A51" s="11">
        <v>1979</v>
      </c>
      <c r="L51" s="10">
        <v>0.33793763676148797</v>
      </c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BM51" s="1">
        <v>16</v>
      </c>
      <c r="BN51" s="9">
        <v>7.2000000000000008E-2</v>
      </c>
      <c r="BO51" s="9"/>
      <c r="BY51" s="29"/>
      <c r="BZ51">
        <v>11750</v>
      </c>
      <c r="CA51" s="1">
        <v>1560</v>
      </c>
      <c r="CB51" s="1">
        <f t="shared" si="4"/>
        <v>0.1327659574468085</v>
      </c>
      <c r="CG51">
        <v>415</v>
      </c>
      <c r="CH51" s="1">
        <v>147</v>
      </c>
      <c r="CI51" s="1">
        <f t="shared" si="1"/>
        <v>0.35421686746987951</v>
      </c>
      <c r="CJ51">
        <v>4301</v>
      </c>
      <c r="CK51" s="1">
        <v>1760</v>
      </c>
      <c r="CL51" s="1">
        <f t="shared" si="2"/>
        <v>0.40920716112531969</v>
      </c>
      <c r="CM51">
        <v>894</v>
      </c>
      <c r="CN51" s="1">
        <v>408</v>
      </c>
      <c r="CO51" s="1">
        <f t="shared" si="3"/>
        <v>0.4563758389261745</v>
      </c>
      <c r="CQ51" s="1">
        <v>830</v>
      </c>
      <c r="CR51" s="1">
        <v>188</v>
      </c>
      <c r="CS51" s="1">
        <f t="shared" si="0"/>
        <v>0.22650602409638554</v>
      </c>
      <c r="CX51" s="29"/>
      <c r="EE51" s="29">
        <v>0.19</v>
      </c>
      <c r="EL51" s="29"/>
      <c r="EN51" s="15"/>
      <c r="EO51" s="15"/>
      <c r="EP51" s="15"/>
      <c r="EQ51" s="28">
        <v>0.26</v>
      </c>
      <c r="FH51" s="29">
        <v>0.5</v>
      </c>
      <c r="FK51" s="29"/>
      <c r="FO51" s="29"/>
      <c r="FR51" s="29"/>
      <c r="FU51" s="29"/>
      <c r="FZ51" s="29"/>
    </row>
    <row r="52" spans="1:182">
      <c r="A52" s="11">
        <v>1980</v>
      </c>
      <c r="C52" s="16">
        <v>3212</v>
      </c>
      <c r="D52" s="21">
        <v>9.9000000000000005E-2</v>
      </c>
      <c r="L52" s="10">
        <v>0.36021121735407452</v>
      </c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BG52" s="15">
        <v>30</v>
      </c>
      <c r="BM52" s="1">
        <v>16</v>
      </c>
      <c r="BN52" s="9">
        <v>8.199999999999999E-2</v>
      </c>
      <c r="BO52" s="9"/>
      <c r="BW52" s="1">
        <f>491+126</f>
        <v>617</v>
      </c>
      <c r="BX52" s="1">
        <v>126</v>
      </c>
      <c r="BY52" s="29">
        <f>BX52/BW52</f>
        <v>0.20421393841166938</v>
      </c>
      <c r="BZ52">
        <v>12141</v>
      </c>
      <c r="CA52" s="1">
        <v>1722</v>
      </c>
      <c r="CB52" s="1">
        <f t="shared" si="4"/>
        <v>0.14183345688164073</v>
      </c>
      <c r="CG52">
        <v>426</v>
      </c>
      <c r="CH52" s="1">
        <v>182</v>
      </c>
      <c r="CI52" s="1">
        <f t="shared" si="1"/>
        <v>0.42723004694835681</v>
      </c>
      <c r="CJ52">
        <v>4838</v>
      </c>
      <c r="CK52" s="1">
        <v>2136</v>
      </c>
      <c r="CL52" s="1">
        <f t="shared" si="2"/>
        <v>0.44150475403059114</v>
      </c>
      <c r="CM52">
        <v>1013</v>
      </c>
      <c r="CN52" s="1">
        <v>527</v>
      </c>
      <c r="CO52" s="1">
        <f t="shared" si="3"/>
        <v>0.52023692003948663</v>
      </c>
      <c r="CQ52" s="1">
        <v>856</v>
      </c>
      <c r="CR52" s="1">
        <v>215</v>
      </c>
      <c r="CS52" s="1">
        <f t="shared" si="0"/>
        <v>0.25116822429906543</v>
      </c>
      <c r="CX52" s="29"/>
      <c r="EE52" s="29">
        <v>0.20499999999999999</v>
      </c>
      <c r="EL52" s="29"/>
      <c r="EN52" s="15">
        <v>8178</v>
      </c>
      <c r="EO52" s="15">
        <v>168</v>
      </c>
      <c r="EP52" s="21">
        <v>2.0500000000000001E-2</v>
      </c>
      <c r="EY52" s="22">
        <v>0.65</v>
      </c>
      <c r="FH52" s="29"/>
      <c r="FK52" s="29"/>
      <c r="FO52" s="30">
        <v>0.30599999999999999</v>
      </c>
      <c r="FR52" s="29"/>
      <c r="FU52" s="29"/>
      <c r="FZ52" s="29"/>
    </row>
    <row r="53" spans="1:182">
      <c r="A53" s="11">
        <v>1981</v>
      </c>
      <c r="L53" s="10">
        <v>0.38800000000000001</v>
      </c>
      <c r="Z53" s="15">
        <v>467</v>
      </c>
      <c r="AA53" s="1">
        <f>Z53/3177</f>
        <v>0.14699401951526597</v>
      </c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BM53" s="24">
        <v>16</v>
      </c>
      <c r="BN53" s="25">
        <v>9.9000000000000005E-2</v>
      </c>
      <c r="BO53" s="25"/>
      <c r="BS53" s="1">
        <v>131</v>
      </c>
      <c r="BT53" s="15">
        <v>59</v>
      </c>
      <c r="BU53" s="1">
        <f>(BT53/BS53)*100</f>
        <v>45.038167938931295</v>
      </c>
      <c r="BY53" s="29"/>
      <c r="BZ53">
        <v>12478</v>
      </c>
      <c r="CA53" s="1">
        <v>1908</v>
      </c>
      <c r="CB53" s="1">
        <f t="shared" si="4"/>
        <v>0.15290912005129026</v>
      </c>
      <c r="CG53">
        <v>531</v>
      </c>
      <c r="CH53" s="1">
        <v>182</v>
      </c>
      <c r="CI53" s="1">
        <f t="shared" si="1"/>
        <v>0.34274952919020718</v>
      </c>
      <c r="CJ53">
        <v>5251</v>
      </c>
      <c r="CK53" s="1">
        <v>2461</v>
      </c>
      <c r="CL53" s="1">
        <f t="shared" si="2"/>
        <v>0.46867263378404111</v>
      </c>
      <c r="CM53">
        <v>929</v>
      </c>
      <c r="CN53" s="1">
        <v>494</v>
      </c>
      <c r="CO53" s="1">
        <f t="shared" si="3"/>
        <v>0.53175457481162536</v>
      </c>
      <c r="CQ53" s="1">
        <v>890</v>
      </c>
      <c r="CR53" s="1">
        <v>248</v>
      </c>
      <c r="CS53" s="1">
        <f t="shared" si="0"/>
        <v>0.27865168539325841</v>
      </c>
      <c r="CX53" s="29"/>
      <c r="EE53" s="29">
        <v>0.23</v>
      </c>
      <c r="EL53" s="29"/>
      <c r="EN53" s="15"/>
      <c r="EO53" s="15"/>
      <c r="EP53" s="15"/>
      <c r="FH53" s="29"/>
      <c r="FK53" s="29"/>
      <c r="FO53" s="29"/>
      <c r="FR53" s="29"/>
      <c r="FU53" s="29"/>
      <c r="FZ53" s="29"/>
    </row>
    <row r="54" spans="1:182">
      <c r="A54" s="11">
        <v>1982</v>
      </c>
      <c r="L54" s="10">
        <v>0.4176442422791477</v>
      </c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BM54" s="24">
        <v>19</v>
      </c>
      <c r="BN54" s="25">
        <v>8.3000000000000004E-2</v>
      </c>
      <c r="BO54" s="25"/>
      <c r="BY54" s="29"/>
      <c r="BZ54">
        <v>12969</v>
      </c>
      <c r="CA54" s="1">
        <v>2116</v>
      </c>
      <c r="CB54" s="1">
        <f t="shared" si="4"/>
        <v>0.16315830056288072</v>
      </c>
      <c r="CG54">
        <v>585</v>
      </c>
      <c r="CH54" s="1">
        <v>243</v>
      </c>
      <c r="CI54" s="1">
        <f t="shared" si="1"/>
        <v>0.41538461538461541</v>
      </c>
      <c r="CJ54">
        <v>5546</v>
      </c>
      <c r="CK54" s="1">
        <v>2740</v>
      </c>
      <c r="CL54" s="1">
        <f t="shared" si="2"/>
        <v>0.49404976559682656</v>
      </c>
      <c r="CM54">
        <v>956</v>
      </c>
      <c r="CN54" s="1">
        <v>541</v>
      </c>
      <c r="CO54" s="1">
        <f t="shared" si="3"/>
        <v>0.56589958158995812</v>
      </c>
      <c r="CQ54" s="1">
        <v>880</v>
      </c>
      <c r="CR54" s="1">
        <v>286</v>
      </c>
      <c r="CS54" s="1">
        <f t="shared" si="0"/>
        <v>0.32500000000000001</v>
      </c>
      <c r="CX54" s="30">
        <v>0.41299999999999998</v>
      </c>
      <c r="EE54" s="29">
        <v>0.23</v>
      </c>
      <c r="EL54" s="29"/>
      <c r="EN54" s="15"/>
      <c r="EO54" s="15"/>
      <c r="EP54" s="15"/>
      <c r="FH54" s="29"/>
      <c r="FK54" s="29"/>
      <c r="FO54" s="29"/>
      <c r="FR54" s="29"/>
      <c r="FU54" s="29"/>
      <c r="FZ54" s="29"/>
    </row>
    <row r="55" spans="1:182">
      <c r="A55" s="11">
        <v>1983</v>
      </c>
      <c r="L55" s="10">
        <v>0.45784381478921909</v>
      </c>
      <c r="Q55" s="21">
        <v>0.53600000000000003</v>
      </c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BM55" s="24">
        <v>34</v>
      </c>
      <c r="BN55" s="25">
        <v>0.17800000000000002</v>
      </c>
      <c r="BO55" s="25"/>
      <c r="BY55" s="29"/>
      <c r="BZ55">
        <v>13423</v>
      </c>
      <c r="CA55" s="1">
        <v>2341</v>
      </c>
      <c r="CB55" s="1">
        <f t="shared" si="4"/>
        <v>0.17440214557103478</v>
      </c>
      <c r="CG55">
        <v>683</v>
      </c>
      <c r="CH55" s="1">
        <v>310</v>
      </c>
      <c r="CI55" s="1">
        <f t="shared" si="1"/>
        <v>0.45387994143484628</v>
      </c>
      <c r="CJ55">
        <v>5653</v>
      </c>
      <c r="CK55" s="1">
        <v>2910</v>
      </c>
      <c r="CL55" s="1">
        <f t="shared" si="2"/>
        <v>0.51477091809658593</v>
      </c>
      <c r="CM55">
        <v>897</v>
      </c>
      <c r="CN55" s="1">
        <v>516</v>
      </c>
      <c r="CO55" s="1">
        <f t="shared" si="3"/>
        <v>0.57525083612040129</v>
      </c>
      <c r="CQ55" s="1">
        <v>872</v>
      </c>
      <c r="CR55" s="1">
        <v>300</v>
      </c>
      <c r="CS55" s="1">
        <f t="shared" si="0"/>
        <v>0.34403669724770641</v>
      </c>
      <c r="CX55" s="29"/>
      <c r="EE55" s="29">
        <v>0.26</v>
      </c>
      <c r="EL55" s="29"/>
      <c r="EN55" s="15"/>
      <c r="EO55" s="15"/>
      <c r="EP55" s="15"/>
      <c r="FH55" s="29"/>
      <c r="FK55" s="29"/>
      <c r="FO55" s="29"/>
      <c r="FR55" s="29"/>
      <c r="FU55" s="29"/>
      <c r="FZ55" s="29"/>
    </row>
    <row r="56" spans="1:182">
      <c r="A56" s="11">
        <v>1984</v>
      </c>
      <c r="L56" s="10">
        <v>0.47096188747731399</v>
      </c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BM56" s="24">
        <v>33</v>
      </c>
      <c r="BN56" s="25">
        <v>0.13699999999999998</v>
      </c>
      <c r="BO56" s="25"/>
      <c r="BY56" s="29"/>
      <c r="BZ56">
        <v>14004</v>
      </c>
      <c r="CA56" s="1">
        <v>2680</v>
      </c>
      <c r="CB56" s="1">
        <f t="shared" si="4"/>
        <v>0.19137389317337902</v>
      </c>
      <c r="CG56">
        <v>785</v>
      </c>
      <c r="CH56" s="1">
        <v>361</v>
      </c>
      <c r="CI56" s="1">
        <f t="shared" si="1"/>
        <v>0.45987261146496816</v>
      </c>
      <c r="CJ56">
        <v>5762</v>
      </c>
      <c r="CK56" s="1">
        <v>3124</v>
      </c>
      <c r="CL56" s="1">
        <f t="shared" si="2"/>
        <v>0.54217285664699755</v>
      </c>
      <c r="CM56">
        <v>985</v>
      </c>
      <c r="CN56" s="1">
        <v>610</v>
      </c>
      <c r="CO56" s="1">
        <f t="shared" si="3"/>
        <v>0.61928934010152281</v>
      </c>
      <c r="CQ56" s="1">
        <v>866</v>
      </c>
      <c r="CR56" s="1">
        <v>304</v>
      </c>
      <c r="CS56" s="1">
        <f t="shared" si="0"/>
        <v>0.3510392609699769</v>
      </c>
      <c r="CX56" s="29"/>
      <c r="EE56" s="29">
        <v>0.25</v>
      </c>
      <c r="EL56" s="29"/>
      <c r="EN56" s="15"/>
      <c r="EO56" s="15"/>
      <c r="EP56" s="15"/>
      <c r="FH56" s="29"/>
      <c r="FK56" s="29"/>
      <c r="FO56" s="29"/>
      <c r="FR56" s="29"/>
      <c r="FU56" s="29"/>
      <c r="FZ56" s="29"/>
    </row>
    <row r="57" spans="1:182">
      <c r="A57" s="11">
        <v>1985</v>
      </c>
      <c r="L57" s="10">
        <v>0.48895368397443084</v>
      </c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BM57" s="24">
        <v>46</v>
      </c>
      <c r="BN57" s="25">
        <v>0.16</v>
      </c>
      <c r="BO57" s="25"/>
      <c r="BY57" s="29"/>
      <c r="BZ57">
        <v>14621</v>
      </c>
      <c r="CA57" s="1">
        <v>3055</v>
      </c>
      <c r="CB57" s="1">
        <f t="shared" si="4"/>
        <v>0.20894603652280966</v>
      </c>
      <c r="CG57">
        <v>805</v>
      </c>
      <c r="CH57" s="1">
        <v>401</v>
      </c>
      <c r="CI57" s="1">
        <f t="shared" si="1"/>
        <v>0.49813664596273294</v>
      </c>
      <c r="CJ57">
        <v>5806</v>
      </c>
      <c r="CK57" s="1">
        <v>3289</v>
      </c>
      <c r="CL57" s="1">
        <f t="shared" si="2"/>
        <v>0.56648294867378579</v>
      </c>
      <c r="CM57">
        <v>964</v>
      </c>
      <c r="CN57" s="1">
        <v>582</v>
      </c>
      <c r="CO57" s="1">
        <f t="shared" si="3"/>
        <v>0.60373443983402486</v>
      </c>
      <c r="CQ57" s="1">
        <v>819</v>
      </c>
      <c r="CR57" s="1">
        <v>304</v>
      </c>
      <c r="CS57" s="1">
        <f t="shared" si="0"/>
        <v>0.3711843711843712</v>
      </c>
      <c r="CX57" s="29"/>
      <c r="EE57" s="29">
        <v>0.28000000000000003</v>
      </c>
      <c r="EL57" s="29"/>
      <c r="EN57" s="15"/>
      <c r="EO57" s="15"/>
      <c r="EP57" s="15"/>
      <c r="FH57" s="29"/>
      <c r="FK57" s="29"/>
      <c r="FO57" s="29"/>
      <c r="FR57" s="29"/>
      <c r="FU57" s="29"/>
      <c r="FZ57" s="29"/>
    </row>
    <row r="58" spans="1:182">
      <c r="A58" s="11">
        <v>1986</v>
      </c>
      <c r="D58" s="22">
        <v>0.16</v>
      </c>
      <c r="L58" s="10">
        <v>0.49481748535376296</v>
      </c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BM58" s="24">
        <v>75</v>
      </c>
      <c r="BN58" s="25">
        <v>0.20800000000000002</v>
      </c>
      <c r="BO58" s="25"/>
      <c r="BY58" s="29"/>
      <c r="BZ58">
        <v>15259</v>
      </c>
      <c r="CA58" s="1">
        <v>3426</v>
      </c>
      <c r="CB58" s="1">
        <f t="shared" si="4"/>
        <v>0.2245232321908382</v>
      </c>
      <c r="CG58">
        <v>805</v>
      </c>
      <c r="CH58" s="1">
        <v>397</v>
      </c>
      <c r="CI58" s="1">
        <f t="shared" si="1"/>
        <v>0.49316770186335401</v>
      </c>
      <c r="CJ58">
        <v>5815</v>
      </c>
      <c r="CK58" s="1">
        <v>3373</v>
      </c>
      <c r="CL58" s="1">
        <f t="shared" si="2"/>
        <v>0.58005159071367152</v>
      </c>
      <c r="CM58">
        <v>893</v>
      </c>
      <c r="CN58" s="1">
        <v>547</v>
      </c>
      <c r="CO58" s="1">
        <f t="shared" si="3"/>
        <v>0.61254199328107506</v>
      </c>
      <c r="CQ58" s="1">
        <v>781</v>
      </c>
      <c r="CR58" s="1">
        <v>291</v>
      </c>
      <c r="CS58" s="1">
        <f t="shared" si="0"/>
        <v>0.37259923175416132</v>
      </c>
      <c r="CX58" s="29"/>
      <c r="EE58" s="29">
        <v>0.3</v>
      </c>
      <c r="EL58" s="30">
        <v>0.37769999999999998</v>
      </c>
      <c r="EM58" s="21">
        <v>0.34329999999999999</v>
      </c>
      <c r="EN58" s="15"/>
      <c r="EO58" s="15"/>
      <c r="EP58" s="15"/>
      <c r="EY58" s="22">
        <v>0.82</v>
      </c>
      <c r="FH58" s="29"/>
      <c r="FK58" s="29"/>
      <c r="FO58" s="29"/>
      <c r="FR58" s="29"/>
      <c r="FU58" s="29"/>
      <c r="FZ58" s="29"/>
    </row>
    <row r="59" spans="1:182">
      <c r="A59" s="11">
        <v>1987</v>
      </c>
      <c r="L59" s="10">
        <v>0.53031148822150276</v>
      </c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BM59" s="24">
        <v>83</v>
      </c>
      <c r="BN59" s="25">
        <v>0.152</v>
      </c>
      <c r="BO59" s="25"/>
      <c r="BY59" s="29"/>
      <c r="BZ59">
        <v>15954</v>
      </c>
      <c r="CA59" s="1">
        <v>3858</v>
      </c>
      <c r="CB59" s="1">
        <f t="shared" si="4"/>
        <v>0.2418202331703648</v>
      </c>
      <c r="CG59">
        <v>824</v>
      </c>
      <c r="CH59" s="1">
        <v>457</v>
      </c>
      <c r="CI59" s="1">
        <f t="shared" si="1"/>
        <v>0.55461165048543692</v>
      </c>
      <c r="CJ59">
        <v>5895</v>
      </c>
      <c r="CK59" s="1">
        <v>3569</v>
      </c>
      <c r="CL59" s="1">
        <f t="shared" si="2"/>
        <v>0.60542832909245126</v>
      </c>
      <c r="CM59">
        <v>875</v>
      </c>
      <c r="CN59" s="1">
        <v>559</v>
      </c>
      <c r="CO59" s="1">
        <f t="shared" si="3"/>
        <v>0.6388571428571429</v>
      </c>
      <c r="CQ59" s="1">
        <v>735</v>
      </c>
      <c r="CR59" s="1">
        <v>286</v>
      </c>
      <c r="CS59" s="1">
        <f t="shared" si="0"/>
        <v>0.38911564625850342</v>
      </c>
      <c r="CX59" s="29"/>
      <c r="EE59" s="29">
        <v>0.3</v>
      </c>
      <c r="EL59" s="30"/>
      <c r="EM59" s="15"/>
      <c r="EN59" s="15"/>
      <c r="EO59" s="15"/>
      <c r="EP59" s="15"/>
      <c r="FH59" s="29"/>
      <c r="FK59" s="29"/>
      <c r="FO59" s="29"/>
      <c r="FR59" s="29"/>
      <c r="FS59" s="1">
        <v>1975</v>
      </c>
      <c r="FT59" s="1">
        <v>282</v>
      </c>
      <c r="FU59" s="29">
        <f>FT59/FS59</f>
        <v>0.14278481012658228</v>
      </c>
      <c r="FZ59" s="29"/>
    </row>
    <row r="60" spans="1:182">
      <c r="A60" s="11">
        <v>1988</v>
      </c>
      <c r="L60" s="10">
        <v>0.55112219451371569</v>
      </c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BM60" s="24">
        <v>87</v>
      </c>
      <c r="BN60" s="25">
        <v>0.13</v>
      </c>
      <c r="BO60" s="25"/>
      <c r="BY60" s="29"/>
      <c r="BZ60">
        <v>16551</v>
      </c>
      <c r="CA60" s="1">
        <v>4281</v>
      </c>
      <c r="CB60" s="1">
        <f t="shared" si="4"/>
        <v>0.25865506615914446</v>
      </c>
      <c r="CG60">
        <v>849</v>
      </c>
      <c r="CH60" s="1">
        <v>461</v>
      </c>
      <c r="CI60" s="1">
        <f t="shared" si="1"/>
        <v>0.54299175500588925</v>
      </c>
      <c r="CJ60">
        <v>5960</v>
      </c>
      <c r="CK60" s="1">
        <v>3644</v>
      </c>
      <c r="CL60" s="1">
        <f t="shared" si="2"/>
        <v>0.61140939597315436</v>
      </c>
      <c r="CM60">
        <v>895</v>
      </c>
      <c r="CN60" s="1">
        <v>608</v>
      </c>
      <c r="CO60" s="1">
        <f t="shared" si="3"/>
        <v>0.67932960893854744</v>
      </c>
      <c r="CQ60" s="1">
        <v>706</v>
      </c>
      <c r="CR60" s="1">
        <v>297</v>
      </c>
      <c r="CS60" s="1">
        <f t="shared" si="0"/>
        <v>0.4206798866855524</v>
      </c>
      <c r="CX60" s="29"/>
      <c r="EE60" s="29">
        <v>0.31</v>
      </c>
      <c r="EL60" s="30"/>
      <c r="EM60" s="15"/>
      <c r="EN60" s="15"/>
      <c r="EO60" s="15"/>
      <c r="EP60" s="15"/>
      <c r="FH60" s="29"/>
      <c r="FK60" s="29"/>
      <c r="FM60" s="1">
        <v>103</v>
      </c>
      <c r="FN60" s="15">
        <v>52</v>
      </c>
      <c r="FO60" s="29">
        <f>FN60/FM60</f>
        <v>0.50485436893203883</v>
      </c>
      <c r="FR60" s="29"/>
      <c r="FU60" s="29"/>
      <c r="FZ60" s="29"/>
    </row>
    <row r="61" spans="1:182">
      <c r="A61" s="11">
        <v>1989</v>
      </c>
      <c r="L61" s="10">
        <v>0.57311429893567789</v>
      </c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BM61" s="24">
        <v>90</v>
      </c>
      <c r="BN61" s="25">
        <v>0.128</v>
      </c>
      <c r="BO61" s="25"/>
      <c r="BY61" s="29"/>
      <c r="BZ61">
        <v>17224</v>
      </c>
      <c r="CA61" s="1">
        <v>4699</v>
      </c>
      <c r="CB61" s="1">
        <f t="shared" si="4"/>
        <v>0.27281699953553179</v>
      </c>
      <c r="CG61">
        <v>779</v>
      </c>
      <c r="CH61" s="1">
        <v>464</v>
      </c>
      <c r="CI61" s="1">
        <f>CH61/CG61</f>
        <v>0.59563543003851094</v>
      </c>
      <c r="CJ61">
        <v>5873</v>
      </c>
      <c r="CK61" s="1">
        <v>3689</v>
      </c>
      <c r="CL61" s="1">
        <f t="shared" si="2"/>
        <v>0.6281287246722288</v>
      </c>
      <c r="CM61">
        <v>904</v>
      </c>
      <c r="CN61" s="1">
        <v>600</v>
      </c>
      <c r="CO61" s="1">
        <f t="shared" si="3"/>
        <v>0.66371681415929207</v>
      </c>
      <c r="CQ61" s="1">
        <v>661</v>
      </c>
      <c r="CR61" s="1">
        <v>286</v>
      </c>
      <c r="CS61" s="1">
        <f t="shared" si="0"/>
        <v>0.43267776096822996</v>
      </c>
      <c r="CX61" s="29"/>
      <c r="EE61" s="29">
        <v>0.35</v>
      </c>
      <c r="EL61" s="30"/>
      <c r="EM61" s="15"/>
      <c r="EN61" s="15"/>
      <c r="EO61" s="15"/>
      <c r="EP61" s="15"/>
      <c r="EQ61" s="28">
        <v>0.47</v>
      </c>
      <c r="FH61" s="29"/>
      <c r="FK61" s="29"/>
      <c r="FO61" s="30">
        <v>0.40100000000000002</v>
      </c>
      <c r="FR61" s="29"/>
      <c r="FU61" s="29"/>
      <c r="FZ61" s="29"/>
    </row>
    <row r="62" spans="1:182">
      <c r="A62" s="11">
        <v>1990</v>
      </c>
      <c r="C62" s="16">
        <v>12462</v>
      </c>
      <c r="D62" s="21">
        <v>0.25600000000000001</v>
      </c>
      <c r="L62" s="10">
        <v>0.61047145800509028</v>
      </c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BE62" s="15">
        <v>50</v>
      </c>
      <c r="BG62" s="15">
        <v>50</v>
      </c>
      <c r="BH62" s="15"/>
      <c r="BM62" s="24">
        <v>112</v>
      </c>
      <c r="BN62" s="25">
        <v>0.16899999999999998</v>
      </c>
      <c r="BO62" s="25"/>
      <c r="BW62" s="1">
        <f>566+BX62</f>
        <v>933</v>
      </c>
      <c r="BX62" s="1">
        <v>367</v>
      </c>
      <c r="BY62" s="29">
        <f>BX62/BW62</f>
        <v>0.39335476956055732</v>
      </c>
      <c r="BZ62">
        <v>18163</v>
      </c>
      <c r="CA62" s="1">
        <v>5259</v>
      </c>
      <c r="CB62" s="1">
        <f t="shared" si="4"/>
        <v>0.28954467874249851</v>
      </c>
      <c r="CG62">
        <v>761</v>
      </c>
      <c r="CH62" s="1">
        <v>450</v>
      </c>
      <c r="CI62" s="1">
        <f>CH62/CG62</f>
        <v>0.59132720105124836</v>
      </c>
      <c r="CJ62">
        <v>5704</v>
      </c>
      <c r="CK62" s="1">
        <v>3728</v>
      </c>
      <c r="CL62" s="1">
        <f t="shared" si="2"/>
        <v>0.65357643758765782</v>
      </c>
      <c r="CM62">
        <v>906</v>
      </c>
      <c r="CN62" s="1">
        <v>674</v>
      </c>
      <c r="CO62" s="1">
        <f t="shared" si="3"/>
        <v>0.74392935982339958</v>
      </c>
      <c r="CQ62" s="1">
        <v>720</v>
      </c>
      <c r="CR62" s="1">
        <v>335</v>
      </c>
      <c r="CS62" s="1">
        <f t="shared" si="0"/>
        <v>0.46527777777777779</v>
      </c>
      <c r="CX62" s="29"/>
      <c r="EE62" s="29">
        <v>0.35</v>
      </c>
      <c r="EL62" s="30">
        <v>0.45419999999999999</v>
      </c>
      <c r="EM62" s="21">
        <v>0.42420000000000002</v>
      </c>
      <c r="EN62" s="15">
        <v>12584</v>
      </c>
      <c r="EO62" s="15">
        <v>2790</v>
      </c>
      <c r="EP62" s="21">
        <v>0.22170000000000001</v>
      </c>
      <c r="EX62" s="28">
        <v>0.4</v>
      </c>
      <c r="EY62" s="28"/>
      <c r="FH62" s="29"/>
      <c r="FK62" s="30">
        <v>0.7</v>
      </c>
      <c r="FO62" s="29"/>
      <c r="FR62" s="29"/>
      <c r="FU62" s="29"/>
      <c r="FZ62" s="29"/>
    </row>
    <row r="63" spans="1:182">
      <c r="A63" s="11">
        <v>1991</v>
      </c>
      <c r="L63" s="10">
        <v>0.60118764845605699</v>
      </c>
      <c r="Z63" s="15">
        <v>1425</v>
      </c>
      <c r="AA63" s="1">
        <f>Z63/4757</f>
        <v>0.29955854530166071</v>
      </c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BM63" s="24">
        <v>83</v>
      </c>
      <c r="BN63" s="25">
        <v>0.106</v>
      </c>
      <c r="BO63" s="25"/>
      <c r="BY63" s="29"/>
      <c r="BZ63">
        <v>23844</v>
      </c>
      <c r="CA63" s="1">
        <v>6939</v>
      </c>
      <c r="CB63" s="1">
        <f t="shared" si="4"/>
        <v>0.29101660795168593</v>
      </c>
      <c r="CG63">
        <v>796</v>
      </c>
      <c r="CH63" s="1">
        <v>473</v>
      </c>
      <c r="CI63" s="1">
        <f t="shared" ref="CI63:CI92" si="6">CH63/CG63</f>
        <v>0.59422110552763818</v>
      </c>
      <c r="CJ63">
        <v>6890</v>
      </c>
      <c r="CK63" s="1">
        <v>4368</v>
      </c>
      <c r="CL63" s="1">
        <f t="shared" si="2"/>
        <v>0.63396226415094337</v>
      </c>
      <c r="CM63">
        <v>1201</v>
      </c>
      <c r="CN63" s="1">
        <v>853</v>
      </c>
      <c r="CO63" s="1">
        <f t="shared" si="3"/>
        <v>0.71024146544546207</v>
      </c>
      <c r="CQ63" s="1">
        <v>756</v>
      </c>
      <c r="CR63" s="1">
        <v>347</v>
      </c>
      <c r="CS63" s="1">
        <f t="shared" si="0"/>
        <v>0.45899470899470901</v>
      </c>
      <c r="CX63" s="29"/>
      <c r="EB63" s="29"/>
      <c r="EE63" s="29">
        <v>0.35</v>
      </c>
      <c r="EF63" s="32">
        <v>12076</v>
      </c>
      <c r="EG63" s="32">
        <v>5015</v>
      </c>
      <c r="EH63" s="15">
        <v>41.5</v>
      </c>
      <c r="EL63" s="30"/>
      <c r="EM63" s="15"/>
      <c r="EN63" s="15"/>
      <c r="EO63" s="15"/>
      <c r="EP63" s="15"/>
      <c r="FH63" s="29"/>
      <c r="FK63" s="29"/>
      <c r="FO63" s="29"/>
      <c r="FR63" s="29"/>
      <c r="FU63" s="29"/>
      <c r="FZ63" s="29"/>
    </row>
    <row r="64" spans="1:182">
      <c r="A64" s="11">
        <v>1992</v>
      </c>
      <c r="L64" s="10">
        <v>0.62075091792017056</v>
      </c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BM64" s="24">
        <v>117</v>
      </c>
      <c r="BN64" s="25">
        <v>0.157</v>
      </c>
      <c r="BO64" s="25"/>
      <c r="BY64" s="29"/>
      <c r="BZ64" s="1">
        <v>24558</v>
      </c>
      <c r="CA64" s="1">
        <v>7438</v>
      </c>
      <c r="CB64" s="1">
        <f t="shared" si="4"/>
        <v>0.3028748269403046</v>
      </c>
      <c r="CG64">
        <v>972</v>
      </c>
      <c r="CH64" s="1">
        <v>583</v>
      </c>
      <c r="CI64" s="1">
        <f t="shared" si="6"/>
        <v>0.59979423868312753</v>
      </c>
      <c r="CJ64">
        <v>6893</v>
      </c>
      <c r="CK64" s="1">
        <v>4552</v>
      </c>
      <c r="CL64" s="1">
        <f t="shared" ref="CL64:CL67" si="7">CK64/CJ64</f>
        <v>0.66038009574931089</v>
      </c>
      <c r="CM64">
        <v>1060</v>
      </c>
      <c r="CN64" s="1">
        <v>810</v>
      </c>
      <c r="CO64" s="1">
        <f t="shared" si="3"/>
        <v>0.76415094339622647</v>
      </c>
      <c r="CQ64" s="1">
        <v>839</v>
      </c>
      <c r="CR64" s="1">
        <v>436</v>
      </c>
      <c r="CS64" s="1">
        <f t="shared" si="0"/>
        <v>0.51966626936829563</v>
      </c>
      <c r="CX64" s="29"/>
      <c r="EB64" s="29"/>
      <c r="EE64" s="29">
        <v>0.37</v>
      </c>
      <c r="EL64" s="30"/>
      <c r="EM64" s="15"/>
      <c r="EN64" s="15"/>
      <c r="EO64" s="15"/>
      <c r="EP64" s="15"/>
      <c r="FH64" s="29"/>
      <c r="FK64" s="29"/>
      <c r="FO64" s="29"/>
      <c r="FR64" s="29"/>
      <c r="FU64" s="29"/>
      <c r="FZ64" s="29"/>
    </row>
    <row r="65" spans="1:182">
      <c r="A65" s="11">
        <v>1993</v>
      </c>
      <c r="L65" s="10">
        <v>0.63850254983773758</v>
      </c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BM65" s="24">
        <v>162</v>
      </c>
      <c r="BN65" s="25">
        <v>0.20199999999999999</v>
      </c>
      <c r="BO65" s="25"/>
      <c r="BY65" s="29"/>
      <c r="BZ65">
        <v>25389</v>
      </c>
      <c r="CA65" s="1">
        <v>8062</v>
      </c>
      <c r="CB65" s="1">
        <f t="shared" si="4"/>
        <v>0.31753909173264011</v>
      </c>
      <c r="CG65">
        <v>1007</v>
      </c>
      <c r="CH65" s="1">
        <v>636</v>
      </c>
      <c r="CI65" s="1">
        <f t="shared" si="6"/>
        <v>0.63157894736842102</v>
      </c>
      <c r="CJ65">
        <v>6892</v>
      </c>
      <c r="CK65" s="1">
        <v>4735</v>
      </c>
      <c r="CL65" s="1">
        <f t="shared" si="7"/>
        <v>0.68702843876958797</v>
      </c>
      <c r="CM65">
        <v>1076</v>
      </c>
      <c r="CN65" s="1">
        <v>855</v>
      </c>
      <c r="CO65" s="1">
        <f t="shared" si="3"/>
        <v>0.79460966542750933</v>
      </c>
      <c r="CQ65" s="1">
        <v>921</v>
      </c>
      <c r="CR65" s="1">
        <v>496</v>
      </c>
      <c r="CS65" s="1">
        <f t="shared" si="0"/>
        <v>0.53854505971769817</v>
      </c>
      <c r="CV65" s="1">
        <f>CW65+141</f>
        <v>320</v>
      </c>
      <c r="CW65" s="1">
        <v>179</v>
      </c>
      <c r="CX65" s="29">
        <f>CW65/CV65</f>
        <v>0.55937499999999996</v>
      </c>
      <c r="EB65" s="29"/>
      <c r="EE65" s="29">
        <v>0.39</v>
      </c>
      <c r="EL65" s="30"/>
      <c r="EM65" s="15"/>
      <c r="EN65" s="15"/>
      <c r="EO65" s="15"/>
      <c r="EP65" s="15"/>
      <c r="FH65" s="29"/>
      <c r="FK65" s="29"/>
      <c r="FO65" s="29"/>
      <c r="FR65" s="29"/>
      <c r="FU65" s="29"/>
      <c r="FZ65" s="29"/>
    </row>
    <row r="66" spans="1:182">
      <c r="A66" s="11">
        <v>1994</v>
      </c>
      <c r="L66" s="10">
        <v>0.64824063564131673</v>
      </c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BM66" s="24">
        <v>147</v>
      </c>
      <c r="BN66" s="25">
        <v>0.19500000000000001</v>
      </c>
      <c r="BO66" s="25"/>
      <c r="BY66" s="29"/>
      <c r="BZ66">
        <v>26118</v>
      </c>
      <c r="CA66" s="1">
        <v>8622</v>
      </c>
      <c r="CB66" s="1">
        <f t="shared" si="4"/>
        <v>0.33011716057891111</v>
      </c>
      <c r="CG66">
        <v>922</v>
      </c>
      <c r="CH66" s="1">
        <v>566</v>
      </c>
      <c r="CI66" s="1">
        <f t="shared" si="6"/>
        <v>0.61388286334056397</v>
      </c>
      <c r="CJ66">
        <v>6759</v>
      </c>
      <c r="CK66" s="1">
        <v>4840</v>
      </c>
      <c r="CL66" s="1">
        <f t="shared" si="7"/>
        <v>0.71608226068945113</v>
      </c>
      <c r="CM66" s="1">
        <v>1034</v>
      </c>
      <c r="CN66" s="1">
        <v>803</v>
      </c>
      <c r="CO66" s="1">
        <f t="shared" si="3"/>
        <v>0.77659574468085102</v>
      </c>
      <c r="CQ66" s="1">
        <v>992</v>
      </c>
      <c r="CR66" s="1">
        <v>537</v>
      </c>
      <c r="CS66" s="1">
        <f t="shared" si="0"/>
        <v>0.54133064516129037</v>
      </c>
      <c r="CX66" s="29"/>
      <c r="EB66" s="29"/>
      <c r="EE66" s="29">
        <v>0.41</v>
      </c>
      <c r="EL66" s="30"/>
      <c r="EM66" s="15"/>
      <c r="EN66" s="15"/>
      <c r="EO66" s="15"/>
      <c r="EP66" s="15"/>
      <c r="EU66" s="29"/>
      <c r="FH66" s="29"/>
      <c r="FK66" s="29"/>
      <c r="FO66" s="29"/>
      <c r="FR66" s="29"/>
      <c r="FU66" s="29"/>
      <c r="FZ66" s="29"/>
    </row>
    <row r="67" spans="1:182">
      <c r="A67" s="11">
        <v>1995</v>
      </c>
      <c r="C67" s="16">
        <v>18088</v>
      </c>
      <c r="D67" s="21">
        <v>0.32700000000000001</v>
      </c>
      <c r="L67" s="10">
        <v>0.65889014722536809</v>
      </c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BB67" s="15">
        <v>12</v>
      </c>
      <c r="BM67" s="24">
        <v>170</v>
      </c>
      <c r="BN67" s="25">
        <v>0.252</v>
      </c>
      <c r="BO67" s="25"/>
      <c r="BY67" s="29"/>
      <c r="BZ67">
        <v>26932</v>
      </c>
      <c r="CA67" s="1">
        <v>9216</v>
      </c>
      <c r="CB67" s="1">
        <f t="shared" si="4"/>
        <v>0.34219515817614732</v>
      </c>
      <c r="CG67">
        <v>1011</v>
      </c>
      <c r="CH67" s="1">
        <f>619+25</f>
        <v>644</v>
      </c>
      <c r="CI67" s="1">
        <f t="shared" si="6"/>
        <v>0.63699307616221568</v>
      </c>
      <c r="CJ67">
        <v>6743</v>
      </c>
      <c r="CK67" s="1">
        <v>5010</v>
      </c>
      <c r="CL67" s="1">
        <f t="shared" si="7"/>
        <v>0.74299273320480497</v>
      </c>
      <c r="CM67" s="1">
        <v>1090</v>
      </c>
      <c r="CN67" s="20">
        <v>876</v>
      </c>
      <c r="CO67" s="1">
        <f t="shared" si="3"/>
        <v>0.80366972477064225</v>
      </c>
      <c r="CP67" s="1">
        <v>44.7</v>
      </c>
      <c r="CQ67" s="1">
        <v>1035</v>
      </c>
      <c r="CR67" s="1">
        <v>563</v>
      </c>
      <c r="CS67" s="1">
        <f t="shared" si="0"/>
        <v>0.54396135265700485</v>
      </c>
      <c r="CX67" s="29"/>
      <c r="EB67" s="29"/>
      <c r="EE67" s="29">
        <v>0.44</v>
      </c>
      <c r="EL67" s="30">
        <v>0.5494</v>
      </c>
      <c r="EM67" s="21">
        <v>0.56510000000000005</v>
      </c>
      <c r="EN67" s="15"/>
      <c r="EO67" s="15"/>
      <c r="EP67" s="15"/>
      <c r="ER67" s="21">
        <v>0.16270000000000001</v>
      </c>
      <c r="ES67" s="1">
        <v>48</v>
      </c>
      <c r="ET67" s="1">
        <v>45</v>
      </c>
      <c r="EU67" s="29">
        <f>ET67/ES67</f>
        <v>0.9375</v>
      </c>
      <c r="FH67" s="29"/>
      <c r="FK67" s="29"/>
      <c r="FO67" s="29"/>
      <c r="FR67" s="29"/>
      <c r="FU67" s="29"/>
      <c r="FZ67" s="29"/>
    </row>
    <row r="68" spans="1:182">
      <c r="A68" s="11">
        <v>1996</v>
      </c>
      <c r="L68" s="10">
        <v>0.66367254121660035</v>
      </c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BM68" s="24">
        <v>175</v>
      </c>
      <c r="BN68" s="25">
        <v>0.23800000000000002</v>
      </c>
      <c r="BO68" s="25"/>
      <c r="BY68" s="29"/>
      <c r="CG68" s="1">
        <f>1040+70</f>
        <v>1110</v>
      </c>
      <c r="CH68" s="1">
        <f>671+18</f>
        <v>689</v>
      </c>
      <c r="CI68" s="1">
        <f t="shared" si="6"/>
        <v>0.62072072072072071</v>
      </c>
      <c r="CJ68">
        <v>6617</v>
      </c>
      <c r="CK68" s="1">
        <f>4932+154</f>
        <v>5086</v>
      </c>
      <c r="CL68" s="1">
        <f>CK68/CJ68</f>
        <v>0.76862626567931092</v>
      </c>
      <c r="CM68">
        <v>1113</v>
      </c>
      <c r="CN68" s="1">
        <v>874</v>
      </c>
      <c r="CO68" s="1">
        <f t="shared" ref="CO68:CO69" si="8">CN68/CM68</f>
        <v>0.78526504941599284</v>
      </c>
      <c r="CP68" s="1">
        <v>46.9</v>
      </c>
      <c r="CQ68" s="1">
        <v>1086</v>
      </c>
      <c r="CR68" s="1">
        <v>616</v>
      </c>
      <c r="CS68" s="1">
        <f t="shared" si="0"/>
        <v>0.56721915285451197</v>
      </c>
      <c r="CX68" s="29"/>
      <c r="EB68" s="29"/>
      <c r="EE68" s="29">
        <v>0.42</v>
      </c>
      <c r="EL68" s="30"/>
      <c r="EM68" s="15"/>
      <c r="EN68" s="15"/>
      <c r="EO68" s="15"/>
      <c r="EP68" s="15"/>
      <c r="ER68" s="21"/>
      <c r="ES68" s="1">
        <v>48</v>
      </c>
      <c r="ET68" s="1">
        <v>41</v>
      </c>
      <c r="EU68" s="29">
        <f t="shared" ref="EU68:EU79" si="9">ET68/ES68</f>
        <v>0.85416666666666663</v>
      </c>
      <c r="FH68" s="29"/>
      <c r="FK68" s="29"/>
      <c r="FO68" s="29"/>
      <c r="FR68" s="29"/>
      <c r="FU68" s="29"/>
      <c r="FZ68" s="29"/>
    </row>
    <row r="69" spans="1:182">
      <c r="A69" s="11">
        <v>1997</v>
      </c>
      <c r="L69" s="10">
        <v>0.66872543514879279</v>
      </c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BB69" s="15">
        <v>21.4</v>
      </c>
      <c r="BM69" s="24">
        <v>172</v>
      </c>
      <c r="BN69" s="25">
        <v>0.254</v>
      </c>
      <c r="BO69" s="25"/>
      <c r="BY69" s="29"/>
      <c r="CG69" s="1">
        <f>946+22</f>
        <v>968</v>
      </c>
      <c r="CH69" s="1">
        <f>684+6</f>
        <v>690</v>
      </c>
      <c r="CI69" s="1">
        <f t="shared" si="6"/>
        <v>0.71280991735537191</v>
      </c>
      <c r="CJ69">
        <v>6541</v>
      </c>
      <c r="CK69" s="1">
        <f>5001+164</f>
        <v>5165</v>
      </c>
      <c r="CL69" s="1">
        <f>CK69/CJ69</f>
        <v>0.78963461244458033</v>
      </c>
      <c r="CM69" s="1">
        <v>1108</v>
      </c>
      <c r="CN69" s="1">
        <v>893</v>
      </c>
      <c r="CO69" s="1">
        <f t="shared" si="8"/>
        <v>0.80595667870036103</v>
      </c>
      <c r="CP69" s="1">
        <v>46.9</v>
      </c>
      <c r="CQ69" s="1">
        <v>1132</v>
      </c>
      <c r="CR69" s="1">
        <v>633</v>
      </c>
      <c r="CS69" s="1">
        <f t="shared" si="0"/>
        <v>0.55918727915194344</v>
      </c>
      <c r="CX69" s="29"/>
      <c r="DO69" s="28">
        <v>0.45</v>
      </c>
      <c r="EB69" s="29"/>
      <c r="EE69" s="29">
        <v>0.47</v>
      </c>
      <c r="EL69" s="30"/>
      <c r="EM69" s="15"/>
      <c r="EN69" s="15"/>
      <c r="EO69" s="15"/>
      <c r="EP69" s="15"/>
      <c r="ES69" s="1">
        <v>48</v>
      </c>
      <c r="ET69" s="1">
        <v>46</v>
      </c>
      <c r="EU69" s="29">
        <f t="shared" si="9"/>
        <v>0.95833333333333337</v>
      </c>
      <c r="FH69" s="29"/>
      <c r="FK69" s="29"/>
      <c r="FO69" s="29"/>
      <c r="FR69" s="29"/>
      <c r="FU69" s="29"/>
      <c r="FZ69" s="29"/>
    </row>
    <row r="70" spans="1:182">
      <c r="A70" s="11">
        <v>1998</v>
      </c>
      <c r="L70" s="10">
        <v>0.67879870492352345</v>
      </c>
      <c r="R70" s="22">
        <v>0.71</v>
      </c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BM70" s="24">
        <v>187</v>
      </c>
      <c r="BN70" s="25">
        <v>0.25</v>
      </c>
      <c r="BO70" s="25"/>
      <c r="BY70" s="29"/>
      <c r="CG70" s="1">
        <v>854</v>
      </c>
      <c r="CH70" s="1">
        <f>672+8</f>
        <v>680</v>
      </c>
      <c r="CI70" s="1">
        <f t="shared" si="6"/>
        <v>0.79625292740046838</v>
      </c>
      <c r="CJ70">
        <v>6502</v>
      </c>
      <c r="CK70" s="1">
        <f>4968+185</f>
        <v>5153</v>
      </c>
      <c r="CL70" s="1">
        <f>CK70/CJ70</f>
        <v>0.79252537680713631</v>
      </c>
      <c r="CM70" s="1">
        <v>1074</v>
      </c>
      <c r="CN70" s="1">
        <v>878</v>
      </c>
      <c r="CO70" s="1">
        <f>CN70/CM70</f>
        <v>0.81750465549348228</v>
      </c>
      <c r="CP70" s="1">
        <v>52.8</v>
      </c>
      <c r="CQ70" s="1">
        <v>1152</v>
      </c>
      <c r="CR70" s="1">
        <v>665</v>
      </c>
      <c r="CS70" s="1">
        <f t="shared" ref="CS70:CS88" si="10">CR70/CQ70</f>
        <v>0.57725694444444442</v>
      </c>
      <c r="CX70" s="29"/>
      <c r="EB70" s="29"/>
      <c r="EE70" s="29">
        <v>0.46</v>
      </c>
      <c r="EH70" s="29"/>
      <c r="EL70" s="30"/>
      <c r="EM70" s="15"/>
      <c r="EN70" s="15"/>
      <c r="EO70" s="15"/>
      <c r="EP70" s="15"/>
      <c r="ES70" s="1">
        <v>48</v>
      </c>
      <c r="ET70" s="1">
        <v>44</v>
      </c>
      <c r="EU70" s="29">
        <f t="shared" si="9"/>
        <v>0.91666666666666663</v>
      </c>
      <c r="FH70" s="29"/>
      <c r="FK70" s="29"/>
      <c r="FO70" s="29"/>
      <c r="FR70" s="29"/>
      <c r="FU70" s="29"/>
      <c r="FZ70" s="29"/>
    </row>
    <row r="71" spans="1:182">
      <c r="A71" s="11">
        <v>1999</v>
      </c>
      <c r="B71" s="15">
        <v>60800</v>
      </c>
      <c r="D71" s="21">
        <v>0.435</v>
      </c>
      <c r="L71" s="10">
        <v>0.69574397155239476</v>
      </c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BM71" s="24">
        <v>224</v>
      </c>
      <c r="BN71" s="25">
        <v>0.33399999999999996</v>
      </c>
      <c r="BO71" s="25"/>
      <c r="BY71" s="29"/>
      <c r="CG71" s="1">
        <f>944+29</f>
        <v>973</v>
      </c>
      <c r="CH71" s="1">
        <f>773+20</f>
        <v>793</v>
      </c>
      <c r="CI71" s="1">
        <f t="shared" si="6"/>
        <v>0.81500513874614589</v>
      </c>
      <c r="CJ71">
        <v>6539</v>
      </c>
      <c r="CK71" s="1">
        <f>5073+188</f>
        <v>5261</v>
      </c>
      <c r="CL71" s="1">
        <f t="shared" ref="CL71:CL92" si="11">CK71/CJ71</f>
        <v>0.80455727175409086</v>
      </c>
      <c r="CM71" s="1">
        <v>1052</v>
      </c>
      <c r="CN71" s="1">
        <v>923</v>
      </c>
      <c r="CO71" s="1">
        <f t="shared" ref="CO71:CO92" si="12">CN71/CM71</f>
        <v>0.87737642585551334</v>
      </c>
      <c r="CP71" s="1">
        <v>54.4</v>
      </c>
      <c r="CQ71" s="1">
        <v>1161</v>
      </c>
      <c r="CR71" s="1">
        <v>692</v>
      </c>
      <c r="CS71" s="1">
        <f t="shared" si="10"/>
        <v>0.59603789836347976</v>
      </c>
      <c r="CX71" s="29"/>
      <c r="EB71" s="29"/>
      <c r="EE71" s="29">
        <v>0.48</v>
      </c>
      <c r="EH71" s="29"/>
      <c r="EL71" s="30"/>
      <c r="EM71" s="15"/>
      <c r="EN71" s="15"/>
      <c r="EO71" s="15"/>
      <c r="EP71" s="15"/>
      <c r="EQ71" s="28">
        <v>0.52</v>
      </c>
      <c r="ES71" s="1">
        <v>52</v>
      </c>
      <c r="ET71" s="1">
        <v>50</v>
      </c>
      <c r="EU71" s="29">
        <f t="shared" si="9"/>
        <v>0.96153846153846156</v>
      </c>
      <c r="FH71" s="29"/>
      <c r="FK71" s="29"/>
      <c r="FO71" s="29"/>
      <c r="FR71" s="29"/>
      <c r="FU71" s="29"/>
      <c r="FZ71" s="29"/>
    </row>
    <row r="72" spans="1:182">
      <c r="A72" s="11">
        <v>2000</v>
      </c>
      <c r="L72" s="10">
        <v>0.70444272957777532</v>
      </c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BG72" s="15">
        <v>60</v>
      </c>
      <c r="BM72" s="24">
        <v>191</v>
      </c>
      <c r="BN72" s="25">
        <v>0.24600000000000002</v>
      </c>
      <c r="BO72" s="25"/>
      <c r="BP72" s="1">
        <f>BQ72+1606</f>
        <v>2339</v>
      </c>
      <c r="BQ72" s="15">
        <v>733</v>
      </c>
      <c r="BR72" s="29">
        <f>BQ72/BP72</f>
        <v>0.31338178708849934</v>
      </c>
      <c r="BW72" s="1">
        <f>294+BX72</f>
        <v>767</v>
      </c>
      <c r="BX72" s="1">
        <v>473</v>
      </c>
      <c r="BY72" s="29">
        <f>BX72/BW72</f>
        <v>0.6166883963494133</v>
      </c>
      <c r="CG72" s="1">
        <f>857+24</f>
        <v>881</v>
      </c>
      <c r="CH72" s="1">
        <f>690+13</f>
        <v>703</v>
      </c>
      <c r="CI72" s="1">
        <f t="shared" si="6"/>
        <v>0.79795686719636771</v>
      </c>
      <c r="CJ72">
        <v>6548</v>
      </c>
      <c r="CK72" s="1">
        <f>5118+213</f>
        <v>5331</v>
      </c>
      <c r="CL72" s="1">
        <f t="shared" si="11"/>
        <v>0.81414172266340867</v>
      </c>
      <c r="CM72" s="1">
        <v>1010</v>
      </c>
      <c r="CN72" s="1">
        <v>871</v>
      </c>
      <c r="CO72" s="1">
        <f t="shared" si="12"/>
        <v>0.86237623762376237</v>
      </c>
      <c r="CP72" s="1">
        <v>58.2</v>
      </c>
      <c r="CQ72" s="1">
        <v>1115</v>
      </c>
      <c r="CR72" s="1">
        <v>695</v>
      </c>
      <c r="CS72" s="1">
        <f t="shared" si="10"/>
        <v>0.62331838565022424</v>
      </c>
      <c r="CU72" s="1">
        <v>7</v>
      </c>
      <c r="CX72" s="29"/>
      <c r="DZ72" s="15">
        <v>37656</v>
      </c>
      <c r="EB72" s="30">
        <v>0.316</v>
      </c>
      <c r="EE72" s="29">
        <v>0.5</v>
      </c>
      <c r="EH72" s="29"/>
      <c r="EL72" s="30">
        <v>0.59760000000000002</v>
      </c>
      <c r="EM72" s="21">
        <v>0.56110000000000004</v>
      </c>
      <c r="EN72" s="15">
        <v>21734</v>
      </c>
      <c r="EO72" s="15">
        <v>6317</v>
      </c>
      <c r="EP72" s="21">
        <v>0.29070000000000001</v>
      </c>
      <c r="ES72" s="1">
        <v>51</v>
      </c>
      <c r="ET72" s="1">
        <v>49</v>
      </c>
      <c r="EU72" s="29">
        <f t="shared" si="9"/>
        <v>0.96078431372549022</v>
      </c>
      <c r="EY72" s="22">
        <v>0.8</v>
      </c>
      <c r="FH72" s="29"/>
      <c r="FK72" s="29"/>
      <c r="FO72" s="29"/>
      <c r="FR72" s="29"/>
      <c r="FU72" s="29"/>
      <c r="FZ72" s="29"/>
    </row>
    <row r="73" spans="1:182">
      <c r="A73" s="11">
        <v>2001</v>
      </c>
      <c r="L73" s="10">
        <v>0.71747945205479458</v>
      </c>
      <c r="Z73" s="1">
        <v>2468</v>
      </c>
      <c r="AA73" s="1">
        <f>Z73/6358</f>
        <v>0.38817238125196601</v>
      </c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BM73" s="24">
        <v>284</v>
      </c>
      <c r="BN73" s="25">
        <v>0.27399999999999997</v>
      </c>
      <c r="BO73" s="25"/>
      <c r="BR73" s="29"/>
      <c r="BY73" s="29"/>
      <c r="BZ73" s="1">
        <v>30897</v>
      </c>
      <c r="CA73" s="1">
        <v>13070</v>
      </c>
      <c r="CB73" s="1">
        <f t="shared" ref="CB73:CB91" si="13">CA73/BZ73</f>
        <v>0.42301841602744605</v>
      </c>
      <c r="CG73" s="1">
        <v>930</v>
      </c>
      <c r="CH73" s="1">
        <f>712+29</f>
        <v>741</v>
      </c>
      <c r="CI73" s="1">
        <f t="shared" si="6"/>
        <v>0.79677419354838708</v>
      </c>
      <c r="CJ73">
        <v>6393</v>
      </c>
      <c r="CK73" s="1">
        <f>5072+215</f>
        <v>5287</v>
      </c>
      <c r="CL73" s="1">
        <f t="shared" si="11"/>
        <v>0.82699827936805881</v>
      </c>
      <c r="CM73" s="1">
        <v>999</v>
      </c>
      <c r="CN73" s="1">
        <v>878</v>
      </c>
      <c r="CO73" s="1">
        <f t="shared" si="12"/>
        <v>0.87887887887887883</v>
      </c>
      <c r="CP73" s="1">
        <v>61.7</v>
      </c>
      <c r="CQ73" s="1">
        <v>1195</v>
      </c>
      <c r="CR73" s="1">
        <v>755</v>
      </c>
      <c r="CS73" s="1">
        <f t="shared" si="10"/>
        <v>0.63179916317991636</v>
      </c>
      <c r="CX73" s="29"/>
      <c r="CZ73" s="1">
        <v>276</v>
      </c>
      <c r="DA73" s="1">
        <v>230</v>
      </c>
      <c r="DB73" s="1">
        <f t="shared" ref="DB73:DB87" si="14">DA73/CZ73</f>
        <v>0.83333333333333337</v>
      </c>
      <c r="DC73" s="1">
        <v>128</v>
      </c>
      <c r="DD73" s="1">
        <v>94</v>
      </c>
      <c r="DE73" s="1">
        <f>DD73/DC73</f>
        <v>0.734375</v>
      </c>
      <c r="DM73" s="1">
        <f>DN73+135</f>
        <v>229</v>
      </c>
      <c r="DN73" s="1">
        <v>94</v>
      </c>
      <c r="DO73" s="29">
        <f>DN73/DM73</f>
        <v>0.41048034934497818</v>
      </c>
      <c r="EB73" s="29"/>
      <c r="EC73" s="16">
        <v>3280</v>
      </c>
      <c r="ED73" s="15">
        <v>1754</v>
      </c>
      <c r="EE73" s="29">
        <f>ED73/EC73</f>
        <v>0.53475609756097564</v>
      </c>
      <c r="EH73" s="29">
        <v>0.53300000000000003</v>
      </c>
      <c r="EL73" s="30"/>
      <c r="EM73" s="15"/>
      <c r="EN73" s="15"/>
      <c r="EO73" s="15"/>
      <c r="EP73" s="15"/>
      <c r="ES73" s="1">
        <v>53</v>
      </c>
      <c r="ET73" s="1">
        <v>49</v>
      </c>
      <c r="EU73" s="29">
        <f t="shared" si="9"/>
        <v>0.92452830188679247</v>
      </c>
      <c r="FH73" s="29"/>
      <c r="FK73" s="29"/>
      <c r="FO73" s="29"/>
      <c r="FR73" s="29"/>
      <c r="FU73" s="29"/>
      <c r="FZ73" s="29"/>
    </row>
    <row r="74" spans="1:182">
      <c r="A74" s="1">
        <v>2002</v>
      </c>
      <c r="L74" s="10">
        <v>0.73167823070251514</v>
      </c>
      <c r="AI74" s="18">
        <v>27000</v>
      </c>
      <c r="AJ74" s="18">
        <f>(AI74*AK74)/100</f>
        <v>4806</v>
      </c>
      <c r="AK74" s="18">
        <v>17.8</v>
      </c>
      <c r="AL74" s="18"/>
      <c r="AM74" s="18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BM74" s="24">
        <v>267</v>
      </c>
      <c r="BN74" s="25">
        <v>0.28300000000000003</v>
      </c>
      <c r="BO74" s="25"/>
      <c r="BR74" s="29"/>
      <c r="BY74" s="29"/>
      <c r="BZ74" s="1">
        <v>31461</v>
      </c>
      <c r="CA74" s="1">
        <v>13717</v>
      </c>
      <c r="CB74" s="1">
        <f t="shared" si="13"/>
        <v>0.43600012714154029</v>
      </c>
      <c r="CG74" s="1">
        <f>873+24</f>
        <v>897</v>
      </c>
      <c r="CH74" s="1">
        <f>687+11</f>
        <v>698</v>
      </c>
      <c r="CI74" s="1">
        <f t="shared" si="6"/>
        <v>0.77814938684503898</v>
      </c>
      <c r="CJ74">
        <v>6383</v>
      </c>
      <c r="CK74" s="1">
        <f>5114+217</f>
        <v>5331</v>
      </c>
      <c r="CL74" s="1">
        <f t="shared" si="11"/>
        <v>0.83518721604261315</v>
      </c>
      <c r="CM74" s="1">
        <v>1016</v>
      </c>
      <c r="CN74" s="1">
        <v>876</v>
      </c>
      <c r="CO74" s="1">
        <f t="shared" si="12"/>
        <v>0.86220472440944884</v>
      </c>
      <c r="CP74" s="1">
        <v>62.8</v>
      </c>
      <c r="CQ74" s="1">
        <v>1272</v>
      </c>
      <c r="CR74" s="1">
        <v>854</v>
      </c>
      <c r="CS74" s="1">
        <f t="shared" si="10"/>
        <v>0.67138364779874216</v>
      </c>
      <c r="CT74" s="1">
        <v>36</v>
      </c>
      <c r="CU74" s="1">
        <v>9</v>
      </c>
      <c r="CX74" s="29"/>
      <c r="CZ74" s="1">
        <v>294</v>
      </c>
      <c r="DA74" s="1">
        <v>250</v>
      </c>
      <c r="DB74" s="1">
        <f t="shared" si="14"/>
        <v>0.85034013605442171</v>
      </c>
      <c r="DC74" s="1">
        <v>147</v>
      </c>
      <c r="DD74" s="1">
        <v>103</v>
      </c>
      <c r="DE74" s="1">
        <f t="shared" ref="DE74:DE88" si="15">DD74/DC74</f>
        <v>0.70068027210884354</v>
      </c>
      <c r="EB74" s="29"/>
      <c r="EE74" s="29">
        <v>0.5</v>
      </c>
      <c r="EH74" s="29"/>
      <c r="EL74" s="30"/>
      <c r="EM74" s="15"/>
      <c r="EN74" s="15"/>
      <c r="EO74" s="15"/>
      <c r="EP74" s="15"/>
      <c r="ES74" s="1">
        <v>53</v>
      </c>
      <c r="ET74" s="1">
        <v>52</v>
      </c>
      <c r="EU74" s="29">
        <f t="shared" si="9"/>
        <v>0.98113207547169812</v>
      </c>
      <c r="FH74" s="29"/>
      <c r="FK74" s="29"/>
      <c r="FO74" s="29"/>
      <c r="FR74" s="29"/>
      <c r="FU74" s="29"/>
      <c r="FZ74" s="29"/>
    </row>
    <row r="75" spans="1:182">
      <c r="A75" s="1">
        <v>2003</v>
      </c>
      <c r="L75" s="10">
        <v>0.74736955121322735</v>
      </c>
      <c r="O75" s="15">
        <v>43</v>
      </c>
      <c r="Q75" s="15">
        <v>80</v>
      </c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BM75" s="24">
        <v>267</v>
      </c>
      <c r="BN75" s="25">
        <v>0.27800000000000002</v>
      </c>
      <c r="BO75" s="25"/>
      <c r="BR75" s="29"/>
      <c r="BY75" s="29"/>
      <c r="BZ75" s="1">
        <v>32116</v>
      </c>
      <c r="CA75" s="1">
        <v>14425</v>
      </c>
      <c r="CB75" s="1">
        <f>CA75/BZ75</f>
        <v>0.44915307012081207</v>
      </c>
      <c r="CG75" s="1">
        <f>805+15</f>
        <v>820</v>
      </c>
      <c r="CH75" s="1">
        <f>660+14</f>
        <v>674</v>
      </c>
      <c r="CI75" s="1">
        <f t="shared" si="6"/>
        <v>0.82195121951219507</v>
      </c>
      <c r="CJ75">
        <v>6270</v>
      </c>
      <c r="CK75" s="1">
        <f>5033+237</f>
        <v>5270</v>
      </c>
      <c r="CL75" s="1">
        <f t="shared" si="11"/>
        <v>0.84051036682615632</v>
      </c>
      <c r="CM75" s="1">
        <v>1049</v>
      </c>
      <c r="CN75" s="1">
        <v>913</v>
      </c>
      <c r="CO75" s="1">
        <f t="shared" si="12"/>
        <v>0.87035271687321258</v>
      </c>
      <c r="CP75" s="1">
        <v>62.4</v>
      </c>
      <c r="CQ75" s="1">
        <v>1255</v>
      </c>
      <c r="CR75" s="1">
        <v>869</v>
      </c>
      <c r="CS75" s="1">
        <f t="shared" si="10"/>
        <v>0.69243027888446218</v>
      </c>
      <c r="CV75" s="1">
        <f>CW75+150</f>
        <v>498</v>
      </c>
      <c r="CW75" s="1">
        <v>348</v>
      </c>
      <c r="CX75" s="29">
        <f>CW75/CV75</f>
        <v>0.6987951807228916</v>
      </c>
      <c r="CZ75" s="1">
        <v>365</v>
      </c>
      <c r="DA75" s="1">
        <v>310</v>
      </c>
      <c r="DB75" s="1">
        <f t="shared" si="14"/>
        <v>0.84931506849315064</v>
      </c>
      <c r="DC75" s="1">
        <v>139</v>
      </c>
      <c r="DD75" s="1">
        <v>101</v>
      </c>
      <c r="DE75" s="1">
        <f t="shared" si="15"/>
        <v>0.72661870503597126</v>
      </c>
      <c r="EB75" s="29"/>
      <c r="EE75" s="29">
        <v>0.53</v>
      </c>
      <c r="EH75" s="29"/>
      <c r="EL75" s="30"/>
      <c r="EM75" s="15"/>
      <c r="EN75" s="15"/>
      <c r="EO75" s="15"/>
      <c r="EP75" s="15"/>
      <c r="ES75" s="1">
        <v>53</v>
      </c>
      <c r="ET75" s="1">
        <v>49</v>
      </c>
      <c r="EU75" s="29">
        <f t="shared" si="9"/>
        <v>0.92452830188679247</v>
      </c>
      <c r="FF75" s="15">
        <v>36</v>
      </c>
      <c r="FG75" s="15">
        <v>32</v>
      </c>
      <c r="FH75" s="29">
        <f>FG75/FF75</f>
        <v>0.88888888888888884</v>
      </c>
      <c r="FK75" s="29"/>
      <c r="FO75" s="29"/>
      <c r="FR75" s="29"/>
      <c r="FU75" s="29"/>
      <c r="FZ75" s="29"/>
    </row>
    <row r="76" spans="1:182">
      <c r="A76" s="1">
        <v>2004</v>
      </c>
      <c r="L76" s="10">
        <v>0.74739667203435323</v>
      </c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BM76" s="24">
        <v>188</v>
      </c>
      <c r="BN76" s="25">
        <v>0.24299999999999999</v>
      </c>
      <c r="BO76" s="25"/>
      <c r="BR76" s="29"/>
      <c r="BY76" s="29"/>
      <c r="BZ76" s="1">
        <v>32680</v>
      </c>
      <c r="CA76" s="1">
        <v>15048</v>
      </c>
      <c r="CB76" s="1">
        <f>CA76/BZ76</f>
        <v>0.46046511627906977</v>
      </c>
      <c r="CG76" s="1">
        <f>851+33</f>
        <v>884</v>
      </c>
      <c r="CH76" s="1">
        <f>686+28</f>
        <v>714</v>
      </c>
      <c r="CI76" s="1">
        <f t="shared" si="6"/>
        <v>0.80769230769230771</v>
      </c>
      <c r="CJ76">
        <v>6473</v>
      </c>
      <c r="CK76" s="1">
        <f>5224+216</f>
        <v>5440</v>
      </c>
      <c r="CL76" s="1">
        <f t="shared" si="11"/>
        <v>0.84041402749884131</v>
      </c>
      <c r="CM76" s="1">
        <v>1163</v>
      </c>
      <c r="CN76" s="1">
        <v>985</v>
      </c>
      <c r="CO76" s="1">
        <f t="shared" si="12"/>
        <v>0.84694754944110062</v>
      </c>
      <c r="CP76" s="1">
        <v>63.8</v>
      </c>
      <c r="CQ76" s="1">
        <v>1256</v>
      </c>
      <c r="CR76" s="1">
        <v>869</v>
      </c>
      <c r="CS76" s="1">
        <f t="shared" si="10"/>
        <v>0.69187898089171973</v>
      </c>
      <c r="CX76" s="29"/>
      <c r="CZ76" s="1">
        <v>354</v>
      </c>
      <c r="DA76" s="1">
        <v>290</v>
      </c>
      <c r="DB76" s="1">
        <f t="shared" si="14"/>
        <v>0.8192090395480226</v>
      </c>
      <c r="DC76" s="1">
        <v>103</v>
      </c>
      <c r="DD76" s="1">
        <v>68</v>
      </c>
      <c r="DE76" s="1">
        <f t="shared" si="15"/>
        <v>0.66019417475728159</v>
      </c>
      <c r="EB76" s="29"/>
      <c r="EE76" s="29">
        <v>0.56000000000000005</v>
      </c>
      <c r="EH76" s="29"/>
      <c r="EL76" s="30"/>
      <c r="EM76" s="15"/>
      <c r="EN76" s="15"/>
      <c r="EO76" s="15"/>
      <c r="EP76" s="15"/>
      <c r="ES76" s="1">
        <v>52</v>
      </c>
      <c r="ET76" s="1">
        <v>48</v>
      </c>
      <c r="EU76" s="29">
        <f t="shared" si="9"/>
        <v>0.92307692307692313</v>
      </c>
      <c r="FF76" s="15">
        <v>57</v>
      </c>
      <c r="FG76" s="15">
        <f>FF76-18</f>
        <v>39</v>
      </c>
      <c r="FH76" s="29">
        <f>FG76/FF76</f>
        <v>0.68421052631578949</v>
      </c>
      <c r="FK76" s="29"/>
      <c r="FO76" s="29"/>
      <c r="FR76" s="29"/>
      <c r="FU76" s="29"/>
      <c r="FZ76" s="29"/>
    </row>
    <row r="77" spans="1:182">
      <c r="A77" s="1">
        <v>2005</v>
      </c>
      <c r="L77" s="10">
        <v>0.76836797694998971</v>
      </c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BG77" s="1">
        <v>70.3</v>
      </c>
      <c r="BM77" s="24">
        <v>227</v>
      </c>
      <c r="BN77" s="25">
        <v>0.24399999999999999</v>
      </c>
      <c r="BO77" s="25"/>
      <c r="BR77" s="29"/>
      <c r="BS77" s="1">
        <f>BT77+14</f>
        <v>138</v>
      </c>
      <c r="BT77" s="1">
        <v>124</v>
      </c>
      <c r="BU77" s="1">
        <f>(BT77/BS77)*100</f>
        <v>89.85507246376811</v>
      </c>
      <c r="BY77" s="29"/>
      <c r="BZ77" s="1">
        <v>33522</v>
      </c>
      <c r="CA77" s="1">
        <v>15869</v>
      </c>
      <c r="CB77" s="1">
        <f>CA77/BZ77</f>
        <v>0.47339060915219855</v>
      </c>
      <c r="CG77" s="1">
        <f>828+34</f>
        <v>862</v>
      </c>
      <c r="CH77" s="1">
        <f>719+19</f>
        <v>738</v>
      </c>
      <c r="CI77" s="1">
        <f t="shared" si="6"/>
        <v>0.85614849187935038</v>
      </c>
      <c r="CJ77">
        <v>6401</v>
      </c>
      <c r="CK77" s="1">
        <f>5260+219</f>
        <v>5479</v>
      </c>
      <c r="CL77" s="1">
        <f t="shared" si="11"/>
        <v>0.85596000624902358</v>
      </c>
      <c r="CM77" s="1">
        <v>1086</v>
      </c>
      <c r="CN77" s="1">
        <v>957</v>
      </c>
      <c r="CO77" s="1">
        <f t="shared" si="12"/>
        <v>0.88121546961325969</v>
      </c>
      <c r="CP77" s="1">
        <v>65.400000000000006</v>
      </c>
      <c r="CQ77" s="1">
        <v>1255</v>
      </c>
      <c r="CR77" s="1">
        <v>908</v>
      </c>
      <c r="CS77" s="1">
        <f t="shared" si="10"/>
        <v>0.72350597609561751</v>
      </c>
      <c r="CX77" s="29"/>
      <c r="CZ77" s="1">
        <v>214</v>
      </c>
      <c r="DA77" s="1">
        <v>187</v>
      </c>
      <c r="DB77" s="1">
        <f t="shared" si="14"/>
        <v>0.87383177570093462</v>
      </c>
      <c r="DC77" s="1">
        <v>203</v>
      </c>
      <c r="DD77" s="1">
        <v>161</v>
      </c>
      <c r="DE77" s="1">
        <f t="shared" si="15"/>
        <v>0.7931034482758621</v>
      </c>
      <c r="EB77" s="29"/>
      <c r="EE77" s="29">
        <v>0.52</v>
      </c>
      <c r="EH77" s="29"/>
      <c r="EL77" s="30">
        <v>0.68120000000000003</v>
      </c>
      <c r="EM77" s="21">
        <v>0.6401</v>
      </c>
      <c r="EN77" s="15"/>
      <c r="EO77" s="15"/>
      <c r="EP77" s="15"/>
      <c r="ES77" s="1">
        <v>52</v>
      </c>
      <c r="ET77" s="1">
        <v>46</v>
      </c>
      <c r="EU77" s="29">
        <f t="shared" si="9"/>
        <v>0.88461538461538458</v>
      </c>
      <c r="FH77" s="29"/>
      <c r="FK77" s="29"/>
      <c r="FO77" s="29"/>
      <c r="FR77" s="29"/>
      <c r="FU77" s="29"/>
      <c r="FZ77" s="29"/>
    </row>
    <row r="78" spans="1:182">
      <c r="A78" s="1">
        <v>2006</v>
      </c>
      <c r="L78" s="10">
        <v>0.77842331964339373</v>
      </c>
      <c r="Y78"/>
      <c r="Z78" s="15">
        <f>7510*AA78</f>
        <v>3454.6000000000004</v>
      </c>
      <c r="AA78" s="1">
        <v>0.46</v>
      </c>
      <c r="AI78" s="17">
        <f>AJ78+24194</f>
        <v>31517</v>
      </c>
      <c r="AJ78" s="17">
        <v>7323</v>
      </c>
      <c r="AK78" s="1">
        <f t="shared" ref="AK78" si="16">(AJ78/AI78)*100</f>
        <v>23.235079480915061</v>
      </c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BP78" s="1">
        <f>1576+BQ78</f>
        <v>2594</v>
      </c>
      <c r="BQ78" s="15">
        <v>1018</v>
      </c>
      <c r="BR78" s="29">
        <f>BQ78/BP78</f>
        <v>0.39244410177332306</v>
      </c>
      <c r="BY78" s="29"/>
      <c r="BZ78" s="1">
        <v>34259</v>
      </c>
      <c r="CA78" s="1">
        <v>16532</v>
      </c>
      <c r="CB78" s="1">
        <f t="shared" si="13"/>
        <v>0.48255932747599173</v>
      </c>
      <c r="CG78" s="1">
        <f>857+31</f>
        <v>888</v>
      </c>
      <c r="CH78" s="1">
        <f>743+21</f>
        <v>764</v>
      </c>
      <c r="CI78" s="1">
        <f t="shared" si="6"/>
        <v>0.86036036036036034</v>
      </c>
      <c r="CJ78">
        <v>6522</v>
      </c>
      <c r="CK78" s="1">
        <f>5394+238</f>
        <v>5632</v>
      </c>
      <c r="CL78" s="1">
        <f t="shared" si="11"/>
        <v>0.86353879178166204</v>
      </c>
      <c r="CM78" s="1">
        <v>1120</v>
      </c>
      <c r="CN78" s="1">
        <v>975</v>
      </c>
      <c r="CO78" s="1">
        <f t="shared" si="12"/>
        <v>0.8705357142857143</v>
      </c>
      <c r="CP78" s="1">
        <v>65.5</v>
      </c>
      <c r="CQ78" s="1">
        <v>1269</v>
      </c>
      <c r="CR78" s="1">
        <v>955</v>
      </c>
      <c r="CS78" s="1">
        <f t="shared" si="10"/>
        <v>0.75256107171000786</v>
      </c>
      <c r="CT78" s="1">
        <v>41</v>
      </c>
      <c r="CU78" s="1">
        <v>7</v>
      </c>
      <c r="CX78" s="29"/>
      <c r="CZ78" s="1">
        <v>194</v>
      </c>
      <c r="DA78" s="1">
        <v>161</v>
      </c>
      <c r="DB78" s="1">
        <f t="shared" si="14"/>
        <v>0.82989690721649489</v>
      </c>
      <c r="DC78" s="1">
        <v>189</v>
      </c>
      <c r="DD78" s="1">
        <v>160</v>
      </c>
      <c r="DE78" s="1">
        <f t="shared" si="15"/>
        <v>0.84656084656084651</v>
      </c>
      <c r="EB78" s="29"/>
      <c r="EE78" s="29">
        <v>0.55000000000000004</v>
      </c>
      <c r="EH78" s="29"/>
      <c r="EL78" s="30"/>
      <c r="EM78" s="15"/>
      <c r="EN78" s="15"/>
      <c r="EO78" s="15"/>
      <c r="EP78" s="15"/>
      <c r="ES78" s="1">
        <v>56</v>
      </c>
      <c r="ET78" s="1">
        <v>49</v>
      </c>
      <c r="EU78" s="29">
        <f t="shared" si="9"/>
        <v>0.875</v>
      </c>
      <c r="FH78" s="29"/>
      <c r="FK78" s="29"/>
      <c r="FO78" s="29"/>
      <c r="FR78" s="29"/>
      <c r="FU78" s="29"/>
      <c r="FZ78" s="29"/>
    </row>
    <row r="79" spans="1:182">
      <c r="A79" s="1">
        <v>2007</v>
      </c>
      <c r="B79" s="4">
        <v>83730</v>
      </c>
      <c r="C79" s="3">
        <v>40534</v>
      </c>
      <c r="D79" s="9">
        <v>0.48410366654723502</v>
      </c>
      <c r="E79" s="5">
        <v>6077</v>
      </c>
      <c r="G79" s="1">
        <v>0.46800000000000003</v>
      </c>
      <c r="H79" s="1">
        <f>(E79/B79)</f>
        <v>7.2578526215215572E-2</v>
      </c>
      <c r="J79" s="2">
        <v>10218</v>
      </c>
      <c r="L79" s="10">
        <v>0.77735368956743001</v>
      </c>
      <c r="AK79" s="1" t="s">
        <v>98</v>
      </c>
      <c r="AY79" s="1">
        <v>45.8</v>
      </c>
      <c r="AZ79" s="3">
        <v>16252</v>
      </c>
      <c r="BA79" s="23">
        <v>5928</v>
      </c>
      <c r="BB79" s="1">
        <f t="shared" ref="BB79" si="17">(BA79/AZ79)*100</f>
        <v>36.4755107063746</v>
      </c>
      <c r="BR79" s="29"/>
      <c r="BY79" s="29"/>
      <c r="BZ79" s="1">
        <v>34518</v>
      </c>
      <c r="CA79" s="1">
        <v>17092</v>
      </c>
      <c r="CB79" s="1">
        <f t="shared" si="13"/>
        <v>0.49516194449272843</v>
      </c>
      <c r="CG79" s="1">
        <f>876+21</f>
        <v>897</v>
      </c>
      <c r="CH79" s="1">
        <f>754+11</f>
        <v>765</v>
      </c>
      <c r="CI79" s="1">
        <f t="shared" si="6"/>
        <v>0.85284280936454848</v>
      </c>
      <c r="CJ79" s="1">
        <v>6170</v>
      </c>
      <c r="CK79" s="1">
        <f>5101+205</f>
        <v>5306</v>
      </c>
      <c r="CL79" s="1">
        <f t="shared" si="11"/>
        <v>0.85996758508914095</v>
      </c>
      <c r="CM79" s="1">
        <v>1027</v>
      </c>
      <c r="CN79" s="1">
        <v>878</v>
      </c>
      <c r="CO79" s="1">
        <f t="shared" si="12"/>
        <v>0.8549172346640701</v>
      </c>
      <c r="CP79" s="1">
        <v>66.3</v>
      </c>
      <c r="CQ79" s="1">
        <v>1279</v>
      </c>
      <c r="CR79" s="1">
        <v>969</v>
      </c>
      <c r="CS79" s="1">
        <f t="shared" si="10"/>
        <v>0.75762314308053169</v>
      </c>
      <c r="CX79" s="29"/>
      <c r="CZ79" s="1">
        <v>185</v>
      </c>
      <c r="DA79" s="1">
        <v>162</v>
      </c>
      <c r="DB79" s="1">
        <f t="shared" si="14"/>
        <v>0.87567567567567572</v>
      </c>
      <c r="DC79" s="1">
        <v>132</v>
      </c>
      <c r="DD79" s="1">
        <v>113</v>
      </c>
      <c r="DE79" s="1">
        <f t="shared" si="15"/>
        <v>0.85606060606060608</v>
      </c>
      <c r="DS79" s="22">
        <v>0</v>
      </c>
      <c r="EB79" s="29"/>
      <c r="EE79" s="29">
        <v>0.56000000000000005</v>
      </c>
      <c r="EH79" s="29"/>
      <c r="EL79" s="30"/>
      <c r="EM79" s="15"/>
      <c r="EN79" s="15"/>
      <c r="EO79" s="15"/>
      <c r="EP79" s="15"/>
      <c r="ES79" s="1">
        <v>58</v>
      </c>
      <c r="ET79" s="1">
        <v>57</v>
      </c>
      <c r="EU79" s="29">
        <f t="shared" si="9"/>
        <v>0.98275862068965514</v>
      </c>
      <c r="EX79" s="28">
        <v>0.65</v>
      </c>
      <c r="EY79" s="28"/>
      <c r="FE79" s="21">
        <v>0.90100000000000002</v>
      </c>
      <c r="FF79" s="1">
        <v>60</v>
      </c>
      <c r="FG79" s="1">
        <v>40</v>
      </c>
      <c r="FH79" s="29">
        <f>FG79/FF79</f>
        <v>0.66666666666666663</v>
      </c>
      <c r="FK79" s="30">
        <f>70/80</f>
        <v>0.875</v>
      </c>
      <c r="FO79" s="29"/>
      <c r="FR79" s="29"/>
      <c r="FU79" s="29"/>
      <c r="FZ79" s="29"/>
    </row>
    <row r="80" spans="1:182">
      <c r="A80" s="1">
        <v>2008</v>
      </c>
      <c r="B80" s="4">
        <v>85977</v>
      </c>
      <c r="C80" s="3">
        <v>42690</v>
      </c>
      <c r="D80" s="9">
        <v>0.496528141247078</v>
      </c>
      <c r="E80" s="5">
        <v>6257</v>
      </c>
      <c r="G80" s="1">
        <v>0.48199999999999998</v>
      </c>
      <c r="H80" s="1">
        <f t="shared" ref="H80:H92" si="18">(E80/B80)</f>
        <v>7.2775277108994271E-2</v>
      </c>
      <c r="J80" s="2">
        <v>10330</v>
      </c>
      <c r="L80" s="10">
        <v>0.77463697967086154</v>
      </c>
      <c r="BR80" s="29"/>
      <c r="BY80" s="29"/>
      <c r="BZ80">
        <v>35098</v>
      </c>
      <c r="CA80" s="1">
        <v>17777</v>
      </c>
      <c r="CB80" s="1">
        <f t="shared" si="13"/>
        <v>0.50649609664368345</v>
      </c>
      <c r="CG80" s="1">
        <f>841+22</f>
        <v>863</v>
      </c>
      <c r="CH80" s="1">
        <f>727+20</f>
        <v>747</v>
      </c>
      <c r="CI80" s="1">
        <f t="shared" si="6"/>
        <v>0.86558516801854002</v>
      </c>
      <c r="CJ80" s="1">
        <v>6396</v>
      </c>
      <c r="CK80" s="1">
        <f>5315+208</f>
        <v>5523</v>
      </c>
      <c r="CL80" s="1">
        <f t="shared" si="11"/>
        <v>0.86350844277673544</v>
      </c>
      <c r="CM80" s="1">
        <v>1088</v>
      </c>
      <c r="CN80" s="1">
        <v>988</v>
      </c>
      <c r="CO80" s="1">
        <f t="shared" si="12"/>
        <v>0.90808823529411764</v>
      </c>
      <c r="CP80" s="1">
        <v>66.400000000000006</v>
      </c>
      <c r="CQ80" s="1">
        <v>1284</v>
      </c>
      <c r="CR80" s="1">
        <v>962</v>
      </c>
      <c r="CS80" s="1">
        <f t="shared" si="10"/>
        <v>0.74922118380062308</v>
      </c>
      <c r="CX80" s="29"/>
      <c r="CZ80" s="1">
        <v>201</v>
      </c>
      <c r="DA80" s="1">
        <v>164</v>
      </c>
      <c r="DB80" s="1">
        <f t="shared" si="14"/>
        <v>0.8159203980099502</v>
      </c>
      <c r="DC80" s="1">
        <v>85</v>
      </c>
      <c r="DD80" s="1">
        <v>72</v>
      </c>
      <c r="DE80" s="1">
        <f t="shared" si="15"/>
        <v>0.84705882352941175</v>
      </c>
      <c r="DI80" s="1">
        <v>26958</v>
      </c>
      <c r="DJ80" s="9">
        <v>0.374</v>
      </c>
      <c r="EB80" s="29"/>
      <c r="EE80" s="29">
        <v>0.54</v>
      </c>
      <c r="EH80" s="29"/>
      <c r="EL80" s="30"/>
      <c r="EM80" s="15"/>
      <c r="EN80" s="15"/>
      <c r="EO80" s="15"/>
      <c r="EP80" s="15"/>
      <c r="EU80" s="29"/>
      <c r="FH80" s="29"/>
      <c r="FK80" s="29"/>
      <c r="FO80" s="29"/>
      <c r="FR80" s="29"/>
      <c r="FU80" s="29"/>
      <c r="FZ80" s="29"/>
    </row>
    <row r="81" spans="1:182">
      <c r="A81" s="1">
        <v>2009</v>
      </c>
      <c r="B81" s="4">
        <v>87998</v>
      </c>
      <c r="C81" s="3">
        <v>44802</v>
      </c>
      <c r="D81" s="9">
        <v>0.50912520739107703</v>
      </c>
      <c r="E81" s="1">
        <v>6356</v>
      </c>
      <c r="G81" s="5">
        <v>0.49399999999999999</v>
      </c>
      <c r="H81" s="1">
        <f t="shared" si="18"/>
        <v>7.2228914293506669E-2</v>
      </c>
      <c r="J81" s="2">
        <v>10534</v>
      </c>
      <c r="L81" s="10">
        <v>0.77561300133054556</v>
      </c>
      <c r="BG81" s="15">
        <v>72.599999999999994</v>
      </c>
      <c r="BR81" s="29"/>
      <c r="BY81" s="29"/>
      <c r="BZ81" s="1">
        <v>35780</v>
      </c>
      <c r="CA81" s="1">
        <v>18544</v>
      </c>
      <c r="CB81" s="1">
        <f t="shared" si="13"/>
        <v>0.51827836780324199</v>
      </c>
      <c r="CG81" s="1">
        <v>919</v>
      </c>
      <c r="CH81" s="1">
        <f>786+32</f>
        <v>818</v>
      </c>
      <c r="CI81" s="1">
        <f t="shared" si="6"/>
        <v>0.89009793253536451</v>
      </c>
      <c r="CJ81">
        <v>6364</v>
      </c>
      <c r="CK81" s="1">
        <f>5305+214</f>
        <v>5519</v>
      </c>
      <c r="CL81" s="1">
        <f t="shared" si="11"/>
        <v>0.86722187303582654</v>
      </c>
      <c r="CM81" s="1">
        <v>1082</v>
      </c>
      <c r="CN81" s="1">
        <v>925</v>
      </c>
      <c r="CO81" s="1">
        <f t="shared" si="12"/>
        <v>0.85489833641404811</v>
      </c>
      <c r="CP81" s="1">
        <v>66.2</v>
      </c>
      <c r="CQ81" s="1">
        <v>1285</v>
      </c>
      <c r="CR81" s="1">
        <v>943</v>
      </c>
      <c r="CS81" s="1">
        <f t="shared" si="10"/>
        <v>0.73385214007782096</v>
      </c>
      <c r="CX81" s="29"/>
      <c r="CZ81" s="1">
        <v>174</v>
      </c>
      <c r="DA81" s="1">
        <v>139</v>
      </c>
      <c r="DB81" s="1">
        <f t="shared" si="14"/>
        <v>0.79885057471264365</v>
      </c>
      <c r="DC81" s="1">
        <v>119</v>
      </c>
      <c r="DD81" s="1">
        <v>89</v>
      </c>
      <c r="DE81" s="1">
        <f t="shared" si="15"/>
        <v>0.74789915966386555</v>
      </c>
      <c r="EB81" s="29"/>
      <c r="EE81" s="29">
        <v>0.55000000000000004</v>
      </c>
      <c r="EH81" s="29"/>
      <c r="EL81" s="30"/>
      <c r="EM81" s="15"/>
      <c r="EN81" s="15"/>
      <c r="EO81" s="15"/>
      <c r="EP81" s="15"/>
      <c r="EU81" s="29"/>
      <c r="EY81" s="22">
        <v>0.9</v>
      </c>
      <c r="FH81" s="29"/>
      <c r="FK81" s="29"/>
      <c r="FO81" s="29"/>
      <c r="FR81" s="29"/>
      <c r="FU81" s="29"/>
      <c r="FZ81" s="29"/>
    </row>
    <row r="82" spans="1:182">
      <c r="A82" s="1">
        <v>2010</v>
      </c>
      <c r="B82" s="3">
        <v>90201</v>
      </c>
      <c r="C82" s="3">
        <v>46992</v>
      </c>
      <c r="D82" s="9">
        <v>0.520969834037317</v>
      </c>
      <c r="E82" s="5">
        <v>6425</v>
      </c>
      <c r="G82" s="1">
        <v>0.499</v>
      </c>
      <c r="H82" s="1">
        <f t="shared" si="18"/>
        <v>7.1229808982162066E-2</v>
      </c>
      <c r="J82" s="2">
        <v>11046</v>
      </c>
      <c r="L82" s="10">
        <v>0.775310254735467</v>
      </c>
      <c r="AZ82" s="19">
        <v>16102</v>
      </c>
      <c r="BA82" s="16">
        <v>6653</v>
      </c>
      <c r="BB82" s="1">
        <f>(BA82/AZ82)*100</f>
        <v>41.317848714445411</v>
      </c>
      <c r="BG82" s="15">
        <v>75</v>
      </c>
      <c r="BH82" s="20">
        <v>736</v>
      </c>
      <c r="BI82" s="1">
        <f>(BH82*BJ82)/100</f>
        <v>463.68</v>
      </c>
      <c r="BJ82" s="15">
        <v>63</v>
      </c>
      <c r="BR82" s="29"/>
      <c r="BW82" s="1">
        <f>BX82+213</f>
        <v>1014</v>
      </c>
      <c r="BX82" s="1">
        <v>801</v>
      </c>
      <c r="BY82" s="29">
        <f>BX82/BW82</f>
        <v>0.7899408284023669</v>
      </c>
      <c r="BZ82" s="1">
        <v>36531</v>
      </c>
      <c r="CA82" s="1">
        <v>19366</v>
      </c>
      <c r="CB82" s="1">
        <f t="shared" si="13"/>
        <v>0.53012509923079032</v>
      </c>
      <c r="CG82" s="1">
        <f>915+29</f>
        <v>944</v>
      </c>
      <c r="CH82" s="1">
        <f>805+20</f>
        <v>825</v>
      </c>
      <c r="CI82" s="1">
        <f t="shared" si="6"/>
        <v>0.87394067796610164</v>
      </c>
      <c r="CJ82">
        <v>6417</v>
      </c>
      <c r="CK82" s="1">
        <f>5243+219</f>
        <v>5462</v>
      </c>
      <c r="CL82" s="1">
        <f t="shared" si="11"/>
        <v>0.85117656225650618</v>
      </c>
      <c r="CM82" s="1">
        <v>1083</v>
      </c>
      <c r="CN82" s="1">
        <v>932</v>
      </c>
      <c r="CO82" s="1">
        <f t="shared" si="12"/>
        <v>0.8605724838411819</v>
      </c>
      <c r="CP82" s="1">
        <v>68.3</v>
      </c>
      <c r="CQ82" s="1">
        <v>1303</v>
      </c>
      <c r="CR82" s="1">
        <v>983</v>
      </c>
      <c r="CS82" s="1">
        <f t="shared" si="10"/>
        <v>0.75441289332310058</v>
      </c>
      <c r="CT82" s="1">
        <v>49</v>
      </c>
      <c r="CU82" s="1">
        <v>7.1</v>
      </c>
      <c r="CX82" s="29"/>
      <c r="CZ82" s="1">
        <v>199</v>
      </c>
      <c r="DA82" s="1">
        <v>162</v>
      </c>
      <c r="DB82" s="1">
        <f t="shared" si="14"/>
        <v>0.81407035175879394</v>
      </c>
      <c r="DC82" s="1">
        <v>174</v>
      </c>
      <c r="DD82" s="1">
        <v>149</v>
      </c>
      <c r="DE82" s="1">
        <f t="shared" si="15"/>
        <v>0.85632183908045978</v>
      </c>
      <c r="DZ82" s="15">
        <v>81142</v>
      </c>
      <c r="EB82" s="30">
        <v>0.45</v>
      </c>
      <c r="EE82" s="29">
        <v>0.56000000000000005</v>
      </c>
      <c r="EH82" s="29"/>
      <c r="EL82" s="30">
        <v>0.68479999999999996</v>
      </c>
      <c r="EM82" s="21">
        <v>0.70250000000000001</v>
      </c>
      <c r="EN82" s="15">
        <v>28949</v>
      </c>
      <c r="EO82" s="15">
        <v>12242</v>
      </c>
      <c r="EP82" s="21">
        <v>0.4229</v>
      </c>
      <c r="EU82" s="29"/>
      <c r="FH82" s="29"/>
      <c r="FK82" s="29"/>
      <c r="FO82" s="29"/>
      <c r="FR82" s="29"/>
      <c r="FU82" s="29"/>
      <c r="FZ82" s="29"/>
    </row>
    <row r="83" spans="1:182">
      <c r="A83" s="1">
        <v>2011</v>
      </c>
      <c r="B83" s="3">
        <v>92547</v>
      </c>
      <c r="C83" s="4">
        <v>49353</v>
      </c>
      <c r="D83" s="9">
        <v>0.53327498460241796</v>
      </c>
      <c r="E83" s="1">
        <v>6555</v>
      </c>
      <c r="G83" s="1">
        <v>0.51700000000000002</v>
      </c>
      <c r="H83" s="1">
        <f t="shared" si="18"/>
        <v>7.082887613861065E-2</v>
      </c>
      <c r="J83" s="3">
        <v>10996</v>
      </c>
      <c r="L83" s="10">
        <v>0.77909738717339672</v>
      </c>
      <c r="S83" s="15">
        <v>88</v>
      </c>
      <c r="T83" s="15">
        <v>57</v>
      </c>
      <c r="X83" s="1">
        <v>29.7</v>
      </c>
      <c r="BK83" s="15">
        <v>35</v>
      </c>
      <c r="BL83" s="15">
        <v>69</v>
      </c>
      <c r="BM83" s="15"/>
      <c r="BN83" s="15"/>
      <c r="BO83" s="15"/>
      <c r="BR83" s="29"/>
      <c r="BY83" s="29"/>
      <c r="BZ83" s="1">
        <v>37265</v>
      </c>
      <c r="CA83" s="1">
        <v>20243</v>
      </c>
      <c r="CB83" s="1">
        <f t="shared" si="13"/>
        <v>0.54321749631021066</v>
      </c>
      <c r="CG83" s="1">
        <v>984</v>
      </c>
      <c r="CH83" s="1">
        <f>837+36</f>
        <v>873</v>
      </c>
      <c r="CI83" s="1">
        <f t="shared" si="6"/>
        <v>0.88719512195121952</v>
      </c>
      <c r="CJ83">
        <v>6497</v>
      </c>
      <c r="CK83" s="1">
        <f>5328+208</f>
        <v>5536</v>
      </c>
      <c r="CL83" s="1">
        <f t="shared" si="11"/>
        <v>0.85208557795905804</v>
      </c>
      <c r="CM83" s="1">
        <v>1102</v>
      </c>
      <c r="CN83" s="1">
        <v>933</v>
      </c>
      <c r="CO83" s="1">
        <f t="shared" si="12"/>
        <v>0.84664246823956446</v>
      </c>
      <c r="CQ83" s="1">
        <v>1351</v>
      </c>
      <c r="CR83" s="1">
        <v>1026</v>
      </c>
      <c r="CS83" s="1">
        <f t="shared" si="10"/>
        <v>0.75943745373797189</v>
      </c>
      <c r="CX83" s="29"/>
      <c r="CZ83" s="1">
        <v>219</v>
      </c>
      <c r="DA83" s="1">
        <v>165</v>
      </c>
      <c r="DB83" s="1">
        <f t="shared" si="14"/>
        <v>0.75342465753424659</v>
      </c>
      <c r="DC83" s="1">
        <v>176</v>
      </c>
      <c r="DD83" s="1">
        <v>145</v>
      </c>
      <c r="DE83" s="1">
        <f t="shared" si="15"/>
        <v>0.82386363636363635</v>
      </c>
      <c r="DP83" s="1">
        <v>170</v>
      </c>
      <c r="DQ83" s="1">
        <v>27</v>
      </c>
      <c r="DR83" s="29">
        <f>DQ83/DP83</f>
        <v>0.1588235294117647</v>
      </c>
      <c r="EB83" s="29"/>
      <c r="EC83">
        <v>6675</v>
      </c>
      <c r="EE83" s="30">
        <v>0.56100000000000005</v>
      </c>
      <c r="EH83" s="29">
        <v>0.57499999999999996</v>
      </c>
      <c r="EL83" s="29"/>
      <c r="EN83" s="15"/>
      <c r="EO83" s="15"/>
      <c r="EP83" s="15"/>
      <c r="EU83" s="29"/>
      <c r="FH83" s="29"/>
      <c r="FK83" s="29"/>
      <c r="FO83" s="29"/>
      <c r="FR83" s="29"/>
      <c r="FU83" s="29"/>
      <c r="FZ83" s="29"/>
    </row>
    <row r="84" spans="1:182">
      <c r="A84" s="1">
        <v>2012</v>
      </c>
      <c r="B84" s="4">
        <v>97111</v>
      </c>
      <c r="C84" s="3">
        <v>52506</v>
      </c>
      <c r="D84" s="9">
        <v>0.54068025249456797</v>
      </c>
      <c r="E84" s="5">
        <v>6563</v>
      </c>
      <c r="G84" s="1">
        <v>0.52500000000000002</v>
      </c>
      <c r="H84" s="1">
        <f t="shared" si="18"/>
        <v>6.758245718816612E-2</v>
      </c>
      <c r="J84" s="3">
        <v>11255</v>
      </c>
      <c r="L84" s="10">
        <v>0.77447568049977689</v>
      </c>
      <c r="X84" s="1">
        <v>28.9</v>
      </c>
      <c r="Y84" s="1">
        <v>1447</v>
      </c>
      <c r="Z84" s="1">
        <v>783</v>
      </c>
      <c r="AA84" s="1">
        <f>(Z84/(Z84+529))*100</f>
        <v>59.679878048780488</v>
      </c>
      <c r="AI84" s="3">
        <v>33784</v>
      </c>
      <c r="AJ84" s="2">
        <v>9478</v>
      </c>
      <c r="AK84" s="1">
        <f t="shared" ref="AK84:AK90" si="19">(AJ84/AI84)*100</f>
        <v>28.054700449917121</v>
      </c>
      <c r="AZ84" s="1">
        <v>16738</v>
      </c>
      <c r="BA84" s="1">
        <v>7360</v>
      </c>
      <c r="BB84" s="1">
        <f>(BA84/AZ84)*100</f>
        <v>43.971800693033813</v>
      </c>
      <c r="BR84" s="29"/>
      <c r="BY84" s="29"/>
      <c r="BZ84">
        <v>38077</v>
      </c>
      <c r="CA84" s="1">
        <v>21144</v>
      </c>
      <c r="CB84" s="1">
        <f t="shared" si="13"/>
        <v>0.55529584788717601</v>
      </c>
      <c r="CC84" s="1">
        <f>211+65+1051+909</f>
        <v>2236</v>
      </c>
      <c r="CD84" s="1">
        <f t="shared" ref="CD84:CD91" si="20">CC84/BZ84</f>
        <v>5.872311369067941E-2</v>
      </c>
      <c r="CE84" s="1">
        <f>65+17+815+556</f>
        <v>1453</v>
      </c>
      <c r="CF84" s="1">
        <f t="shared" ref="CF84:CF91" si="21">CE84/CC84</f>
        <v>0.64982110912343471</v>
      </c>
      <c r="CG84" s="1">
        <f>943</f>
        <v>943</v>
      </c>
      <c r="CH84" s="1">
        <v>838</v>
      </c>
      <c r="CI84" s="1">
        <f t="shared" si="6"/>
        <v>0.88865323435843058</v>
      </c>
      <c r="CJ84">
        <v>6238</v>
      </c>
      <c r="CK84" s="1">
        <f>4222+220</f>
        <v>4442</v>
      </c>
      <c r="CL84" s="1">
        <f t="shared" si="11"/>
        <v>0.71208720743828147</v>
      </c>
      <c r="CM84" s="1">
        <v>1184</v>
      </c>
      <c r="CN84" s="1">
        <v>963</v>
      </c>
      <c r="CO84" s="1">
        <f t="shared" si="12"/>
        <v>0.81334459459459463</v>
      </c>
      <c r="CQ84" s="1">
        <v>1437</v>
      </c>
      <c r="CR84" s="1">
        <v>1088</v>
      </c>
      <c r="CS84" s="1">
        <f t="shared" si="10"/>
        <v>0.75713291579679887</v>
      </c>
      <c r="CX84" s="29"/>
      <c r="CZ84" s="1">
        <v>211</v>
      </c>
      <c r="DA84" s="1">
        <v>162</v>
      </c>
      <c r="DB84" s="1">
        <f t="shared" si="14"/>
        <v>0.76777251184834128</v>
      </c>
      <c r="DC84" s="1">
        <v>163</v>
      </c>
      <c r="DD84" s="1">
        <v>143</v>
      </c>
      <c r="DE84" s="1">
        <f t="shared" si="15"/>
        <v>0.87730061349693256</v>
      </c>
      <c r="DP84" s="1">
        <v>119</v>
      </c>
      <c r="DQ84" s="1">
        <v>21</v>
      </c>
      <c r="DR84" s="29">
        <f>DQ84/DP84</f>
        <v>0.17647058823529413</v>
      </c>
      <c r="EB84" s="29"/>
      <c r="EE84" s="29">
        <v>0.56999999999999995</v>
      </c>
      <c r="EH84" s="29"/>
      <c r="EI84" s="22">
        <v>0.55000000000000004</v>
      </c>
      <c r="EJ84" s="22"/>
      <c r="EK84" s="22"/>
      <c r="EL84" s="29"/>
      <c r="EN84" s="15"/>
      <c r="EO84" s="15"/>
      <c r="EP84" s="15"/>
      <c r="EU84" s="29"/>
      <c r="FH84" s="29"/>
      <c r="FK84" s="29"/>
      <c r="FO84" s="29"/>
      <c r="FR84" s="29"/>
      <c r="FU84" s="29"/>
      <c r="FZ84" s="29"/>
    </row>
    <row r="85" spans="1:182">
      <c r="A85" s="1">
        <v>2013</v>
      </c>
      <c r="B85" s="3">
        <v>99720</v>
      </c>
      <c r="C85" s="4">
        <v>55253</v>
      </c>
      <c r="D85" s="9">
        <v>0.55408142799839599</v>
      </c>
      <c r="E85" s="4">
        <v>6545</v>
      </c>
      <c r="G85" s="1">
        <v>0.53500000000000003</v>
      </c>
      <c r="H85" s="1">
        <f t="shared" si="18"/>
        <v>6.5633774568792616E-2</v>
      </c>
      <c r="J85" s="3">
        <v>11474</v>
      </c>
      <c r="L85" s="10">
        <v>0.78608786610878656</v>
      </c>
      <c r="U85" s="3">
        <v>2184</v>
      </c>
      <c r="V85" s="1">
        <v>463</v>
      </c>
      <c r="W85" s="1">
        <f>(V85/U85)*100</f>
        <v>21.199633699633701</v>
      </c>
      <c r="X85" s="1">
        <v>35.1</v>
      </c>
      <c r="Y85">
        <v>2976</v>
      </c>
      <c r="Z85">
        <v>1277</v>
      </c>
      <c r="AA85" s="1">
        <f>(Z85/(Z85+869))*100</f>
        <v>59.50605778191985</v>
      </c>
      <c r="BB85">
        <v>47.1</v>
      </c>
      <c r="BR85" s="29"/>
      <c r="BY85" s="29"/>
      <c r="BZ85" s="1">
        <v>38775</v>
      </c>
      <c r="CA85" s="1">
        <v>21950</v>
      </c>
      <c r="CB85" s="1">
        <f t="shared" si="13"/>
        <v>0.56608639587362997</v>
      </c>
      <c r="CG85" s="1">
        <v>953</v>
      </c>
      <c r="CH85" s="1">
        <v>814</v>
      </c>
      <c r="CI85" s="1">
        <f t="shared" si="6"/>
        <v>0.85414480587618047</v>
      </c>
      <c r="CJ85" s="1">
        <v>6420</v>
      </c>
      <c r="CK85" s="1">
        <f>5266+220</f>
        <v>5486</v>
      </c>
      <c r="CL85" s="1">
        <f t="shared" si="11"/>
        <v>0.85451713395638629</v>
      </c>
      <c r="CM85" s="1">
        <v>1070</v>
      </c>
      <c r="CN85" s="1">
        <v>923</v>
      </c>
      <c r="CO85" s="1">
        <f t="shared" si="12"/>
        <v>0.86261682242990656</v>
      </c>
      <c r="CQ85" s="1">
        <v>1541</v>
      </c>
      <c r="CR85" s="1">
        <v>1173</v>
      </c>
      <c r="CS85" s="1">
        <f t="shared" si="10"/>
        <v>0.76119402985074625</v>
      </c>
      <c r="CV85" s="1">
        <f>190+CW85</f>
        <v>813</v>
      </c>
      <c r="CW85" s="1">
        <v>623</v>
      </c>
      <c r="CX85" s="29">
        <v>0.76600000000000001</v>
      </c>
      <c r="CZ85" s="1">
        <v>215</v>
      </c>
      <c r="DA85" s="1">
        <v>174</v>
      </c>
      <c r="DB85" s="1">
        <f t="shared" si="14"/>
        <v>0.80930232558139537</v>
      </c>
      <c r="DC85" s="1">
        <v>152</v>
      </c>
      <c r="DD85" s="1">
        <v>130</v>
      </c>
      <c r="DE85" s="1">
        <f t="shared" si="15"/>
        <v>0.85526315789473684</v>
      </c>
      <c r="EB85" s="29"/>
      <c r="EE85" s="29"/>
      <c r="EH85" s="29"/>
      <c r="EL85" s="29"/>
      <c r="EN85" s="15"/>
      <c r="EO85" s="15"/>
      <c r="EP85" s="15"/>
      <c r="EU85" s="29"/>
      <c r="FH85" s="29"/>
      <c r="FK85" s="29"/>
      <c r="FL85" s="22">
        <v>0.5</v>
      </c>
      <c r="FO85" s="29"/>
      <c r="FR85" s="29"/>
      <c r="FU85" s="29"/>
      <c r="FZ85" s="29"/>
    </row>
    <row r="86" spans="1:182">
      <c r="A86" s="1">
        <v>2014</v>
      </c>
      <c r="B86" s="4">
        <v>102583</v>
      </c>
      <c r="C86" s="3">
        <v>58148</v>
      </c>
      <c r="D86" s="9">
        <v>0.56683855999532096</v>
      </c>
      <c r="E86" s="3">
        <v>6505</v>
      </c>
      <c r="G86" s="1">
        <v>0.54299999999999993</v>
      </c>
      <c r="H86" s="1">
        <f t="shared" si="18"/>
        <v>6.3412066326779287E-2</v>
      </c>
      <c r="J86" s="2">
        <v>11693</v>
      </c>
      <c r="L86" s="10">
        <v>0.79625151148730355</v>
      </c>
      <c r="U86" s="3">
        <v>2358</v>
      </c>
      <c r="V86" s="1">
        <v>528</v>
      </c>
      <c r="W86" s="1">
        <f t="shared" ref="W86:W91" si="22">(V86/U86)*100</f>
        <v>22.391857506361323</v>
      </c>
      <c r="X86" s="1">
        <v>39</v>
      </c>
      <c r="Y86" s="1">
        <v>2572</v>
      </c>
      <c r="Z86" s="1">
        <v>1054</v>
      </c>
      <c r="AA86" s="1">
        <f>(Z86/(Z86+707))*100</f>
        <v>59.852356615559344</v>
      </c>
      <c r="AI86" s="2">
        <v>34548</v>
      </c>
      <c r="AJ86" s="2">
        <v>10243</v>
      </c>
      <c r="AK86" s="1">
        <f t="shared" si="19"/>
        <v>29.648604839643394</v>
      </c>
      <c r="BR86" s="29"/>
      <c r="BY86" s="29"/>
      <c r="BZ86" s="1">
        <v>39447</v>
      </c>
      <c r="CA86" s="1">
        <v>22719</v>
      </c>
      <c r="CB86" s="1">
        <f t="shared" si="13"/>
        <v>0.57593733363753896</v>
      </c>
      <c r="CC86" s="1">
        <f>197+59+1082+915</f>
        <v>2253</v>
      </c>
      <c r="CD86" s="1">
        <f t="shared" si="20"/>
        <v>5.711460947600578E-2</v>
      </c>
      <c r="CE86" s="1">
        <f>65+18+817+585</f>
        <v>1485</v>
      </c>
      <c r="CF86" s="1">
        <f t="shared" si="21"/>
        <v>0.65912117177097207</v>
      </c>
      <c r="CG86" s="1">
        <v>955</v>
      </c>
      <c r="CH86" s="1">
        <v>804</v>
      </c>
      <c r="CI86" s="1">
        <f t="shared" si="6"/>
        <v>0.84188481675392668</v>
      </c>
      <c r="CJ86" s="1">
        <v>6426</v>
      </c>
      <c r="CK86" s="1">
        <f>5296+252</f>
        <v>5548</v>
      </c>
      <c r="CL86" s="1">
        <f t="shared" si="11"/>
        <v>0.8633675692499222</v>
      </c>
      <c r="CM86" s="1">
        <v>1070</v>
      </c>
      <c r="CN86" s="1">
        <v>914</v>
      </c>
      <c r="CO86" s="1">
        <f t="shared" si="12"/>
        <v>0.85420560747663554</v>
      </c>
      <c r="CQ86" s="1">
        <v>1548</v>
      </c>
      <c r="CR86" s="1">
        <v>1174</v>
      </c>
      <c r="CS86" s="1">
        <f t="shared" si="10"/>
        <v>0.75839793281653745</v>
      </c>
      <c r="CT86" s="1">
        <v>57</v>
      </c>
      <c r="CU86" s="1">
        <v>9.4</v>
      </c>
      <c r="CX86" s="29"/>
      <c r="CZ86" s="1">
        <v>196</v>
      </c>
      <c r="DA86" s="1">
        <v>155</v>
      </c>
      <c r="DB86" s="1">
        <f t="shared" si="14"/>
        <v>0.79081632653061229</v>
      </c>
      <c r="DC86" s="1">
        <v>118</v>
      </c>
      <c r="DD86" s="1">
        <v>104</v>
      </c>
      <c r="DE86" s="1">
        <f t="shared" si="15"/>
        <v>0.88135593220338981</v>
      </c>
      <c r="EB86" s="29"/>
      <c r="EE86" s="29"/>
      <c r="EH86" s="29"/>
      <c r="EI86" s="22">
        <v>0.6</v>
      </c>
      <c r="EJ86" s="22"/>
      <c r="EK86" s="22"/>
      <c r="EL86" s="29"/>
      <c r="EN86" s="15"/>
      <c r="EO86" s="15"/>
      <c r="EP86" s="15"/>
      <c r="EU86" s="29"/>
      <c r="FC86" s="15">
        <v>182</v>
      </c>
      <c r="FD86" s="15">
        <v>160</v>
      </c>
      <c r="FE86">
        <f>FD86/FC86</f>
        <v>0.87912087912087911</v>
      </c>
      <c r="FH86" s="29"/>
      <c r="FK86" s="29"/>
      <c r="FO86" s="29"/>
      <c r="FR86" s="29"/>
      <c r="FU86" s="29"/>
      <c r="FZ86" s="29"/>
    </row>
    <row r="87" spans="1:182">
      <c r="A87" s="1">
        <v>2015</v>
      </c>
      <c r="B87" s="3">
        <v>105358</v>
      </c>
      <c r="C87" s="4">
        <v>60988</v>
      </c>
      <c r="D87" s="9">
        <v>0.57886444313673402</v>
      </c>
      <c r="E87" s="3">
        <v>6596</v>
      </c>
      <c r="G87" s="1">
        <v>0.55200000000000005</v>
      </c>
      <c r="H87" s="1">
        <f t="shared" si="18"/>
        <v>6.2605592361282478E-2</v>
      </c>
      <c r="J87" s="2">
        <v>12395</v>
      </c>
      <c r="L87" s="10">
        <v>0.79152884227511089</v>
      </c>
      <c r="U87" s="3">
        <v>2646</v>
      </c>
      <c r="V87" s="1">
        <v>639</v>
      </c>
      <c r="W87" s="1">
        <f t="shared" si="22"/>
        <v>24.149659863945576</v>
      </c>
      <c r="X87" s="1">
        <v>38.6</v>
      </c>
      <c r="AZ87" s="1">
        <v>18084</v>
      </c>
      <c r="BA87" s="1">
        <v>8782</v>
      </c>
      <c r="BB87" s="1">
        <f>(BA87/AZ87)*100</f>
        <v>48.562264985622647</v>
      </c>
      <c r="BH87" s="1">
        <f>BI87+214</f>
        <v>778</v>
      </c>
      <c r="BI87" s="1">
        <v>564</v>
      </c>
      <c r="BJ87" s="1">
        <f t="shared" ref="BJ87:BJ92" si="23">(BI87/BH87)*100</f>
        <v>72.493573264781489</v>
      </c>
      <c r="BR87" s="29"/>
      <c r="BY87" s="29"/>
      <c r="BZ87" s="1">
        <v>40035</v>
      </c>
      <c r="CA87" s="1">
        <v>23453</v>
      </c>
      <c r="CB87" s="1">
        <f t="shared" si="13"/>
        <v>0.58581241413762952</v>
      </c>
      <c r="CC87" s="1">
        <f>196+60+1141+952</f>
        <v>2349</v>
      </c>
      <c r="CD87" s="1">
        <f t="shared" si="20"/>
        <v>5.8673660547021354E-2</v>
      </c>
      <c r="CE87" s="1">
        <f>66+19+991+609</f>
        <v>1685</v>
      </c>
      <c r="CF87" s="1">
        <f t="shared" si="21"/>
        <v>0.71732652192422308</v>
      </c>
      <c r="CG87" s="1">
        <v>955</v>
      </c>
      <c r="CH87" s="1">
        <v>820</v>
      </c>
      <c r="CI87" s="1">
        <f t="shared" si="6"/>
        <v>0.8586387434554974</v>
      </c>
      <c r="CJ87" s="1">
        <v>6348</v>
      </c>
      <c r="CK87" s="1">
        <f>5216+278</f>
        <v>5494</v>
      </c>
      <c r="CL87" s="1">
        <f t="shared" si="11"/>
        <v>0.86546943919344677</v>
      </c>
      <c r="CM87" s="1">
        <v>1069</v>
      </c>
      <c r="CN87" s="1">
        <v>921</v>
      </c>
      <c r="CO87" s="1">
        <f t="shared" si="12"/>
        <v>0.86155285313376984</v>
      </c>
      <c r="CQ87" s="1">
        <v>1558</v>
      </c>
      <c r="CR87" s="1">
        <v>1182</v>
      </c>
      <c r="CS87" s="1">
        <f t="shared" si="10"/>
        <v>0.75866495507060339</v>
      </c>
      <c r="CX87" s="29"/>
      <c r="CZ87" s="1">
        <v>208</v>
      </c>
      <c r="DA87" s="1">
        <v>154</v>
      </c>
      <c r="DB87" s="1">
        <f t="shared" si="14"/>
        <v>0.74038461538461542</v>
      </c>
      <c r="DC87" s="1">
        <v>158</v>
      </c>
      <c r="DD87" s="1">
        <v>130</v>
      </c>
      <c r="DE87" s="1">
        <f t="shared" si="15"/>
        <v>0.82278481012658233</v>
      </c>
      <c r="EB87" s="29"/>
      <c r="EE87" s="29"/>
      <c r="EH87" s="29"/>
      <c r="EI87" s="22">
        <v>0.6</v>
      </c>
      <c r="EJ87" s="32">
        <v>9373</v>
      </c>
      <c r="EK87" s="32">
        <v>6741</v>
      </c>
      <c r="EL87" s="33">
        <f>EK87/EJ87</f>
        <v>0.71919342793129204</v>
      </c>
      <c r="EM87" s="21">
        <v>0.70930000000000004</v>
      </c>
      <c r="EN87" s="15"/>
      <c r="EO87" s="15"/>
      <c r="EP87" s="15"/>
      <c r="EU87" s="29"/>
      <c r="FH87" s="29"/>
      <c r="FK87" s="29"/>
      <c r="FO87" s="29"/>
      <c r="FR87" s="29"/>
      <c r="FU87" s="29"/>
      <c r="FZ87" s="29"/>
    </row>
    <row r="88" spans="1:182">
      <c r="A88" s="1">
        <v>2016</v>
      </c>
      <c r="B88" s="5">
        <v>107995</v>
      </c>
      <c r="C88" s="3">
        <v>63857</v>
      </c>
      <c r="D88" s="9">
        <v>0.59129589332839505</v>
      </c>
      <c r="E88" s="4">
        <v>6702</v>
      </c>
      <c r="G88" s="1">
        <v>0.56700000000000006</v>
      </c>
      <c r="H88" s="1">
        <f t="shared" si="18"/>
        <v>6.2058428630955134E-2</v>
      </c>
      <c r="J88" s="2">
        <v>12400</v>
      </c>
      <c r="L88" s="10">
        <v>0.80034956701358539</v>
      </c>
      <c r="U88" s="3">
        <v>2919</v>
      </c>
      <c r="V88" s="1">
        <v>726</v>
      </c>
      <c r="W88" s="1">
        <f t="shared" si="22"/>
        <v>24.871531346351492</v>
      </c>
      <c r="X88" s="1">
        <v>38.6</v>
      </c>
      <c r="Y88" s="1">
        <v>1601</v>
      </c>
      <c r="Z88" s="1">
        <v>986</v>
      </c>
      <c r="AA88">
        <f t="shared" ref="AA88" si="24">(Z88/Y88)*100</f>
        <v>61.586508432229856</v>
      </c>
      <c r="AB88" s="1">
        <v>8</v>
      </c>
      <c r="AC88" s="1">
        <f>(AB88/Y88)*100</f>
        <v>0.49968769519050593</v>
      </c>
      <c r="AI88" s="3">
        <v>34536</v>
      </c>
      <c r="AJ88" s="2">
        <v>10756</v>
      </c>
      <c r="AK88" s="1">
        <f t="shared" si="19"/>
        <v>31.144313180449384</v>
      </c>
      <c r="AZ88" s="1">
        <v>18149</v>
      </c>
      <c r="BA88" s="1">
        <v>9033</v>
      </c>
      <c r="BB88" s="1">
        <f>(BA88/AZ88)*100</f>
        <v>49.77133726376109</v>
      </c>
      <c r="BH88" s="1">
        <f>BI88+212</f>
        <v>793</v>
      </c>
      <c r="BI88" s="1">
        <v>581</v>
      </c>
      <c r="BJ88" s="1">
        <f t="shared" si="23"/>
        <v>73.266078184110967</v>
      </c>
      <c r="BR88" s="29"/>
      <c r="BY88" s="29"/>
      <c r="BZ88" s="1">
        <v>40540</v>
      </c>
      <c r="CA88" s="1">
        <v>24184</v>
      </c>
      <c r="CB88" s="1">
        <f t="shared" si="13"/>
        <v>0.59654662062160824</v>
      </c>
      <c r="CC88" s="1">
        <f>191+56+1165+865</f>
        <v>2277</v>
      </c>
      <c r="CD88" s="1">
        <f t="shared" si="20"/>
        <v>5.6166748889985199E-2</v>
      </c>
      <c r="CE88" s="1">
        <f>66+22+890+567</f>
        <v>1545</v>
      </c>
      <c r="CF88" s="1">
        <f t="shared" si="21"/>
        <v>0.6785243741765481</v>
      </c>
      <c r="CG88" s="1">
        <v>902</v>
      </c>
      <c r="CH88" s="1">
        <v>779</v>
      </c>
      <c r="CI88" s="1">
        <f t="shared" si="6"/>
        <v>0.86363636363636365</v>
      </c>
      <c r="CJ88" s="1">
        <v>6351</v>
      </c>
      <c r="CK88" s="1">
        <f>5147+292</f>
        <v>5439</v>
      </c>
      <c r="CL88" s="1">
        <f t="shared" si="11"/>
        <v>0.85640056683986776</v>
      </c>
      <c r="CM88" s="1">
        <v>1078</v>
      </c>
      <c r="CN88" s="1">
        <v>938</v>
      </c>
      <c r="CO88" s="1">
        <f t="shared" si="12"/>
        <v>0.87012987012987009</v>
      </c>
      <c r="CQ88" s="1">
        <v>1602</v>
      </c>
      <c r="CR88" s="1">
        <v>1233</v>
      </c>
      <c r="CS88" s="1">
        <f t="shared" si="10"/>
        <v>0.7696629213483146</v>
      </c>
      <c r="CX88" s="29"/>
      <c r="CZ88" s="1">
        <v>192</v>
      </c>
      <c r="DA88" s="1">
        <v>161</v>
      </c>
      <c r="DB88" s="1">
        <f>DA88/CZ88</f>
        <v>0.83854166666666663</v>
      </c>
      <c r="DC88" s="1">
        <v>156</v>
      </c>
      <c r="DD88" s="1">
        <v>123</v>
      </c>
      <c r="DE88" s="1">
        <f t="shared" si="15"/>
        <v>0.78846153846153844</v>
      </c>
      <c r="EB88" s="29"/>
      <c r="EE88" s="29"/>
      <c r="EH88" s="29"/>
      <c r="EJ88" s="15">
        <v>9480</v>
      </c>
      <c r="EK88" s="15">
        <v>6897</v>
      </c>
      <c r="EL88" s="33">
        <f>EK88/EJ88</f>
        <v>0.72753164556962024</v>
      </c>
      <c r="EN88" s="15"/>
      <c r="EO88" s="15"/>
      <c r="EP88" s="15"/>
      <c r="EU88" s="29"/>
      <c r="FC88" s="15">
        <f>163+21</f>
        <v>184</v>
      </c>
      <c r="FD88" s="15">
        <v>163</v>
      </c>
      <c r="FE88" s="1">
        <f>FD88/FC88</f>
        <v>0.88586956521739135</v>
      </c>
      <c r="FH88" s="29"/>
      <c r="FK88" s="29"/>
      <c r="FO88" s="29"/>
      <c r="FR88" s="29"/>
      <c r="FU88" s="29"/>
      <c r="FZ88" s="29"/>
    </row>
    <row r="89" spans="1:182" ht="15" thickBot="1">
      <c r="A89" s="1">
        <v>2017</v>
      </c>
      <c r="B89" s="6">
        <v>110531</v>
      </c>
      <c r="C89" s="3">
        <v>66731</v>
      </c>
      <c r="D89" s="9">
        <v>0.60373107996851605</v>
      </c>
      <c r="E89" s="3">
        <v>6878</v>
      </c>
      <c r="G89" s="1">
        <v>0.57999999999999996</v>
      </c>
      <c r="H89" s="1">
        <f t="shared" si="18"/>
        <v>6.2226886574807065E-2</v>
      </c>
      <c r="J89" s="2">
        <v>12587</v>
      </c>
      <c r="L89" s="10">
        <v>0.80513784461152882</v>
      </c>
      <c r="M89" s="3">
        <v>14345</v>
      </c>
      <c r="N89" s="3">
        <v>8018</v>
      </c>
      <c r="O89" s="1">
        <f>(N89/M89)*100</f>
        <v>55.894039735099334</v>
      </c>
      <c r="P89" s="3">
        <f>M89-N89-6327</f>
        <v>0</v>
      </c>
      <c r="Q89" s="3"/>
      <c r="R89" s="3"/>
      <c r="U89" s="3">
        <v>3245</v>
      </c>
      <c r="V89" s="1">
        <v>774</v>
      </c>
      <c r="W89" s="1">
        <f t="shared" si="22"/>
        <v>23.852080123266564</v>
      </c>
      <c r="X89" s="1">
        <v>39</v>
      </c>
      <c r="AA89"/>
      <c r="AD89"/>
      <c r="AZ89">
        <v>18341</v>
      </c>
      <c r="BA89">
        <v>9431</v>
      </c>
      <c r="BB89" s="1">
        <f>(BA89/AZ89)*100</f>
        <v>51.420315140941064</v>
      </c>
      <c r="BE89" s="15">
        <v>75</v>
      </c>
      <c r="BH89" s="20">
        <v>810</v>
      </c>
      <c r="BI89" s="1">
        <v>615</v>
      </c>
      <c r="BJ89" s="1">
        <f t="shared" si="23"/>
        <v>75.925925925925924</v>
      </c>
      <c r="BQ89" s="15">
        <v>2937</v>
      </c>
      <c r="BR89" s="29">
        <v>0.55159999999999998</v>
      </c>
      <c r="BV89" s="30">
        <v>0.87</v>
      </c>
      <c r="BY89" s="29"/>
      <c r="BZ89" s="1">
        <v>41431</v>
      </c>
      <c r="CA89" s="1">
        <v>25110</v>
      </c>
      <c r="CB89" s="1">
        <f t="shared" si="13"/>
        <v>0.60606792015640465</v>
      </c>
      <c r="CC89" s="1">
        <f>194+56+1194+867</f>
        <v>2311</v>
      </c>
      <c r="CD89" s="1">
        <f t="shared" si="20"/>
        <v>5.5779488788588252E-2</v>
      </c>
      <c r="CE89" s="1">
        <f>73+24+922+568</f>
        <v>1587</v>
      </c>
      <c r="CF89" s="1">
        <f t="shared" si="21"/>
        <v>0.6867157074859368</v>
      </c>
      <c r="CG89" s="1">
        <v>934</v>
      </c>
      <c r="CH89" s="1">
        <v>798</v>
      </c>
      <c r="CI89" s="1">
        <f t="shared" si="6"/>
        <v>0.854389721627409</v>
      </c>
      <c r="CJ89" s="1">
        <v>6345</v>
      </c>
      <c r="CK89" s="1">
        <f>5195+331</f>
        <v>5526</v>
      </c>
      <c r="CL89" s="1">
        <f t="shared" si="11"/>
        <v>0.87092198581560287</v>
      </c>
      <c r="CM89" s="1">
        <v>1072</v>
      </c>
      <c r="CN89" s="1">
        <v>961</v>
      </c>
      <c r="CO89" s="1">
        <f t="shared" si="12"/>
        <v>0.89645522388059706</v>
      </c>
      <c r="CX89" s="29"/>
      <c r="CY89" s="1">
        <v>0.57999999999999996</v>
      </c>
      <c r="DK89" s="1">
        <v>934</v>
      </c>
      <c r="DL89" s="9">
        <v>0.69799999999999995</v>
      </c>
      <c r="DZ89" s="1">
        <f>EA89+56697</f>
        <v>111292</v>
      </c>
      <c r="EA89" s="15">
        <v>54595</v>
      </c>
      <c r="EB89" s="29">
        <f>EA89/DZ89</f>
        <v>0.49055637422276532</v>
      </c>
      <c r="EE89" s="29"/>
      <c r="EH89" s="29"/>
      <c r="EJ89" s="15">
        <v>9651</v>
      </c>
      <c r="EK89" s="15">
        <v>7162</v>
      </c>
      <c r="EL89" s="33">
        <f t="shared" ref="EL89:EL91" si="25">EK89/EJ89</f>
        <v>0.74209926432494044</v>
      </c>
      <c r="EN89" s="15"/>
      <c r="EO89" s="15"/>
      <c r="EP89" s="15"/>
      <c r="EU89" s="29"/>
      <c r="FH89" s="22">
        <v>0.93</v>
      </c>
      <c r="FK89" s="29"/>
      <c r="FO89" s="29"/>
      <c r="FR89" s="29"/>
      <c r="FU89" s="29"/>
      <c r="FZ89" s="29"/>
    </row>
    <row r="90" spans="1:182" ht="15" thickBot="1">
      <c r="A90" s="1">
        <v>2018</v>
      </c>
      <c r="B90" s="6">
        <v>113394</v>
      </c>
      <c r="C90" s="3">
        <v>69908</v>
      </c>
      <c r="D90" s="9">
        <v>0.61650528246644398</v>
      </c>
      <c r="E90" s="3">
        <v>6889</v>
      </c>
      <c r="G90" s="7">
        <v>0.58799999999999997</v>
      </c>
      <c r="H90" s="1">
        <f t="shared" si="18"/>
        <v>6.0752773515353548E-2</v>
      </c>
      <c r="J90" s="2">
        <v>12768</v>
      </c>
      <c r="L90" s="10">
        <v>0.80497190795043483</v>
      </c>
      <c r="M90" s="3">
        <v>12517</v>
      </c>
      <c r="N90" s="1">
        <f t="shared" ref="N90:N92" si="26">(O90*M90)/100</f>
        <v>7259.86</v>
      </c>
      <c r="O90" s="1">
        <v>58</v>
      </c>
      <c r="P90" s="1" t="e">
        <f>(#REF!*M90)/100</f>
        <v>#REF!</v>
      </c>
      <c r="U90" s="3">
        <v>2976</v>
      </c>
      <c r="V90" s="1">
        <v>753</v>
      </c>
      <c r="W90" s="1">
        <f t="shared" si="22"/>
        <v>25.302419354838712</v>
      </c>
      <c r="X90" s="1">
        <v>46.9</v>
      </c>
      <c r="Y90">
        <v>1236</v>
      </c>
      <c r="Z90">
        <v>824</v>
      </c>
      <c r="AA90">
        <f>(Z90/Y90)*100</f>
        <v>66.666666666666657</v>
      </c>
      <c r="AB90" s="1">
        <v>5</v>
      </c>
      <c r="AC90" s="1">
        <f>(AB90/Y90)*100</f>
        <v>0.40453074433656955</v>
      </c>
      <c r="AD90" s="1">
        <v>2475</v>
      </c>
      <c r="AE90">
        <v>1470</v>
      </c>
      <c r="AF90" s="1">
        <f>(AE90/AD90)*100</f>
        <v>59.393939393939398</v>
      </c>
      <c r="AG90" s="1">
        <v>3</v>
      </c>
      <c r="AH90" s="1">
        <f>(AG90/AD90)*100</f>
        <v>0.12121212121212122</v>
      </c>
      <c r="AI90" s="2">
        <v>35251</v>
      </c>
      <c r="AJ90" s="2">
        <v>11542</v>
      </c>
      <c r="AK90" s="1">
        <f t="shared" si="19"/>
        <v>32.74233355082125</v>
      </c>
      <c r="AL90" s="1">
        <f>AM90/AI90</f>
        <v>1.8911993040386561E-2</v>
      </c>
      <c r="AM90" s="1">
        <f>AN90/AO90</f>
        <v>666.66666666666663</v>
      </c>
      <c r="AN90" s="1">
        <v>84</v>
      </c>
      <c r="AO90" s="1">
        <v>0.126</v>
      </c>
      <c r="AP90" s="1">
        <v>41</v>
      </c>
      <c r="AQ90" s="1">
        <v>28.5</v>
      </c>
      <c r="AR90" s="1">
        <v>16</v>
      </c>
      <c r="AS90" s="1">
        <v>22.5</v>
      </c>
      <c r="AT90" s="1">
        <v>18</v>
      </c>
      <c r="AU90" s="1">
        <v>9.3000000000000007</v>
      </c>
      <c r="AV90" s="1">
        <v>9</v>
      </c>
      <c r="AW90" s="1">
        <v>3.5</v>
      </c>
      <c r="AX90" s="1">
        <v>3423</v>
      </c>
      <c r="AY90" s="1">
        <v>52.2</v>
      </c>
      <c r="AZ90" s="1">
        <v>18548</v>
      </c>
      <c r="BA90" s="1">
        <v>9765</v>
      </c>
      <c r="BB90" s="1">
        <f>(BA90/AZ90)*100</f>
        <v>52.647185680396817</v>
      </c>
      <c r="BH90" s="1">
        <f>BI90+233</f>
        <v>868</v>
      </c>
      <c r="BI90" s="1">
        <v>635</v>
      </c>
      <c r="BJ90" s="1">
        <f t="shared" si="23"/>
        <v>73.156682027649765</v>
      </c>
      <c r="BQ90" s="15">
        <v>2975</v>
      </c>
      <c r="BR90" s="29">
        <v>0.55969999999999998</v>
      </c>
      <c r="BY90" s="29"/>
      <c r="BZ90" s="1">
        <v>42147</v>
      </c>
      <c r="CA90" s="1">
        <v>25880</v>
      </c>
      <c r="CB90" s="1">
        <f t="shared" si="13"/>
        <v>0.61404133153012075</v>
      </c>
      <c r="CC90" s="1">
        <f>186+56+1234+894</f>
        <v>2370</v>
      </c>
      <c r="CD90" s="1">
        <f t="shared" si="20"/>
        <v>5.6231760267634705E-2</v>
      </c>
      <c r="CE90" s="1">
        <f>73+25+940+604</f>
        <v>1642</v>
      </c>
      <c r="CF90" s="1">
        <f t="shared" si="21"/>
        <v>0.69282700421940924</v>
      </c>
      <c r="CG90" s="1">
        <v>883</v>
      </c>
      <c r="CH90" s="1">
        <v>767</v>
      </c>
      <c r="CI90" s="1">
        <f t="shared" si="6"/>
        <v>0.86862967157417892</v>
      </c>
      <c r="CJ90" s="1">
        <v>6367</v>
      </c>
      <c r="CK90" s="1">
        <f>5063+377</f>
        <v>5440</v>
      </c>
      <c r="CL90" s="1">
        <f t="shared" si="11"/>
        <v>0.85440552850636098</v>
      </c>
      <c r="CM90" s="1">
        <v>1108</v>
      </c>
      <c r="CN90" s="1">
        <v>945</v>
      </c>
      <c r="CO90" s="1">
        <f t="shared" si="12"/>
        <v>0.8528880866425993</v>
      </c>
      <c r="CX90" s="29"/>
      <c r="DI90" s="3">
        <v>33302</v>
      </c>
      <c r="DJ90" s="9">
        <v>0.46500000000000002</v>
      </c>
      <c r="DZ90" s="1">
        <f>EA90+59979</f>
        <v>120860</v>
      </c>
      <c r="EA90" s="15">
        <v>60881</v>
      </c>
      <c r="EB90" s="29">
        <f t="shared" ref="EB90:EB92" si="27">EA90/DZ90</f>
        <v>0.50373159026973358</v>
      </c>
      <c r="EE90" s="29"/>
      <c r="EH90" s="29"/>
      <c r="EJ90" s="15">
        <v>9670</v>
      </c>
      <c r="EK90" s="15">
        <v>7262</v>
      </c>
      <c r="EL90" s="33">
        <f t="shared" si="25"/>
        <v>0.75098241985522229</v>
      </c>
      <c r="EM90" s="21">
        <v>0.72099999999999997</v>
      </c>
      <c r="EN90" s="15"/>
      <c r="EO90" s="15"/>
      <c r="EP90" s="15"/>
      <c r="EU90" s="29"/>
      <c r="EV90" s="22">
        <v>0.86</v>
      </c>
      <c r="EY90" s="22">
        <v>0.91</v>
      </c>
      <c r="FH90" s="29"/>
      <c r="FK90" s="29"/>
      <c r="FO90" s="29"/>
      <c r="FR90" s="29"/>
      <c r="FU90" s="29"/>
      <c r="FW90" s="22">
        <v>0.75</v>
      </c>
      <c r="FX90" s="1">
        <v>90</v>
      </c>
      <c r="FY90" s="1">
        <v>75</v>
      </c>
      <c r="FZ90" s="29">
        <f>FY90/FX90</f>
        <v>0.83333333333333337</v>
      </c>
    </row>
    <row r="91" spans="1:182">
      <c r="A91" s="1">
        <v>2019</v>
      </c>
      <c r="B91" s="6">
        <v>116091</v>
      </c>
      <c r="C91" s="3">
        <v>72928</v>
      </c>
      <c r="D91" s="9">
        <v>0.62819684557803801</v>
      </c>
      <c r="E91" s="3">
        <v>6951</v>
      </c>
      <c r="G91" s="1">
        <v>0.59899999999999998</v>
      </c>
      <c r="H91" s="1">
        <f t="shared" si="18"/>
        <v>5.9875442540765433E-2</v>
      </c>
      <c r="J91" s="2">
        <v>13323</v>
      </c>
      <c r="L91" s="10">
        <v>0.81499999999999995</v>
      </c>
      <c r="M91" s="3">
        <v>12886</v>
      </c>
      <c r="N91" s="1">
        <f t="shared" si="26"/>
        <v>8118.18</v>
      </c>
      <c r="O91" s="1">
        <v>63</v>
      </c>
      <c r="P91" s="1" t="e">
        <f>(#REF!*M91)/100</f>
        <v>#REF!</v>
      </c>
      <c r="U91" s="3">
        <v>3498</v>
      </c>
      <c r="V91" s="1">
        <v>912</v>
      </c>
      <c r="W91" s="1">
        <f t="shared" si="22"/>
        <v>26.072041166380789</v>
      </c>
      <c r="X91" s="1">
        <v>45.1</v>
      </c>
      <c r="AZ91" s="1">
        <v>18874</v>
      </c>
      <c r="BA91" s="1">
        <v>10225</v>
      </c>
      <c r="BB91" s="1">
        <f>(BA91/AZ91)*100</f>
        <v>54.175055632086469</v>
      </c>
      <c r="BH91" s="1">
        <v>968</v>
      </c>
      <c r="BI91" s="1">
        <v>731</v>
      </c>
      <c r="BJ91" s="1">
        <f t="shared" si="23"/>
        <v>75.516528925619824</v>
      </c>
      <c r="BR91" s="29"/>
      <c r="BY91" s="29"/>
      <c r="BZ91" s="1">
        <v>42709</v>
      </c>
      <c r="CA91" s="1">
        <v>26544</v>
      </c>
      <c r="CB91" s="1">
        <f t="shared" si="13"/>
        <v>0.62150834718677561</v>
      </c>
      <c r="CC91" s="1">
        <f>193+49+1302+716</f>
        <v>2260</v>
      </c>
      <c r="CD91" s="1">
        <f t="shared" si="20"/>
        <v>5.2916247161019926E-2</v>
      </c>
      <c r="CE91" s="1">
        <f>80+29+999+509</f>
        <v>1617</v>
      </c>
      <c r="CF91" s="1">
        <f t="shared" si="21"/>
        <v>0.71548672566371685</v>
      </c>
      <c r="CG91" s="1">
        <v>891</v>
      </c>
      <c r="CH91" s="1">
        <v>752</v>
      </c>
      <c r="CI91" s="1">
        <f t="shared" si="6"/>
        <v>0.84399551066217737</v>
      </c>
      <c r="CJ91" s="1">
        <v>6375</v>
      </c>
      <c r="CK91" s="1">
        <f>5090+369</f>
        <v>5459</v>
      </c>
      <c r="CL91" s="1">
        <f t="shared" si="11"/>
        <v>0.85631372549019613</v>
      </c>
      <c r="CM91" s="1">
        <v>1129</v>
      </c>
      <c r="CN91" s="1">
        <v>963</v>
      </c>
      <c r="CO91" s="1">
        <f t="shared" si="12"/>
        <v>0.85296722763507526</v>
      </c>
      <c r="CT91" s="1">
        <v>59.1</v>
      </c>
      <c r="CU91" s="1">
        <v>8.8000000000000007</v>
      </c>
      <c r="CX91" s="29"/>
      <c r="DT91" s="1">
        <v>53.5</v>
      </c>
      <c r="DU91" s="1">
        <v>129</v>
      </c>
      <c r="DV91" s="1">
        <v>53.1</v>
      </c>
      <c r="DW91" s="1">
        <v>95</v>
      </c>
      <c r="DX91" s="1">
        <v>49.2</v>
      </c>
      <c r="DZ91" s="1">
        <f>EA91+63899</f>
        <v>133319</v>
      </c>
      <c r="EA91" s="15">
        <v>69420</v>
      </c>
      <c r="EB91" s="29">
        <f t="shared" si="27"/>
        <v>0.52070597589240841</v>
      </c>
      <c r="EC91" s="16">
        <v>8000</v>
      </c>
      <c r="ED91" s="3"/>
      <c r="EE91" s="30">
        <v>0.64</v>
      </c>
      <c r="EF91" s="32"/>
      <c r="EG91" s="32"/>
      <c r="EH91" s="30"/>
      <c r="EJ91" s="15">
        <v>9704</v>
      </c>
      <c r="EK91" s="15">
        <v>7370</v>
      </c>
      <c r="EL91" s="33">
        <f t="shared" si="25"/>
        <v>0.75948062654575432</v>
      </c>
      <c r="EN91" s="15">
        <v>33752</v>
      </c>
      <c r="EO91" s="15">
        <v>16901</v>
      </c>
      <c r="EP91" s="21">
        <v>0.50070000000000003</v>
      </c>
      <c r="EW91" s="22">
        <v>0.56999999999999995</v>
      </c>
      <c r="FB91" s="28">
        <v>0.75</v>
      </c>
      <c r="FC91" s="28"/>
      <c r="FD91" s="28"/>
      <c r="FH91" s="29"/>
      <c r="FK91" s="29"/>
      <c r="FO91" s="29"/>
      <c r="FR91" s="29"/>
      <c r="FU91" s="29"/>
      <c r="FZ91" s="29"/>
    </row>
    <row r="92" spans="1:182">
      <c r="A92" s="1">
        <v>2020</v>
      </c>
      <c r="B92" s="6">
        <v>118624</v>
      </c>
      <c r="C92" s="3">
        <v>75900</v>
      </c>
      <c r="D92" s="9">
        <v>0.63983679525222503</v>
      </c>
      <c r="E92" s="1">
        <v>6948</v>
      </c>
      <c r="G92" s="1">
        <v>0.60499999999999998</v>
      </c>
      <c r="H92" s="1">
        <f t="shared" si="18"/>
        <v>5.8571621257081201E-2</v>
      </c>
      <c r="J92" s="8">
        <v>13548</v>
      </c>
      <c r="L92" s="10">
        <v>0.81799999999999995</v>
      </c>
      <c r="M92" s="3">
        <v>12921</v>
      </c>
      <c r="N92" s="1">
        <f t="shared" si="26"/>
        <v>7881.81</v>
      </c>
      <c r="O92" s="1">
        <v>61</v>
      </c>
      <c r="P92" s="1" t="e">
        <f>(#REF!*M92)/100</f>
        <v>#REF!</v>
      </c>
      <c r="X92" s="1">
        <v>45.4</v>
      </c>
      <c r="AI92" s="3">
        <v>35855</v>
      </c>
      <c r="AJ92" s="3">
        <v>12328</v>
      </c>
      <c r="AK92" s="1">
        <f>(AJ92/AI92)*100</f>
        <v>34.382931250871565</v>
      </c>
      <c r="AL92" s="1">
        <f>AM92/AI92</f>
        <v>1.8825826244596292E-2</v>
      </c>
      <c r="AM92" s="1">
        <f t="shared" ref="AM92:AM93" si="28">AN92/AO92</f>
        <v>675</v>
      </c>
      <c r="AN92" s="1">
        <v>81</v>
      </c>
      <c r="AO92" s="1">
        <v>0.12</v>
      </c>
      <c r="AP92" s="1">
        <v>31</v>
      </c>
      <c r="AQ92" s="1">
        <v>22.3</v>
      </c>
      <c r="AR92" s="1">
        <v>17</v>
      </c>
      <c r="AS92" s="1">
        <v>20.2</v>
      </c>
      <c r="AT92" s="1">
        <v>23</v>
      </c>
      <c r="AU92" s="1">
        <v>12</v>
      </c>
      <c r="AV92" s="1">
        <v>10</v>
      </c>
      <c r="AW92" s="1">
        <v>3.9</v>
      </c>
      <c r="AX92" s="1">
        <v>3352</v>
      </c>
      <c r="AY92" s="1">
        <v>54.8</v>
      </c>
      <c r="AZ92" s="3">
        <v>19530</v>
      </c>
      <c r="BA92" s="1">
        <v>10862</v>
      </c>
      <c r="BB92" s="1">
        <v>55.6</v>
      </c>
      <c r="BC92" s="15">
        <v>3122</v>
      </c>
      <c r="BD92" s="15">
        <v>2296</v>
      </c>
      <c r="BE92" s="1">
        <f>(BD92/BC92)*100</f>
        <v>73.542600896860989</v>
      </c>
      <c r="BF92" s="1">
        <f>BC92-BD92-773</f>
        <v>53</v>
      </c>
      <c r="BH92" s="1">
        <v>1045</v>
      </c>
      <c r="BI92" s="1">
        <v>790</v>
      </c>
      <c r="BJ92" s="1">
        <f t="shared" si="23"/>
        <v>75.598086124401902</v>
      </c>
      <c r="BR92" s="29"/>
      <c r="BY92" s="29"/>
      <c r="BZ92" s="1">
        <v>43461</v>
      </c>
      <c r="CA92" s="1">
        <v>27500</v>
      </c>
      <c r="CB92" s="1">
        <f>CA92/BZ92</f>
        <v>0.6327512022272842</v>
      </c>
      <c r="CC92" s="1">
        <f>173+53+1314+714</f>
        <v>2254</v>
      </c>
      <c r="CD92" s="1">
        <f>CC92/BZ92</f>
        <v>5.1862589448010858E-2</v>
      </c>
      <c r="CE92" s="1">
        <f>74+31+1021+501</f>
        <v>1627</v>
      </c>
      <c r="CF92" s="1">
        <f>CE92/CC92</f>
        <v>0.72182786157941436</v>
      </c>
      <c r="CG92" s="1">
        <v>881</v>
      </c>
      <c r="CH92" s="1">
        <v>765</v>
      </c>
      <c r="CI92" s="1">
        <f t="shared" si="6"/>
        <v>0.86833144154370034</v>
      </c>
      <c r="CJ92" s="1">
        <v>6385</v>
      </c>
      <c r="CK92" s="1">
        <f>5125+370</f>
        <v>5495</v>
      </c>
      <c r="CL92" s="1">
        <f t="shared" si="11"/>
        <v>0.860610806577917</v>
      </c>
      <c r="CM92" s="1">
        <v>1119</v>
      </c>
      <c r="CN92" s="1">
        <v>1001</v>
      </c>
      <c r="CO92" s="1">
        <f t="shared" si="12"/>
        <v>0.89454870420017873</v>
      </c>
      <c r="CX92" s="29"/>
      <c r="DF92" s="3">
        <v>1425</v>
      </c>
      <c r="DG92" s="3">
        <v>1165</v>
      </c>
      <c r="DH92" s="1">
        <f>DG92/DF92</f>
        <v>0.81754385964912279</v>
      </c>
      <c r="DZ92" s="1">
        <f>EA92+67583</f>
        <v>145689</v>
      </c>
      <c r="EA92" s="15">
        <v>78106</v>
      </c>
      <c r="EB92" s="29">
        <f t="shared" si="27"/>
        <v>0.53611460027867586</v>
      </c>
      <c r="EE92" s="29"/>
      <c r="EH92" s="29"/>
      <c r="EJ92" s="15">
        <v>9713</v>
      </c>
      <c r="EK92" s="15">
        <v>7436</v>
      </c>
      <c r="EL92" s="33">
        <f>EK92/EJ92</f>
        <v>0.76557191392978485</v>
      </c>
      <c r="FF92" s="15">
        <v>77</v>
      </c>
      <c r="FG92" s="15">
        <v>61</v>
      </c>
      <c r="FH92" s="29">
        <f>FG92/FF92</f>
        <v>0.79220779220779225</v>
      </c>
      <c r="FK92" s="29"/>
      <c r="FO92" s="29"/>
      <c r="FR92" s="36">
        <v>0.81679999999999997</v>
      </c>
      <c r="FU92" s="29"/>
      <c r="FZ92" s="29"/>
    </row>
    <row r="93" spans="1:182">
      <c r="A93" s="1">
        <v>2021</v>
      </c>
      <c r="J93" s="2">
        <v>13952</v>
      </c>
      <c r="M93" s="3">
        <v>15118</v>
      </c>
      <c r="N93" s="1">
        <f>(O93*M93)/100</f>
        <v>9373.16</v>
      </c>
      <c r="O93" s="1">
        <v>62</v>
      </c>
      <c r="P93" s="1" t="e">
        <f>(#REF!*M93)/100</f>
        <v>#REF!</v>
      </c>
      <c r="AM93" s="1">
        <f t="shared" si="28"/>
        <v>800</v>
      </c>
      <c r="AN93" s="1">
        <v>104</v>
      </c>
      <c r="AO93" s="1">
        <v>0.13</v>
      </c>
      <c r="AP93" s="1">
        <v>43</v>
      </c>
      <c r="AQ93" s="1">
        <v>24.7</v>
      </c>
      <c r="AR93" s="1">
        <v>30</v>
      </c>
      <c r="AS93" s="1">
        <v>23.6</v>
      </c>
      <c r="AT93" s="1">
        <v>21</v>
      </c>
      <c r="AU93" s="1">
        <v>10.3</v>
      </c>
      <c r="AV93" s="1">
        <v>10</v>
      </c>
      <c r="AW93" s="1">
        <v>3.4</v>
      </c>
      <c r="AX93" s="1">
        <v>3859</v>
      </c>
      <c r="AY93" s="1">
        <v>55.7</v>
      </c>
      <c r="BR93" s="29"/>
      <c r="BY93" s="29"/>
      <c r="EE93" s="29"/>
      <c r="EH93" s="29"/>
      <c r="FH93" s="29"/>
      <c r="FK93" s="29"/>
      <c r="FO93" s="29"/>
      <c r="FR93" s="30"/>
      <c r="FU93" s="29"/>
      <c r="FW93" s="22">
        <v>0.75</v>
      </c>
      <c r="FZ93" s="29"/>
    </row>
    <row r="94" spans="1:182">
      <c r="A94" s="1">
        <v>2030</v>
      </c>
      <c r="D94" s="15">
        <v>71</v>
      </c>
      <c r="BR94" s="29"/>
      <c r="EE94" s="29"/>
      <c r="EH94" s="29"/>
      <c r="EX94" s="28">
        <v>0.8</v>
      </c>
      <c r="EY94" s="28"/>
      <c r="FH94" s="29"/>
      <c r="FK94" s="29"/>
      <c r="FO94" s="29"/>
      <c r="FR94" s="29"/>
      <c r="FU94" s="29"/>
    </row>
    <row r="95" spans="1:182">
      <c r="G95" s="1">
        <f>F95/100</f>
        <v>0</v>
      </c>
      <c r="BR95" s="29"/>
      <c r="EE95" s="29"/>
      <c r="EH95" s="29"/>
      <c r="FH95" s="29"/>
      <c r="FK95" s="29"/>
    </row>
    <row r="96" spans="1:182">
      <c r="F96" s="1">
        <v>51.8</v>
      </c>
      <c r="G96" s="1">
        <f t="shared" ref="G96:G108" si="29">F96/100</f>
        <v>0.51800000000000002</v>
      </c>
      <c r="BR96" s="29"/>
      <c r="EE96" s="29"/>
      <c r="EH96" s="29"/>
    </row>
    <row r="97" spans="6:70">
      <c r="F97" s="5">
        <v>50.6</v>
      </c>
      <c r="G97" s="1">
        <f t="shared" si="29"/>
        <v>0.50600000000000001</v>
      </c>
      <c r="BR97" s="29"/>
    </row>
    <row r="98" spans="6:70">
      <c r="F98" s="1">
        <v>50.1</v>
      </c>
      <c r="G98" s="1">
        <f t="shared" si="29"/>
        <v>0.501</v>
      </c>
      <c r="BR98" s="29"/>
    </row>
    <row r="99" spans="6:70">
      <c r="F99" s="1">
        <v>51.7</v>
      </c>
      <c r="G99" s="1">
        <f t="shared" si="29"/>
        <v>0.51700000000000002</v>
      </c>
    </row>
    <row r="100" spans="6:70">
      <c r="F100" s="1">
        <v>52.5</v>
      </c>
      <c r="G100" s="1">
        <f t="shared" si="29"/>
        <v>0.52500000000000002</v>
      </c>
    </row>
    <row r="101" spans="6:70">
      <c r="F101" s="1">
        <v>53.5</v>
      </c>
      <c r="G101" s="1">
        <f t="shared" si="29"/>
        <v>0.53500000000000003</v>
      </c>
    </row>
    <row r="102" spans="6:70">
      <c r="F102" s="1">
        <v>54.3</v>
      </c>
      <c r="G102" s="1">
        <f t="shared" si="29"/>
        <v>0.54299999999999993</v>
      </c>
    </row>
    <row r="103" spans="6:70">
      <c r="F103" s="1">
        <v>55.2</v>
      </c>
      <c r="G103" s="1">
        <f t="shared" si="29"/>
        <v>0.55200000000000005</v>
      </c>
    </row>
    <row r="104" spans="6:70">
      <c r="F104" s="1">
        <v>56.7</v>
      </c>
      <c r="G104" s="1">
        <f t="shared" si="29"/>
        <v>0.56700000000000006</v>
      </c>
    </row>
    <row r="105" spans="6:70" ht="15" thickBot="1">
      <c r="F105" s="1">
        <v>58</v>
      </c>
      <c r="G105" s="1">
        <f t="shared" si="29"/>
        <v>0.57999999999999996</v>
      </c>
    </row>
    <row r="106" spans="6:70" ht="15" thickBot="1">
      <c r="F106" s="7">
        <v>58.8</v>
      </c>
      <c r="G106" s="1">
        <f t="shared" si="29"/>
        <v>0.58799999999999997</v>
      </c>
    </row>
    <row r="107" spans="6:70">
      <c r="F107" s="1">
        <v>59.9</v>
      </c>
      <c r="G107" s="1">
        <f t="shared" si="29"/>
        <v>0.59899999999999998</v>
      </c>
    </row>
    <row r="108" spans="6:70">
      <c r="F108" s="1">
        <v>60.5</v>
      </c>
      <c r="G108" s="1">
        <f t="shared" si="29"/>
        <v>0.60499999999999998</v>
      </c>
    </row>
  </sheetData>
  <mergeCells count="73">
    <mergeCell ref="DT2:DY2"/>
    <mergeCell ref="DT1:DY1"/>
    <mergeCell ref="DZ2:EB2"/>
    <mergeCell ref="FF2:FH2"/>
    <mergeCell ref="FI2:FK2"/>
    <mergeCell ref="FF1:FK1"/>
    <mergeCell ref="EZ2:FB2"/>
    <mergeCell ref="EX1:FB1"/>
    <mergeCell ref="FC2:FE2"/>
    <mergeCell ref="FC1:FE1"/>
    <mergeCell ref="ES1:EU1"/>
    <mergeCell ref="M1:T1"/>
    <mergeCell ref="S2:T2"/>
    <mergeCell ref="AI2:AW2"/>
    <mergeCell ref="AI1:AY1"/>
    <mergeCell ref="AX2:AY2"/>
    <mergeCell ref="U1:X1"/>
    <mergeCell ref="AD1:AH1"/>
    <mergeCell ref="Y1:AC1"/>
    <mergeCell ref="BM2:BN2"/>
    <mergeCell ref="BP2:BR2"/>
    <mergeCell ref="DF2:DH2"/>
    <mergeCell ref="B2:D2"/>
    <mergeCell ref="E2:G2"/>
    <mergeCell ref="J2:L2"/>
    <mergeCell ref="M2:P2"/>
    <mergeCell ref="BH2:BJ2"/>
    <mergeCell ref="AZ2:BB2"/>
    <mergeCell ref="BC2:BF2"/>
    <mergeCell ref="Y2:AC2"/>
    <mergeCell ref="AD2:AH2"/>
    <mergeCell ref="BZ2:CB2"/>
    <mergeCell ref="BW2:BY2"/>
    <mergeCell ref="U2:W2"/>
    <mergeCell ref="CQ2:CS2"/>
    <mergeCell ref="AZ1:BJ1"/>
    <mergeCell ref="B1:L1"/>
    <mergeCell ref="DC2:DE2"/>
    <mergeCell ref="CM2:CO2"/>
    <mergeCell ref="CG2:CI2"/>
    <mergeCell ref="CT2:CU2"/>
    <mergeCell ref="BZ1:CO1"/>
    <mergeCell ref="CC2:CF2"/>
    <mergeCell ref="CZ2:DB2"/>
    <mergeCell ref="CY1:DH1"/>
    <mergeCell ref="CT1:CX1"/>
    <mergeCell ref="CV2:CX2"/>
    <mergeCell ref="CJ2:CL2"/>
    <mergeCell ref="BP1:BY1"/>
    <mergeCell ref="BM1:BO1"/>
    <mergeCell ref="BS2:BU2"/>
    <mergeCell ref="CP1:CS1"/>
    <mergeCell ref="EV1:EW1"/>
    <mergeCell ref="EN2:EP2"/>
    <mergeCell ref="EJ1:EP1"/>
    <mergeCell ref="EJ2:EL2"/>
    <mergeCell ref="DI2:DJ2"/>
    <mergeCell ref="DK2:DL2"/>
    <mergeCell ref="DI1:DL1"/>
    <mergeCell ref="DM1:DO1"/>
    <mergeCell ref="DM2:DO2"/>
    <mergeCell ref="EC2:EE2"/>
    <mergeCell ref="DZ1:EI1"/>
    <mergeCell ref="EF2:EH2"/>
    <mergeCell ref="DP2:DR2"/>
    <mergeCell ref="DP1:DR1"/>
    <mergeCell ref="ES2:EU2"/>
    <mergeCell ref="FW1:FZ1"/>
    <mergeCell ref="FX2:FZ2"/>
    <mergeCell ref="FP2:FR2"/>
    <mergeCell ref="FM2:FO2"/>
    <mergeCell ref="FM1:FU1"/>
    <mergeCell ref="FS2:FU2"/>
  </mergeCells>
  <hyperlinks>
    <hyperlink ref="M1:O1" r:id="rId1" display="Canada" xr:uid="{00000000-0004-0000-2400-000000000000}"/>
    <hyperlink ref="U2" r:id="rId2" xr:uid="{00000000-0004-0000-2400-000001000000}"/>
    <hyperlink ref="X2" r:id="rId3" xr:uid="{00000000-0004-0000-2400-000002000000}"/>
    <hyperlink ref="Y2" r:id="rId4" xr:uid="{00000000-0004-0000-2400-000003000000}"/>
    <hyperlink ref="AD2:AH2" r:id="rId5" display="Professionals" xr:uid="{00000000-0004-0000-2400-000004000000}"/>
    <hyperlink ref="AN3" r:id="rId6" xr:uid="{00000000-0004-0000-2400-000005000000}"/>
    <hyperlink ref="AO3" r:id="rId7" xr:uid="{00000000-0004-0000-2400-000006000000}"/>
    <hyperlink ref="AP3" r:id="rId8" xr:uid="{00000000-0004-0000-2400-000007000000}"/>
    <hyperlink ref="AQ3" r:id="rId9" xr:uid="{00000000-0004-0000-2400-000008000000}"/>
    <hyperlink ref="AR3" r:id="rId10" xr:uid="{00000000-0004-0000-2400-000009000000}"/>
    <hyperlink ref="AS3" r:id="rId11" xr:uid="{00000000-0004-0000-2400-00000A000000}"/>
    <hyperlink ref="AT3" r:id="rId12" xr:uid="{00000000-0004-0000-2400-00000B000000}"/>
    <hyperlink ref="AU3" r:id="rId13" xr:uid="{00000000-0004-0000-2400-00000C000000}"/>
    <hyperlink ref="AV3" r:id="rId14" xr:uid="{00000000-0004-0000-2400-00000D000000}"/>
    <hyperlink ref="AW3" r:id="rId15" xr:uid="{00000000-0004-0000-2400-00000E000000}"/>
    <hyperlink ref="AX3" r:id="rId16" xr:uid="{00000000-0004-0000-2400-00000F000000}"/>
    <hyperlink ref="AY3" r:id="rId17" xr:uid="{00000000-0004-0000-2400-000010000000}"/>
    <hyperlink ref="AI3" r:id="rId18" display="Total" xr:uid="{00000000-0004-0000-2400-000011000000}"/>
    <hyperlink ref="AJ3" r:id="rId19" display="# female" xr:uid="{00000000-0004-0000-2400-000012000000}"/>
    <hyperlink ref="AK3" r:id="rId20" display="% female" xr:uid="{00000000-0004-0000-2400-000013000000}"/>
    <hyperlink ref="BK83" r:id="rId21" location=":~:text=Veterinary%20vacancies%20at%20state%20level,to%20a%2037%25%20vacancy%20rate." display="https://www.farmersweekly.co.za/bottomline/addressing-the-veterinary-shortage/ - :~:text=Veterinary%20vacancies%20at%20state%20level,to%20a%2037%25%20vacancy%20rate." xr:uid="{00000000-0004-0000-2400-000014000000}"/>
    <hyperlink ref="AZ1:BI1" r:id="rId22" display="France" xr:uid="{00000000-0004-0000-2400-000015000000}"/>
    <hyperlink ref="D42" r:id="rId23" display="http://www.dissertations.wsu.edu/Dissertations/Spring2004/A_Lincoln_050404.pdf" xr:uid="{00000000-0004-0000-2400-000016000000}"/>
    <hyperlink ref="L40" r:id="rId24" display="https://www.jstor.org/stable/pdf/20676846.pdf?refreqid=excelsior%3A67279bcca727c64ef8ca5cd50e1f7ff5" xr:uid="{00000000-0004-0000-2400-000017000000}"/>
    <hyperlink ref="L47" r:id="rId25" display="https://www.jstor.org/stable/pdf/20676846.pdf?refreqid=excelsior%3A67279bcca727c64ef8ca5cd50e1f7ff5" xr:uid="{00000000-0004-0000-2400-000018000000}"/>
    <hyperlink ref="C42" r:id="rId26" display="http://www.dissertations.wsu.edu/Dissertations/Spring2004/A_Lincoln_050404.pdf" xr:uid="{00000000-0004-0000-2400-000019000000}"/>
    <hyperlink ref="C52" r:id="rId27" display="http://www.dissertations.wsu.edu/Dissertations/Spring2004/A_Lincoln_050404.pdf" xr:uid="{00000000-0004-0000-2400-00001A000000}"/>
    <hyperlink ref="D52" r:id="rId28" display="http://www.dissertations.wsu.edu/Dissertations/Spring2004/A_Lincoln_050404.pdf" xr:uid="{00000000-0004-0000-2400-00001B000000}"/>
    <hyperlink ref="C62" r:id="rId29" display="http://www.dissertations.wsu.edu/Dissertations/Spring2004/A_Lincoln_050404.pdf" xr:uid="{00000000-0004-0000-2400-00001C000000}"/>
    <hyperlink ref="D62" r:id="rId30" display="http://www.dissertations.wsu.edu/Dissertations/Spring2004/A_Lincoln_050404.pdf" xr:uid="{00000000-0004-0000-2400-00001D000000}"/>
    <hyperlink ref="C67" r:id="rId31" display="http://www.dissertations.wsu.edu/Dissertations/Spring2004/A_Lincoln_050404.pdf" xr:uid="{00000000-0004-0000-2400-00001E000000}"/>
    <hyperlink ref="D67" r:id="rId32" display="http://www.dissertations.wsu.edu/Dissertations/Spring2004/A_Lincoln_050404.pdf" xr:uid="{00000000-0004-0000-2400-00001F000000}"/>
    <hyperlink ref="BT53" r:id="rId33" display="RAEStud-90-4-473-498.pdf" xr:uid="{00000000-0004-0000-2400-000020000000}"/>
    <hyperlink ref="BQ72" r:id="rId34" location="show_full_texthttps://d.docs.live.net/5141a47629328be6/RAEStud-90-4-473-498.pdf" display="http://docplayer.org/13865971-Die-feminisierung-des-veterinaerwesens-in-der-schweiz.html - show_full_texthttps://d.docs.live.net/5141a47629328be6/RAEStud-90-4-473-498.pdf" xr:uid="{00000000-0004-0000-2400-000021000000}"/>
    <hyperlink ref="BB67" r:id="rId35" display="https://www.cairn.info/revue-travail-genre-et-societes-2001-1-page-91.htm" xr:uid="{00000000-0004-0000-2400-000022000000}"/>
    <hyperlink ref="BJ82" r:id="rId36" display="../../../../Zotero/storage/QZ4XRU23/paulet_5106_1.pdf" xr:uid="{00000000-0004-0000-2400-000023000000}"/>
    <hyperlink ref="BA82" r:id="rId37" display="../../../../Zotero/storage/QZ4XRU23/paulet_5106_1.pdf" xr:uid="{00000000-0004-0000-2400-000024000000}"/>
    <hyperlink ref="S83" r:id="rId38" display="https://www.lelezard.com/communique-722642.html" xr:uid="{00000000-0004-0000-2400-000025000000}"/>
    <hyperlink ref="T83" r:id="rId39" display="https://www.lelezard.com/communique-722642.html" xr:uid="{00000000-0004-0000-2400-000026000000}"/>
    <hyperlink ref="D94" r:id="rId40" display="https://www.ucop.edu/uc-health/_files/vet-med-an-era-of-change.pdf" xr:uid="{00000000-0004-0000-2400-000027000000}"/>
    <hyperlink ref="BE62" r:id="rId41" display="https://www.cairn.info/revue-formation-emploi-2020-3-page-93.htm" xr:uid="{00000000-0004-0000-2400-000028000000}"/>
    <hyperlink ref="BB34" r:id="rId42" display="https://www.cairn.info/revue-formation-emploi-2020-3-page-93.htm" xr:uid="{00000000-0004-0000-2400-000029000000}"/>
    <hyperlink ref="BB35" r:id="rId43" display="https://www.cairn.info/revue-formation-emploi-2020-3-page-93.htm" xr:uid="{00000000-0004-0000-2400-00002A000000}"/>
    <hyperlink ref="BB37" r:id="rId44" display="https://www.cairn.info/revue-formation-emploi-2020-3-page-93.htm" xr:uid="{00000000-0004-0000-2400-00002B000000}"/>
    <hyperlink ref="BA38" r:id="rId45" display="https://www.lepointveterinaire.fr/publications/la-semaine-veterinaire/article/n-1252/l-avenir-de-la-profession-est-marque-par-sa-feminisation.html" xr:uid="{00000000-0004-0000-2400-00002C000000}"/>
    <hyperlink ref="BG42" r:id="rId46" display="https://oatao.univ-toulouse.fr/5106/1/paulet_5106_1.pdf" xr:uid="{00000000-0004-0000-2400-00002D000000}"/>
    <hyperlink ref="BZ1" r:id="rId47" xr:uid="{00000000-0004-0000-2400-00002E000000}"/>
    <hyperlink ref="CP2" r:id="rId48" xr:uid="{00000000-0004-0000-2400-00002F000000}"/>
    <hyperlink ref="Z53" r:id="rId49" display="https://sci-hubtw.hkvisa.net/10.1111/j.1751-0813.2002.tb10995.x" xr:uid="{00000000-0004-0000-2400-000030000000}"/>
    <hyperlink ref="Z63" r:id="rId50" display="https://sci-hubtw.hkvisa.net/10.1111/j.1751-0813.2002.tb10995.x" xr:uid="{00000000-0004-0000-2400-000031000000}"/>
    <hyperlink ref="CT2" r:id="rId51" xr:uid="{00000000-0004-0000-2400-000032000000}"/>
    <hyperlink ref="R70" r:id="rId52" display="https://www.ncbi.nlm.nih.gov/pmc/articles/PMC1539436/pdf/canvetj00155-0006.pdf" xr:uid="{00000000-0004-0000-2400-000033000000}"/>
    <hyperlink ref="Z78" r:id="rId53" display="https://sci-hubtw.hkvisa.net/10.1111/j.1751-0813.2008.00314.x" xr:uid="{00000000-0004-0000-2400-000034000000}"/>
    <hyperlink ref="CY1" r:id="rId54" xr:uid="{00000000-0004-0000-2400-000035000000}"/>
    <hyperlink ref="DF2:DH2" r:id="rId55" display="Total Students" xr:uid="{00000000-0004-0000-2400-000036000000}"/>
    <hyperlink ref="BQ78" r:id="rId56" location="show_full_text" display="http://docplayer.org/13865971-Die-feminisierung-des-veterinaerwesens-in-der-schweiz.html - show_full_text" xr:uid="{00000000-0004-0000-2400-000037000000}"/>
    <hyperlink ref="BW2:BY2" r:id="rId57" display="New registrants - 10 year avg" xr:uid="{00000000-0004-0000-2400-000038000000}"/>
    <hyperlink ref="BV89" r:id="rId58" display="https://sat.gstsvs.ch/de/sat/sat-artikel/archiv/2018/032018/nachfrage-nach-veterinaerstudium-so-hoch-wie-nie.html" xr:uid="{00000000-0004-0000-2400-000039000000}"/>
    <hyperlink ref="BQ90" r:id="rId59" display="https://www.gstsvs.ch/fileadmin/user_upload/GST-SVS/Publikationen/Jahresbericht_GST/GST_Jahresbericht_2018_d.pdf" xr:uid="{00000000-0004-0000-2400-00003A000000}"/>
    <hyperlink ref="BQ89" r:id="rId60" display="https://www.gstsvs.ch/fileadmin/user_upload/GST-SVS/Publikationen/Jahresbericht_GST/GST_Jahresbericht_2017_d.pdfhttps:/d.docs.live.net/5141a47629328be6/Gender in veterinary education leadership - a snapshot of global trends.pptx" xr:uid="{00000000-0004-0000-2400-00003B000000}"/>
    <hyperlink ref="BO2" r:id="rId61" xr:uid="{00000000-0004-0000-2400-00003C000000}"/>
    <hyperlink ref="CV2:CX2" r:id="rId62" display="Students" xr:uid="{00000000-0004-0000-2400-00003D000000}"/>
    <hyperlink ref="D58" r:id="rId63" display="https://www.ncbi.nlm.nih.gov/pmc/articles/PMC1681137/?page=2" xr:uid="{00000000-0004-0000-2400-00003E000000}"/>
    <hyperlink ref="DI1" r:id="rId64" xr:uid="{00000000-0004-0000-2400-00003F000000}"/>
    <hyperlink ref="DM1:DO1" r:id="rId65" display="Mozambique" xr:uid="{00000000-0004-0000-2400-000040000000}"/>
    <hyperlink ref="DP1" r:id="rId66" xr:uid="{00000000-0004-0000-2400-000041000000}"/>
    <hyperlink ref="BG52" r:id="rId67" display="https://d.docs.live.net/Zotero/storage/7MCSIUWU/veterinaire-une-profession-qui-se-feminise.html" xr:uid="{00000000-0004-0000-2400-000042000000}"/>
    <hyperlink ref="BG62" r:id="rId68" display="https://d.docs.live.net/Zotero/storage/7MCSIUWU/veterinaire-une-profession-qui-se-feminise.html" xr:uid="{00000000-0004-0000-2400-000043000000}"/>
    <hyperlink ref="BG72" r:id="rId69" display="https://d.docs.live.net/Zotero/storage/7MCSIUWU/veterinaire-une-profession-qui-se-feminise.html" xr:uid="{00000000-0004-0000-2400-000044000000}"/>
    <hyperlink ref="BG82" r:id="rId70" display="https://d.docs.live.net/Zotero/storage/7MCSIUWU/veterinaire-une-profession-qui-se-feminise.html" xr:uid="{00000000-0004-0000-2400-000045000000}"/>
    <hyperlink ref="BI8" r:id="rId71" display="https://www.lepointveterinaire.fr/publications/la-semaine-veterinaire/article/n-1252/l-avenir-de-la-profession-est-marque-par-sa-feminisation.html" xr:uid="{00000000-0004-0000-2400-000046000000}"/>
    <hyperlink ref="BA8" r:id="rId72" display="https://d.docs.live.net/5141a47629328be6/F" xr:uid="{00000000-0004-0000-2400-000047000000}"/>
    <hyperlink ref="BC92" r:id="rId73" display="https://www.veterinaire.fr/system/files/files/2021-11/ODV-ATLAS-NATIONAL-2021.pdf" xr:uid="{00000000-0004-0000-2400-000048000000}"/>
    <hyperlink ref="BD92" r:id="rId74" display="https://www.veterinaire.fr/system/files/files/2021-11/ODV-ATLAS-NATIONAL-2021.pdf" xr:uid="{00000000-0004-0000-2400-000049000000}"/>
    <hyperlink ref="BG81" r:id="rId75" display="https://plone.unige.ch/aref2010/communications-orales/premiers-auteurs-en-g/Veterinaire.pdf/view" xr:uid="{00000000-0004-0000-2400-00004A000000}"/>
    <hyperlink ref="BE89" r:id="rId76" display="https://journals.openedition.org/formationemploi/8487?lang=fr" xr:uid="{00000000-0004-0000-2400-00004B000000}"/>
    <hyperlink ref="DS79" r:id="rId77" display="https://op.europa.eu/en/publication-detail/-/publication/40271e21-ca1b-461e-ba23-88fe4d4b3fd4/language-fr/format-PDF" xr:uid="{00000000-0004-0000-2400-00004C000000}"/>
    <hyperlink ref="BL83" r:id="rId78" location=":~:text=Veterinary%20vacancies%20at%20state%20level,to%20a%2037%25%20vacancy%20rate." display="https://www.farmersweekly.co.za/bottomline/addressing-the-veterinary-shortage/ - :~:text=Veterinary%20vacancies%20at%20state%20level,to%20a%2037%25%20vacancy%20rate." xr:uid="{00000000-0004-0000-2400-00004D000000}"/>
    <hyperlink ref="EB72" r:id="rId79" display="http://epsm.nescon.medicina.ufmg.br/epsm/Estudos_Pesquisa/Mercado  de trabalho das profissoes de nivel superior no Brasil (Rel.Final).pdf" xr:uid="{00000000-0004-0000-2400-00004E000000}"/>
    <hyperlink ref="EB82" r:id="rId80" display="http://epsm.nescon.medicina.ufmg.br/epsm/Estudos_Pesquisa/Mercado  de trabalho das profissoes de nivel superior no Brasil (Rel.Final).pdf" xr:uid="{00000000-0004-0000-2400-00004F000000}"/>
    <hyperlink ref="DZ82" r:id="rId81" display="http://epsm.nescon.medicina.ufmg.br/epsm/Estudos_Pesquisa/Mercado  de trabalho das profissoes de nivel superior no Brasil (Rel.Final).pdf" xr:uid="{00000000-0004-0000-2400-000050000000}"/>
    <hyperlink ref="DZ72" r:id="rId82" display="http://epsm.nescon.medicina.ufmg.br/epsm/Estudos_Pesquisa/Mercado  de trabalho das profissoes de nivel superior no Brasil (Rel.Final).pdf" xr:uid="{00000000-0004-0000-2400-000051000000}"/>
    <hyperlink ref="BB47" r:id="rId83" display="https://www.crmv-pr.org.br/uploads/revista/arquivos/20160307140058.pdf" xr:uid="{00000000-0004-0000-2400-000052000000}"/>
    <hyperlink ref="BB69" r:id="rId84" display="https://www.crmv-pr.org.br/uploads/revista/arquivos/20160307140058.pdf" xr:uid="{00000000-0004-0000-2400-000053000000}"/>
    <hyperlink ref="D71" r:id="rId85" display="https://www.crmv-pr.org.br/uploads/revista/arquivos/20160307140058.pdf" xr:uid="{00000000-0004-0000-2400-000054000000}"/>
    <hyperlink ref="B71" r:id="rId86" display="https://www.crmv-pr.org.br/uploads/revista/arquivos/20160307140058.pdf" xr:uid="{00000000-0004-0000-2400-000055000000}"/>
    <hyperlink ref="EI86" r:id="rId87" display="https://www.crmv-pr.org.br/uploads/revista/arquivos/20160307140058.pdf" xr:uid="{00000000-0004-0000-2400-000056000000}"/>
    <hyperlink ref="EI87" r:id="rId88" display="https://www.crmv-pr.org.br/uploads/revista/arquivos/20160307140058.pdf" xr:uid="{00000000-0004-0000-2400-000057000000}"/>
    <hyperlink ref="EE91" r:id="rId89" display="https://www.cfmv.gov.br/mulheres-ocupam-espaco-crescente-na-medicina-veterinaria-e-na-zootecnia/comunicacao/noticias/2018/03/08/" xr:uid="{00000000-0004-0000-2400-000058000000}"/>
    <hyperlink ref="EC91" r:id="rId90" display="https://www.cfmv.gov.br/mulheres-ocupam-espaco-crescente-na-medicina-veterinaria-e-na-zootecnia/comunicacao/noticias/2018/03/08/" xr:uid="{00000000-0004-0000-2400-000059000000}"/>
    <hyperlink ref="EA89" r:id="rId91" display="https://www.cfmv.gov.br/censo/transparencia/2017-2020/2020/12/11/" xr:uid="{00000000-0004-0000-2400-00005A000000}"/>
    <hyperlink ref="EA90" r:id="rId92" display="https://www.cfmv.gov.br/censo/transparencia/2017-2020/2020/12/11/" xr:uid="{00000000-0004-0000-2400-00005B000000}"/>
    <hyperlink ref="EA91" r:id="rId93" display="https://www.cfmv.gov.br/censo/transparencia/2017-2020/2020/12/11/" xr:uid="{00000000-0004-0000-2400-00005C000000}"/>
    <hyperlink ref="EA92" r:id="rId94" display="https://www.cfmv.gov.br/censo/transparencia/2017-2020/2020/12/11/" xr:uid="{00000000-0004-0000-2400-00005D000000}"/>
    <hyperlink ref="EI84" r:id="rId95" display="https://d.docs.live.net/Downloads/33549-Texto do artigo-170600-1-10-20170721.pdf" xr:uid="{00000000-0004-0000-2400-00005E000000}"/>
    <hyperlink ref="EC73" r:id="rId96" display="https://www.cfmv.gov.br/mulheres-ocupam-espaco-crescente-na-medicina-veterinaria-e-na-zootecnia/comunicacao/noticias/2018/03/08/" xr:uid="{00000000-0004-0000-2400-00005F000000}"/>
    <hyperlink ref="ED73" r:id="rId97" display="https://www.cfmv.gov.br/mulheres-ocupam-espaco-crescente-na-medicina-veterinaria-e-na-zootecnia/comunicacao/noticias/2018/03/08/" xr:uid="{00000000-0004-0000-2400-000060000000}"/>
    <hyperlink ref="EE3" r:id="rId98" xr:uid="{00000000-0004-0000-2400-000061000000}"/>
    <hyperlink ref="EF63" r:id="rId99" display="https://certidao.cfmv.gov.br/revistas/edicao58.pdf" xr:uid="{00000000-0004-0000-2400-000062000000}"/>
    <hyperlink ref="EG63" r:id="rId100" display="https://certidao.cfmv.gov.br/revistas/edicao58.pdf" xr:uid="{00000000-0004-0000-2400-000063000000}"/>
    <hyperlink ref="EH63" r:id="rId101" display="https://certidao.cfmv.gov.br/revistas/edicao58.pdf" xr:uid="{00000000-0004-0000-2400-000064000000}"/>
    <hyperlink ref="EE83" r:id="rId102" display="https://certidao.cfmv.gov.br/revistas/edicao58.pdf" xr:uid="{00000000-0004-0000-2400-000065000000}"/>
    <hyperlink ref="EM90" r:id="rId103" display="https://ceve.es/wp-content/uploads/2020/10/Informe-CEVE-2020-1.pdf" xr:uid="{00000000-0004-0000-2400-000066000000}"/>
    <hyperlink ref="EN2" r:id="rId104" location="_ftnref1" xr:uid="{00000000-0004-0000-2400-000067000000}"/>
    <hyperlink ref="EM2" r:id="rId105" xr:uid="{00000000-0004-0000-2400-000068000000}"/>
    <hyperlink ref="EJ2" r:id="rId106" xr:uid="{00000000-0004-0000-2400-000069000000}"/>
    <hyperlink ref="EK88" r:id="rId107" display="http://estadisticas.mecd.gob.es/EducaJaxiPx/Tabla.htm?path=/Universitaria/Alumnado/EEU_2021/GradoCiclo/Matriculados//l0/&amp;file=Mat_GradCiclo_Sex_Edad(1)_Amb_Tot.px&amp;type=pcaxis&amp;L=0" xr:uid="{00000000-0004-0000-2400-00006A000000}"/>
    <hyperlink ref="EK89" r:id="rId108" display="http://estadisticas.mecd.gob.es/EducaJaxiPx/Tabla.htm?path=/Universitaria/Alumnado/EEU_2021/GradoCiclo/Matriculados//l0/&amp;file=Mat_GradCiclo_Sex_Edad(1)_Amb_Tot.px&amp;type=pcaxis&amp;L=0" xr:uid="{00000000-0004-0000-2400-00006B000000}"/>
    <hyperlink ref="EK90" r:id="rId109" display="http://estadisticas.mecd.gob.es/EducaJaxiPx/Tabla.htm?path=/Universitaria/Alumnado/EEU_2021/GradoCiclo/Matriculados//l0/&amp;file=Mat_GradCiclo_Sex_Edad(1)_Amb_Tot.px&amp;type=pcaxis&amp;L=0" xr:uid="{00000000-0004-0000-2400-00006C000000}"/>
    <hyperlink ref="EK92" r:id="rId110" display="http://estadisticas.mecd.gob.es/EducaJaxiPx/Tabla.htm?path=/Universitaria/Alumnado/EEU_2021/GradoCiclo/Matriculados//l0/&amp;file=Mat_GradCiclo_Sex_Edad(1)_Amb_Tot.px&amp;type=pcaxis&amp;L=0" xr:uid="{00000000-0004-0000-2400-00006D000000}"/>
    <hyperlink ref="EJ88" r:id="rId111" display="http://estadisticas.mecd.gob.es/EducaJaxiPx/Tabla.htm?path=/Universitaria/Alumnado/EEU_2021/GradoCiclo/Matriculados//l0/&amp;file=Mat_GradCiclo_Sex_Edad(1)_Amb_Tot.px&amp;type=pcaxis&amp;L=0" xr:uid="{00000000-0004-0000-2400-00006E000000}"/>
    <hyperlink ref="EJ89" r:id="rId112" display="http://estadisticas.mecd.gob.es/EducaJaxiPx/Tabla.htm?path=/Universitaria/Alumnado/EEU_2021/GradoCiclo/Matriculados//l0/&amp;file=Mat_GradCiclo_Sex_Edad(1)_Amb_Tot.px&amp;type=pcaxis&amp;L=0" xr:uid="{00000000-0004-0000-2400-00006F000000}"/>
    <hyperlink ref="EJ90" r:id="rId113" display="http://estadisticas.mecd.gob.es/EducaJaxiPx/Tabla.htm?path=/Universitaria/Alumnado/EEU_2021/GradoCiclo/Matriculados//l0/&amp;file=Mat_GradCiclo_Sex_Edad(1)_Amb_Tot.px&amp;type=pcaxis&amp;L=0" xr:uid="{00000000-0004-0000-2400-000070000000}"/>
    <hyperlink ref="EJ92" r:id="rId114" display="http://estadisticas.mecd.gob.es/EducaJaxiPx/Tabla.htm?path=/Universitaria/Alumnado/EEU_2021/GradoCiclo/Matriculados//l0/&amp;file=Mat_GradCiclo_Sex_Edad(1)_Amb_Tot.px&amp;type=pcaxis&amp;L=0" xr:uid="{00000000-0004-0000-2400-000071000000}"/>
    <hyperlink ref="EK91" r:id="rId115" display="http://estadisticas.mecd.gob.es/EducaJaxiPx/Tabla.htm?path=/Universitaria/Alumnado/EEU_2021/GradoCiclo/Matriculados//l0/&amp;file=Mat_GradCiclo_Sex_Edad(1)_Amb_Tot.px&amp;type=pcaxis&amp;L=0" xr:uid="{00000000-0004-0000-2400-000072000000}"/>
    <hyperlink ref="EJ91" r:id="rId116" display="http://estadisticas.mecd.gob.es/EducaJaxiPx/Tabla.htm?path=/Universitaria/Alumnado/EEU_2021/GradoCiclo/Matriculados//l0/&amp;file=Mat_GradCiclo_Sex_Edad(1)_Amb_Tot.px&amp;type=pcaxis&amp;L=0" xr:uid="{00000000-0004-0000-2400-000073000000}"/>
    <hyperlink ref="EJ87:EK87" r:id="rId117" display="http://estadisticas.mecd.gob.es/EducaJaxiPx/Tabla.htm?path=/Universitaria/Alumnado/EEU_2021/GradoCiclo/Matriculados//l0/&amp;file=Mat_GradCiclo_Sex_Edad(1)_Amb_Tot.px&amp;type=pcaxis&amp;L=0" xr:uid="{00000000-0004-0000-2400-000074000000}"/>
    <hyperlink ref="EL58:EM82" r:id="rId118" display="https://ceve.es/wp-content/uploads/2020/10/Informe-CEVE-2020-1.pdf" xr:uid="{00000000-0004-0000-2400-000075000000}"/>
    <hyperlink ref="EM87" r:id="rId119" display="https://ceve.es/wp-content/uploads/2020/10/Informe-CEVE-2020-1.pdf" xr:uid="{00000000-0004-0000-2400-000076000000}"/>
    <hyperlink ref="EN25:EP91" r:id="rId120" display="https://ceve.es/wp-content/uploads/2020/10/Informe-CEVE-2020-1.pdf" xr:uid="{00000000-0004-0000-2400-000077000000}"/>
    <hyperlink ref="EQ3" r:id="rId121" xr:uid="{00000000-0004-0000-2400-000078000000}"/>
    <hyperlink ref="ER67" r:id="rId122" display="../Zotero/storage/L72DEDH7/articulo.html" xr:uid="{00000000-0004-0000-2400-000079000000}"/>
    <hyperlink ref="Q75" r:id="rId123" display="https://www.ncbi.nlm.nih.gov/pmc/articles/PMC340187/" xr:uid="{00000000-0004-0000-2400-00007A000000}"/>
    <hyperlink ref="O75" r:id="rId124" display="https://www.ncbi.nlm.nih.gov/pmc/articles/PMC340187/" xr:uid="{00000000-0004-0000-2400-00007B000000}"/>
    <hyperlink ref="EV90" r:id="rId125" display="https://www.raadgevers.nl/wp-content/uploads/2018/06/Artikel-feminisering-en-ondernemerschap-site-Raadgevers.pdf" xr:uid="{00000000-0004-0000-2400-00007C000000}"/>
    <hyperlink ref="EW91" r:id="rId126" display="https://www.raadgevers.nl/wp-content/uploads/2018/06/Artikel-feminisering-en-ondernemerschap-site-Raadgevers.pdf" xr:uid="{00000000-0004-0000-2400-00007D000000}"/>
    <hyperlink ref="CQ2:CS2" r:id="rId127" display="Ghent Total Students" xr:uid="{00000000-0004-0000-2400-00007E000000}"/>
    <hyperlink ref="EX3" r:id="rId128" xr:uid="{00000000-0004-0000-2400-00007F000000}"/>
    <hyperlink ref="EY40" r:id="rId129" display="https://stud.epsilon.slu.se/14453/11/Wlosinska_J_190407.pdf" xr:uid="{00000000-0004-0000-2400-000080000000}"/>
    <hyperlink ref="EY52" r:id="rId130" display="https://stud.epsilon.slu.se/14453/11/Wlosinska_J_190407.pdf" xr:uid="{00000000-0004-0000-2400-000081000000}"/>
    <hyperlink ref="EY58" r:id="rId131" display="https://stud.epsilon.slu.se/14453/11/Wlosinska_J_190407.pdf" xr:uid="{00000000-0004-0000-2400-000082000000}"/>
    <hyperlink ref="EY72" r:id="rId132" display="https://stud.epsilon.slu.se/14453/11/Wlosinska_J_190407.pdf" xr:uid="{00000000-0004-0000-2400-000083000000}"/>
    <hyperlink ref="EY81" r:id="rId133" display="https://stud.epsilon.slu.se/14453/11/Wlosinska_J_190407.pdf" xr:uid="{00000000-0004-0000-2400-000084000000}"/>
    <hyperlink ref="EY90" r:id="rId134" display="https://stud.epsilon.slu.se/14453/11/Wlosinska_J_190407.pdf" xr:uid="{00000000-0004-0000-2400-000085000000}"/>
    <hyperlink ref="FE79" r:id="rId135" display="https://www.djoef-forlag.dk/openaccess/samf/samfdocs/2020/2020_1/Samf_7_1_2020.pdf" xr:uid="{00000000-0004-0000-2400-000086000000}"/>
    <hyperlink ref="FC86" r:id="rId136" display="https://jyllands-posten.dk/indland/article6901940.ece" xr:uid="{00000000-0004-0000-2400-000087000000}"/>
    <hyperlink ref="FD86" r:id="rId137" display="https://jyllands-posten.dk/indland/article6901940.ece" xr:uid="{00000000-0004-0000-2400-000088000000}"/>
    <hyperlink ref="FC88" r:id="rId138" display="https://jyllands-posten.dk/indland/article6901940.ece" xr:uid="{00000000-0004-0000-2400-000089000000}"/>
    <hyperlink ref="FD88" r:id="rId139" display="https://jyllands-posten.dk/indland/article6901940.ece" xr:uid="{00000000-0004-0000-2400-00008A000000}"/>
    <hyperlink ref="FD37" r:id="rId140" display="https://www.betænkninger.dk/wp-content/uploads/2021/02/504.pdf" xr:uid="{00000000-0004-0000-2400-00008B000000}"/>
    <hyperlink ref="FC37" r:id="rId141" display="https://www.betænkninger.dk/wp-content/uploads/2021/02/504.pdf" xr:uid="{00000000-0004-0000-2400-00008C000000}"/>
    <hyperlink ref="FF92" r:id="rId142" display="https://www.nmbu.no/fakultet/vet/aktuelt/node/38092" xr:uid="{00000000-0004-0000-2400-00008D000000}"/>
    <hyperlink ref="FG92" r:id="rId143" display="https://www.nmbu.no/fakultet/vet/aktuelt/node/38092" xr:uid="{00000000-0004-0000-2400-00008E000000}"/>
    <hyperlink ref="FF76" r:id="rId144" display="https://www.nationen.no/article/ni-av-ti-studenter-er-kvinner/" xr:uid="{00000000-0004-0000-2400-00008F000000}"/>
    <hyperlink ref="FF7" r:id="rId145" display="https://www.nationen.no/article/ni-av-ti-studenter-er-kvinner/" xr:uid="{00000000-0004-0000-2400-000090000000}"/>
    <hyperlink ref="FG7" r:id="rId146" display="https://www.nationen.no/article/ni-av-ti-studenter-er-kvinner/" xr:uid="{00000000-0004-0000-2400-000091000000}"/>
    <hyperlink ref="FG76" r:id="rId147" display="https://www.nationen.no/article/ni-av-ti-studenter-er-kvinner/" xr:uid="{00000000-0004-0000-2400-000092000000}"/>
    <hyperlink ref="FK79" r:id="rId148" display="https://universitas.no/sak/50498/vellykket-mannskvotering/" xr:uid="{00000000-0004-0000-2400-000093000000}"/>
    <hyperlink ref="FK42" r:id="rId149" display="https://universitas.no/sak/50498/vellykket-mannskvotering/" xr:uid="{00000000-0004-0000-2400-000094000000}"/>
    <hyperlink ref="FG75" r:id="rId150" display="https://www.nationen.no/article/ni-av-ti-studenter-er-kvinner/" xr:uid="{00000000-0004-0000-2400-000095000000}"/>
    <hyperlink ref="FF75" r:id="rId151" display="https://www.nationen.no/article/ni-av-ti-studenter-er-kvinner/" xr:uid="{00000000-0004-0000-2400-000096000000}"/>
    <hyperlink ref="FH89" r:id="rId152" display="https://www.nrk.no/norge/studier-med-skjev-kjonnsbalanse-kan-igjen-gi-tilleggspoeng-1.13895281" xr:uid="{00000000-0004-0000-2400-000097000000}"/>
    <hyperlink ref="FK62" r:id="rId153" display="https://www.nmbu.no/fakultet/vet/aktuelt/node/34782" xr:uid="{00000000-0004-0000-2400-000098000000}"/>
    <hyperlink ref="FH41" r:id="rId154" display="https://www.nmbu.no/download/file/fid/32021../Downloads/veterinaerstudiets_omslag_fra_mannsstudium_til_kvinnestudium_-_ide_til_forskningsprosjekt_-_revidert_2017.pdf" xr:uid="{00000000-0004-0000-2400-000099000000}"/>
    <hyperlink ref="FG41" r:id="rId155" display="https://www.nmbu.no/download/file/fid/32021../Downloads/veterinaerstudiets_omslag_fra_mannsstudium_til_kvinnestudium_-_ide_til_forskningsprosjekt_-_revidert_2017.pdf" xr:uid="{00000000-0004-0000-2400-00009A000000}"/>
    <hyperlink ref="FL85" r:id="rId156" display="https://www.rts.rs/page/stories/ci/story/124/drustvo/1299554/ima-li-mesta-za-zene-rukovodioce.html" xr:uid="{00000000-0004-0000-2400-00009B000000}"/>
    <hyperlink ref="Q55" r:id="rId157" display="https://veterina.com.hr/?p=65885" xr:uid="{00000000-0004-0000-2400-00009C000000}"/>
    <hyperlink ref="CX42" r:id="rId158" display="https://veterina.com.hr/?p=65885" xr:uid="{00000000-0004-0000-2400-00009D000000}"/>
    <hyperlink ref="CX54" r:id="rId159" display="https://veterina.com.hr/?p=65885" xr:uid="{00000000-0004-0000-2400-00009E000000}"/>
    <hyperlink ref="FV47" r:id="rId160" display="https://veterina.com.hr/?p=65885" xr:uid="{00000000-0004-0000-2400-00009F000000}"/>
    <hyperlink ref="FV26" r:id="rId161" display="https://veterina.com.hr/?p=65885" xr:uid="{00000000-0004-0000-2400-0000A0000000}"/>
    <hyperlink ref="FM40" r:id="rId162" display="https://veterina.com.hr/?p=65885" xr:uid="{00000000-0004-0000-2400-0000A1000000}"/>
    <hyperlink ref="FM41" r:id="rId163" display="https://veterina.com.hr/?p=65885" xr:uid="{00000000-0004-0000-2400-0000A2000000}"/>
    <hyperlink ref="FM42" r:id="rId164" display="https://veterina.com.hr/?p=65885" xr:uid="{00000000-0004-0000-2400-0000A3000000}"/>
    <hyperlink ref="FM43" r:id="rId165" display="https://veterina.com.hr/?p=65885" xr:uid="{00000000-0004-0000-2400-0000A4000000}"/>
    <hyperlink ref="FM44" r:id="rId166" display="https://veterina.com.hr/?p=65885" xr:uid="{00000000-0004-0000-2400-0000A5000000}"/>
    <hyperlink ref="FN40:FN44" r:id="rId167" display="https://veterina.com.hr/?p=65885" xr:uid="{00000000-0004-0000-2400-0000A6000000}"/>
    <hyperlink ref="FP44:FQ44" r:id="rId168" display="https://veterina.com.hr/?p=65885" xr:uid="{00000000-0004-0000-2400-0000A7000000}"/>
    <hyperlink ref="FO52" r:id="rId169" display="https://veterina.com.hr/?p=65885" xr:uid="{00000000-0004-0000-2400-0000A8000000}"/>
    <hyperlink ref="FO61" r:id="rId170" display="https://veterina.com.hr/?p=65885" xr:uid="{00000000-0004-0000-2400-0000A9000000}"/>
    <hyperlink ref="FS2" r:id="rId171" xr:uid="{00000000-0004-0000-2400-0000AA000000}"/>
    <hyperlink ref="FN4" r:id="rId172" display="https://veterina.com.hr/?p=65885" xr:uid="{00000000-0004-0000-2400-0000AB000000}"/>
    <hyperlink ref="FM2:FO2" r:id="rId173" display="Graduating Students" xr:uid="{00000000-0004-0000-2400-0000AC000000}"/>
    <hyperlink ref="FN7" r:id="rId174" display="https://veterina.com.hr/?p=65885" xr:uid="{00000000-0004-0000-2400-0000AD000000}"/>
    <hyperlink ref="FN11:FN12" r:id="rId175" display="https://veterina.com.hr/?p=65885" xr:uid="{00000000-0004-0000-2400-0000AE000000}"/>
    <hyperlink ref="FN60" r:id="rId176" display="https://veterina.com.hr/?p=65885" xr:uid="{00000000-0004-0000-2400-0000AF000000}"/>
    <hyperlink ref="FW90" r:id="rId177" display="https://www.agrarszektor.hu/karrier/mindjart-eldol-felvettek-e-az-allatorvosira.11190.html" xr:uid="{00000000-0004-0000-2400-0000B0000000}"/>
    <hyperlink ref="FW93" r:id="rId178" display="https://univet.hu/hu/2021/11/10/allatorvos-leszek-interju-dr-sotonyi-peterrel-a-petplace-magazinban/" xr:uid="{00000000-0004-0000-2400-0000B1000000}"/>
  </hyperlinks>
  <pageMargins left="0.7" right="0.7" top="0.75" bottom="0.75" header="0.3" footer="0.3"/>
  <pageSetup orientation="portrait" r:id="rId179"/>
  <drawing r:id="rId180"/>
  <legacyDrawing r:id="rId18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31" sqref="G31"/>
    </sheetView>
  </sheetViews>
  <sheetFormatPr defaultRowHeight="14.4"/>
  <cols>
    <col min="1" max="1" width="6.88671875" customWidth="1"/>
    <col min="2" max="11" width="8.88671875" style="1"/>
  </cols>
  <sheetData>
    <row r="1" spans="1:11">
      <c r="A1" s="55" t="s">
        <v>0</v>
      </c>
      <c r="B1" s="54" t="s">
        <v>30</v>
      </c>
      <c r="C1" s="54"/>
      <c r="D1" s="54"/>
      <c r="E1" s="54"/>
      <c r="F1" s="54"/>
      <c r="G1" s="54"/>
      <c r="H1" s="54"/>
      <c r="I1" s="54"/>
      <c r="J1" s="54"/>
      <c r="K1" s="54"/>
    </row>
    <row r="2" spans="1:11">
      <c r="A2" s="55"/>
      <c r="B2" s="26" t="s">
        <v>23</v>
      </c>
      <c r="C2" s="53" t="s">
        <v>31</v>
      </c>
      <c r="D2" s="53"/>
      <c r="E2" s="53"/>
      <c r="F2" s="53" t="s">
        <v>32</v>
      </c>
      <c r="G2" s="53"/>
      <c r="H2" s="53"/>
      <c r="I2" s="54" t="s">
        <v>16</v>
      </c>
      <c r="J2" s="54"/>
      <c r="K2" s="54"/>
    </row>
    <row r="3" spans="1:11">
      <c r="A3" s="55"/>
      <c r="B3" s="1" t="s">
        <v>33</v>
      </c>
      <c r="C3" s="1" t="s">
        <v>34</v>
      </c>
      <c r="D3" s="1" t="s">
        <v>35</v>
      </c>
      <c r="E3" s="1" t="s">
        <v>33</v>
      </c>
      <c r="F3" s="1" t="s">
        <v>34</v>
      </c>
      <c r="G3" s="1" t="s">
        <v>35</v>
      </c>
      <c r="H3" s="1" t="s">
        <v>33</v>
      </c>
      <c r="I3" s="1" t="s">
        <v>34</v>
      </c>
      <c r="J3" s="1" t="s">
        <v>35</v>
      </c>
      <c r="K3" s="1" t="s">
        <v>33</v>
      </c>
    </row>
    <row r="4" spans="1:11">
      <c r="A4" s="11">
        <v>2001</v>
      </c>
      <c r="B4" s="29"/>
      <c r="C4" s="1">
        <v>276</v>
      </c>
      <c r="D4" s="1">
        <v>230</v>
      </c>
      <c r="E4" s="1">
        <f t="shared" ref="E4:E18" si="0">D4/C4</f>
        <v>0.83333333333333337</v>
      </c>
      <c r="F4" s="1">
        <v>128</v>
      </c>
      <c r="G4" s="1">
        <v>94</v>
      </c>
      <c r="H4" s="29">
        <f>G4/F4</f>
        <v>0.734375</v>
      </c>
    </row>
    <row r="5" spans="1:11">
      <c r="A5" s="1">
        <v>2002</v>
      </c>
      <c r="B5" s="29"/>
      <c r="C5" s="1">
        <v>294</v>
      </c>
      <c r="D5" s="1">
        <v>250</v>
      </c>
      <c r="E5" s="1">
        <f t="shared" si="0"/>
        <v>0.85034013605442171</v>
      </c>
      <c r="F5" s="1">
        <v>147</v>
      </c>
      <c r="G5" s="1">
        <v>103</v>
      </c>
      <c r="H5" s="29">
        <f t="shared" ref="H5:H19" si="1">G5/F5</f>
        <v>0.70068027210884354</v>
      </c>
    </row>
    <row r="6" spans="1:11">
      <c r="A6" s="1">
        <v>2003</v>
      </c>
      <c r="B6" s="29"/>
      <c r="C6" s="1">
        <v>365</v>
      </c>
      <c r="D6" s="1">
        <v>310</v>
      </c>
      <c r="E6" s="1">
        <f t="shared" si="0"/>
        <v>0.84931506849315064</v>
      </c>
      <c r="F6" s="1">
        <v>139</v>
      </c>
      <c r="G6" s="1">
        <v>101</v>
      </c>
      <c r="H6" s="29">
        <f t="shared" si="1"/>
        <v>0.72661870503597126</v>
      </c>
    </row>
    <row r="7" spans="1:11">
      <c r="A7" s="1">
        <v>2004</v>
      </c>
      <c r="B7" s="29"/>
      <c r="C7" s="1">
        <v>354</v>
      </c>
      <c r="D7" s="1">
        <v>290</v>
      </c>
      <c r="E7" s="1">
        <f t="shared" si="0"/>
        <v>0.8192090395480226</v>
      </c>
      <c r="F7" s="1">
        <v>103</v>
      </c>
      <c r="G7" s="1">
        <v>68</v>
      </c>
      <c r="H7" s="29">
        <f t="shared" si="1"/>
        <v>0.66019417475728159</v>
      </c>
    </row>
    <row r="8" spans="1:11">
      <c r="A8" s="1">
        <v>2005</v>
      </c>
      <c r="B8" s="29"/>
      <c r="C8" s="1">
        <v>214</v>
      </c>
      <c r="D8" s="1">
        <v>187</v>
      </c>
      <c r="E8" s="1">
        <f t="shared" si="0"/>
        <v>0.87383177570093462</v>
      </c>
      <c r="F8" s="1">
        <v>203</v>
      </c>
      <c r="G8" s="1">
        <v>161</v>
      </c>
      <c r="H8" s="29">
        <f t="shared" si="1"/>
        <v>0.7931034482758621</v>
      </c>
    </row>
    <row r="9" spans="1:11">
      <c r="A9" s="1">
        <v>2006</v>
      </c>
      <c r="B9" s="29"/>
      <c r="C9" s="1">
        <v>194</v>
      </c>
      <c r="D9" s="1">
        <v>161</v>
      </c>
      <c r="E9" s="1">
        <f t="shared" si="0"/>
        <v>0.82989690721649489</v>
      </c>
      <c r="F9" s="1">
        <v>189</v>
      </c>
      <c r="G9" s="1">
        <v>160</v>
      </c>
      <c r="H9" s="29">
        <f t="shared" si="1"/>
        <v>0.84656084656084651</v>
      </c>
    </row>
    <row r="10" spans="1:11">
      <c r="A10" s="1">
        <v>2007</v>
      </c>
      <c r="B10" s="29"/>
      <c r="C10" s="1">
        <v>185</v>
      </c>
      <c r="D10" s="1">
        <v>162</v>
      </c>
      <c r="E10" s="1">
        <f t="shared" si="0"/>
        <v>0.87567567567567572</v>
      </c>
      <c r="F10" s="1">
        <v>132</v>
      </c>
      <c r="G10" s="1">
        <v>113</v>
      </c>
      <c r="H10" s="29">
        <f t="shared" si="1"/>
        <v>0.85606060606060608</v>
      </c>
    </row>
    <row r="11" spans="1:11">
      <c r="A11" s="1">
        <v>2008</v>
      </c>
      <c r="B11" s="29"/>
      <c r="C11" s="1">
        <v>201</v>
      </c>
      <c r="D11" s="1">
        <v>164</v>
      </c>
      <c r="E11" s="1">
        <f t="shared" si="0"/>
        <v>0.8159203980099502</v>
      </c>
      <c r="F11" s="1">
        <v>85</v>
      </c>
      <c r="G11" s="1">
        <v>72</v>
      </c>
      <c r="H11" s="29">
        <f t="shared" si="1"/>
        <v>0.84705882352941175</v>
      </c>
    </row>
    <row r="12" spans="1:11">
      <c r="A12" s="1">
        <v>2009</v>
      </c>
      <c r="B12" s="29"/>
      <c r="C12" s="1">
        <v>174</v>
      </c>
      <c r="D12" s="1">
        <v>139</v>
      </c>
      <c r="E12" s="1">
        <f t="shared" si="0"/>
        <v>0.79885057471264365</v>
      </c>
      <c r="F12" s="1">
        <v>119</v>
      </c>
      <c r="G12" s="1">
        <v>89</v>
      </c>
      <c r="H12" s="29">
        <f t="shared" si="1"/>
        <v>0.74789915966386555</v>
      </c>
    </row>
    <row r="13" spans="1:11">
      <c r="A13" s="1">
        <v>2010</v>
      </c>
      <c r="B13" s="29"/>
      <c r="C13" s="1">
        <v>199</v>
      </c>
      <c r="D13" s="1">
        <v>162</v>
      </c>
      <c r="E13" s="1">
        <f t="shared" si="0"/>
        <v>0.81407035175879394</v>
      </c>
      <c r="F13" s="1">
        <v>174</v>
      </c>
      <c r="G13" s="1">
        <v>149</v>
      </c>
      <c r="H13" s="29">
        <f t="shared" si="1"/>
        <v>0.85632183908045978</v>
      </c>
    </row>
    <row r="14" spans="1:11">
      <c r="A14" s="1">
        <v>2011</v>
      </c>
      <c r="B14" s="29"/>
      <c r="C14" s="1">
        <v>219</v>
      </c>
      <c r="D14" s="1">
        <v>165</v>
      </c>
      <c r="E14" s="1">
        <f t="shared" si="0"/>
        <v>0.75342465753424659</v>
      </c>
      <c r="F14" s="1">
        <v>176</v>
      </c>
      <c r="G14" s="1">
        <v>145</v>
      </c>
      <c r="H14" s="29">
        <f t="shared" si="1"/>
        <v>0.82386363636363635</v>
      </c>
    </row>
    <row r="15" spans="1:11">
      <c r="A15" s="1">
        <v>2012</v>
      </c>
      <c r="B15" s="29"/>
      <c r="C15" s="1">
        <v>211</v>
      </c>
      <c r="D15" s="1">
        <v>162</v>
      </c>
      <c r="E15" s="1">
        <f t="shared" si="0"/>
        <v>0.76777251184834128</v>
      </c>
      <c r="F15" s="1">
        <v>163</v>
      </c>
      <c r="G15" s="1">
        <v>143</v>
      </c>
      <c r="H15" s="29">
        <f t="shared" si="1"/>
        <v>0.87730061349693256</v>
      </c>
    </row>
    <row r="16" spans="1:11">
      <c r="A16" s="1">
        <v>2013</v>
      </c>
      <c r="B16" s="29"/>
      <c r="C16" s="1">
        <v>215</v>
      </c>
      <c r="D16" s="1">
        <v>174</v>
      </c>
      <c r="E16" s="1">
        <f t="shared" si="0"/>
        <v>0.80930232558139537</v>
      </c>
      <c r="F16" s="1">
        <v>152</v>
      </c>
      <c r="G16" s="1">
        <v>130</v>
      </c>
      <c r="H16" s="29">
        <f t="shared" si="1"/>
        <v>0.85526315789473684</v>
      </c>
    </row>
    <row r="17" spans="1:11">
      <c r="A17" s="1">
        <v>2014</v>
      </c>
      <c r="B17" s="30">
        <v>0.53</v>
      </c>
      <c r="C17" s="1">
        <v>196</v>
      </c>
      <c r="D17" s="1">
        <v>155</v>
      </c>
      <c r="E17" s="1">
        <f t="shared" si="0"/>
        <v>0.79081632653061229</v>
      </c>
      <c r="F17" s="1">
        <v>118</v>
      </c>
      <c r="G17" s="1">
        <v>104</v>
      </c>
      <c r="H17" s="29">
        <f t="shared" si="1"/>
        <v>0.88135593220338981</v>
      </c>
    </row>
    <row r="18" spans="1:11">
      <c r="A18" s="1">
        <v>2015</v>
      </c>
      <c r="B18" s="29"/>
      <c r="C18" s="1">
        <v>208</v>
      </c>
      <c r="D18" s="1">
        <v>154</v>
      </c>
      <c r="E18" s="1">
        <f t="shared" si="0"/>
        <v>0.74038461538461542</v>
      </c>
      <c r="F18" s="1">
        <v>158</v>
      </c>
      <c r="G18" s="1">
        <v>130</v>
      </c>
      <c r="H18" s="29">
        <f t="shared" si="1"/>
        <v>0.82278481012658233</v>
      </c>
    </row>
    <row r="19" spans="1:11">
      <c r="A19" s="1">
        <v>2016</v>
      </c>
      <c r="B19" s="29"/>
      <c r="C19" s="1">
        <v>192</v>
      </c>
      <c r="D19" s="1">
        <v>161</v>
      </c>
      <c r="E19" s="1">
        <f>D19/C19</f>
        <v>0.83854166666666663</v>
      </c>
      <c r="F19" s="1">
        <v>156</v>
      </c>
      <c r="G19" s="1">
        <v>123</v>
      </c>
      <c r="H19" s="29">
        <f t="shared" si="1"/>
        <v>0.78846153846153844</v>
      </c>
    </row>
    <row r="20" spans="1:11">
      <c r="A20" s="1">
        <v>2017</v>
      </c>
      <c r="B20" s="29">
        <v>0.57999999999999996</v>
      </c>
      <c r="I20" s="1">
        <f>J20+515</f>
        <v>2409</v>
      </c>
      <c r="J20" s="1">
        <v>1894</v>
      </c>
      <c r="K20" s="29">
        <f t="shared" ref="K20:K25" si="2">J20/I20</f>
        <v>0.78621834786218348</v>
      </c>
    </row>
    <row r="21" spans="1:11">
      <c r="A21" s="1">
        <v>2018</v>
      </c>
      <c r="B21" s="30">
        <v>0.57999999999999996</v>
      </c>
      <c r="I21" s="1">
        <f>J21+506</f>
        <v>2338</v>
      </c>
      <c r="J21" s="1">
        <v>1832</v>
      </c>
      <c r="K21" s="29">
        <f t="shared" si="2"/>
        <v>0.78357570573139435</v>
      </c>
    </row>
    <row r="22" spans="1:11">
      <c r="A22" s="1">
        <v>2019</v>
      </c>
      <c r="B22" s="29"/>
      <c r="I22" s="1">
        <f>J22+531</f>
        <v>2423</v>
      </c>
      <c r="J22" s="1">
        <v>1892</v>
      </c>
      <c r="K22" s="29">
        <f t="shared" si="2"/>
        <v>0.78085018572018161</v>
      </c>
    </row>
    <row r="23" spans="1:11">
      <c r="A23" s="1">
        <v>2020</v>
      </c>
      <c r="B23" s="29"/>
      <c r="I23" s="3">
        <f>J23+531</f>
        <v>2467</v>
      </c>
      <c r="J23" s="3">
        <v>1936</v>
      </c>
      <c r="K23" s="29">
        <f>J23/I23</f>
        <v>0.7847588163761654</v>
      </c>
    </row>
    <row r="24" spans="1:11">
      <c r="A24" s="1">
        <v>2021</v>
      </c>
      <c r="B24" s="29"/>
      <c r="I24" s="1">
        <f>J24+517</f>
        <v>2502</v>
      </c>
      <c r="J24" s="1">
        <v>1985</v>
      </c>
      <c r="K24" s="29">
        <f t="shared" si="2"/>
        <v>0.79336530775379699</v>
      </c>
    </row>
    <row r="25" spans="1:11">
      <c r="A25" s="1">
        <v>2022</v>
      </c>
      <c r="B25" s="29"/>
      <c r="I25" s="1">
        <f>J25+556</f>
        <v>2513</v>
      </c>
      <c r="J25" s="1">
        <v>1957</v>
      </c>
      <c r="K25" s="29">
        <f t="shared" si="2"/>
        <v>0.77875049741345004</v>
      </c>
    </row>
    <row r="26" spans="1:11">
      <c r="A26" s="1">
        <v>2023</v>
      </c>
      <c r="B26" s="30">
        <v>0.66</v>
      </c>
    </row>
    <row r="27" spans="1:11">
      <c r="A27" s="1">
        <v>2024</v>
      </c>
      <c r="B27" s="29"/>
    </row>
    <row r="28" spans="1:11">
      <c r="B28" s="29"/>
    </row>
    <row r="29" spans="1:11">
      <c r="B29" s="29"/>
    </row>
    <row r="30" spans="1:11">
      <c r="B30" s="29"/>
    </row>
  </sheetData>
  <mergeCells count="5">
    <mergeCell ref="A1:A3"/>
    <mergeCell ref="B1:K1"/>
    <mergeCell ref="C2:E2"/>
    <mergeCell ref="F2:H2"/>
    <mergeCell ref="I2:K2"/>
  </mergeCells>
  <hyperlinks>
    <hyperlink ref="B1" r:id="rId1" xr:uid="{00000000-0004-0000-0300-000000000000}"/>
    <hyperlink ref="I2:K2" r:id="rId2" display="Total Students" xr:uid="{00000000-0004-0000-0300-000001000000}"/>
    <hyperlink ref="B17" r:id="rId3" display="https://www.colvet.es/files/portalcontenidos/documentos/document-2022-02-09t112347.069.pdf" xr:uid="{78B3E59F-89FD-4489-AEE3-BD82FC6EBBAE}"/>
    <hyperlink ref="B21" r:id="rId4" display="https://www.fve.org/cms/wp-content/uploads/FVE_Survey_2018_WEB.pdf" xr:uid="{8C4E10A4-37BA-4403-8A7D-866B2C02B3EC}"/>
    <hyperlink ref="B26" r:id="rId5" display="https://fve.org/cms/wp-content/uploads/FVE-Survey-2023_updated-v3.pdf" xr:uid="{10F834D7-D617-4963-A5DF-725D392BDC64}"/>
  </hyperlinks>
  <pageMargins left="0.7" right="0.7" top="0.75" bottom="0.75" header="0.3" footer="0.3"/>
  <legacy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95"/>
  <sheetViews>
    <sheetView zoomScaleNormal="100" workbookViewId="0">
      <pane xSplit="1" ySplit="3" topLeftCell="B77" activePane="bottomRight" state="frozen"/>
      <selection pane="topRight" activeCell="B1" sqref="B1"/>
      <selection pane="bottomLeft" activeCell="A4" sqref="A4"/>
      <selection pane="bottomRight" activeCell="H98" sqref="H98"/>
    </sheetView>
  </sheetViews>
  <sheetFormatPr defaultRowHeight="14.4"/>
  <cols>
    <col min="1" max="1" width="6.88671875" customWidth="1"/>
    <col min="2" max="5" width="8.88671875" style="1"/>
  </cols>
  <sheetData>
    <row r="1" spans="1:6">
      <c r="A1" s="55" t="s">
        <v>0</v>
      </c>
      <c r="B1" s="53" t="s">
        <v>36</v>
      </c>
      <c r="C1" s="53"/>
      <c r="D1" s="53"/>
      <c r="E1" s="53"/>
      <c r="F1" s="53"/>
    </row>
    <row r="2" spans="1:6">
      <c r="A2" s="55"/>
      <c r="B2" s="15" t="s">
        <v>37</v>
      </c>
      <c r="C2" s="54" t="s">
        <v>38</v>
      </c>
      <c r="D2" s="54"/>
      <c r="E2" s="54"/>
      <c r="F2" t="s">
        <v>23</v>
      </c>
    </row>
    <row r="3" spans="1:6">
      <c r="A3" s="55"/>
      <c r="B3" s="1" t="s">
        <v>3</v>
      </c>
      <c r="C3" s="1" t="s">
        <v>34</v>
      </c>
      <c r="D3" s="1" t="s">
        <v>35</v>
      </c>
      <c r="E3" s="1" t="s">
        <v>33</v>
      </c>
      <c r="F3" s="1" t="s">
        <v>33</v>
      </c>
    </row>
    <row r="4" spans="1:6">
      <c r="A4" s="1">
        <v>1933</v>
      </c>
      <c r="C4" s="1">
        <v>12</v>
      </c>
      <c r="D4" s="1">
        <v>0</v>
      </c>
      <c r="E4" s="29">
        <f>D4/C4</f>
        <v>0</v>
      </c>
    </row>
    <row r="5" spans="1:6">
      <c r="A5" s="1">
        <v>1934</v>
      </c>
      <c r="C5" s="1">
        <v>26</v>
      </c>
      <c r="D5" s="1">
        <v>0</v>
      </c>
      <c r="E5" s="29">
        <f t="shared" ref="E5:E68" si="0">D5/C5</f>
        <v>0</v>
      </c>
    </row>
    <row r="6" spans="1:6">
      <c r="A6" s="1">
        <v>1935</v>
      </c>
      <c r="C6" s="1">
        <v>36</v>
      </c>
      <c r="D6" s="1">
        <v>0</v>
      </c>
      <c r="E6" s="29">
        <f t="shared" si="0"/>
        <v>0</v>
      </c>
    </row>
    <row r="7" spans="1:6">
      <c r="A7" s="1">
        <v>1936</v>
      </c>
      <c r="C7" s="1">
        <v>53</v>
      </c>
      <c r="D7" s="1">
        <v>1</v>
      </c>
      <c r="E7" s="29">
        <f t="shared" si="0"/>
        <v>1.8867924528301886E-2</v>
      </c>
    </row>
    <row r="8" spans="1:6">
      <c r="A8" s="1">
        <v>1937</v>
      </c>
      <c r="C8" s="1">
        <v>50</v>
      </c>
      <c r="D8" s="1">
        <v>0</v>
      </c>
      <c r="E8" s="29">
        <f t="shared" si="0"/>
        <v>0</v>
      </c>
    </row>
    <row r="9" spans="1:6">
      <c r="A9" s="1">
        <v>1938</v>
      </c>
      <c r="C9" s="1">
        <v>58</v>
      </c>
      <c r="D9" s="1">
        <v>0</v>
      </c>
      <c r="E9" s="29">
        <f t="shared" si="0"/>
        <v>0</v>
      </c>
    </row>
    <row r="10" spans="1:6">
      <c r="A10" s="1">
        <v>1939</v>
      </c>
      <c r="C10" s="1">
        <v>58</v>
      </c>
      <c r="D10" s="1">
        <v>0</v>
      </c>
      <c r="E10" s="29">
        <f t="shared" si="0"/>
        <v>0</v>
      </c>
    </row>
    <row r="11" spans="1:6">
      <c r="A11" s="1">
        <v>1940</v>
      </c>
      <c r="C11" s="1">
        <v>62</v>
      </c>
      <c r="D11" s="1">
        <v>0</v>
      </c>
      <c r="E11" s="29">
        <f t="shared" si="0"/>
        <v>0</v>
      </c>
    </row>
    <row r="12" spans="1:6">
      <c r="A12" s="1">
        <v>1941</v>
      </c>
      <c r="C12" s="1">
        <v>62</v>
      </c>
      <c r="D12" s="1">
        <v>0</v>
      </c>
      <c r="E12" s="29">
        <f t="shared" si="0"/>
        <v>0</v>
      </c>
    </row>
    <row r="13" spans="1:6">
      <c r="A13" s="1">
        <v>1942</v>
      </c>
      <c r="C13" s="1">
        <v>57</v>
      </c>
      <c r="D13" s="1">
        <v>0</v>
      </c>
      <c r="E13" s="29">
        <f t="shared" si="0"/>
        <v>0</v>
      </c>
    </row>
    <row r="14" spans="1:6">
      <c r="A14" s="1">
        <v>1943</v>
      </c>
      <c r="C14" s="1">
        <v>65</v>
      </c>
      <c r="D14" s="1">
        <v>0</v>
      </c>
      <c r="E14" s="29">
        <f t="shared" si="0"/>
        <v>0</v>
      </c>
    </row>
    <row r="15" spans="1:6">
      <c r="A15" s="1">
        <v>1944</v>
      </c>
      <c r="C15" s="1">
        <v>95</v>
      </c>
      <c r="D15" s="1">
        <v>1</v>
      </c>
      <c r="E15" s="29">
        <f t="shared" si="0"/>
        <v>1.0526315789473684E-2</v>
      </c>
    </row>
    <row r="16" spans="1:6">
      <c r="A16" s="1">
        <v>1945</v>
      </c>
      <c r="C16" s="1">
        <v>68</v>
      </c>
      <c r="D16" s="1">
        <v>0</v>
      </c>
      <c r="E16" s="29">
        <f t="shared" si="0"/>
        <v>0</v>
      </c>
    </row>
    <row r="17" spans="1:5">
      <c r="A17" s="1">
        <v>1946</v>
      </c>
      <c r="C17" s="1">
        <v>70</v>
      </c>
      <c r="D17" s="1">
        <v>0</v>
      </c>
      <c r="E17" s="29">
        <f t="shared" si="0"/>
        <v>0</v>
      </c>
    </row>
    <row r="18" spans="1:5">
      <c r="A18" s="1">
        <v>1947</v>
      </c>
      <c r="C18" s="1">
        <v>71</v>
      </c>
      <c r="D18" s="1">
        <v>0</v>
      </c>
      <c r="E18" s="29">
        <f t="shared" si="0"/>
        <v>0</v>
      </c>
    </row>
    <row r="19" spans="1:5">
      <c r="A19" s="1">
        <v>1948</v>
      </c>
      <c r="C19" s="1">
        <v>75</v>
      </c>
      <c r="D19" s="1">
        <v>1</v>
      </c>
      <c r="E19" s="29">
        <f t="shared" si="0"/>
        <v>1.3333333333333334E-2</v>
      </c>
    </row>
    <row r="20" spans="1:5">
      <c r="A20" s="1">
        <v>1949</v>
      </c>
      <c r="C20" s="1">
        <v>74</v>
      </c>
      <c r="D20" s="1">
        <v>0</v>
      </c>
      <c r="E20" s="29">
        <f t="shared" si="0"/>
        <v>0</v>
      </c>
    </row>
    <row r="21" spans="1:5">
      <c r="A21" s="1">
        <v>1950</v>
      </c>
      <c r="C21" s="1">
        <v>80</v>
      </c>
      <c r="D21" s="1">
        <v>1</v>
      </c>
      <c r="E21" s="29">
        <f t="shared" si="0"/>
        <v>1.2500000000000001E-2</v>
      </c>
    </row>
    <row r="22" spans="1:5">
      <c r="A22" s="1">
        <v>1951</v>
      </c>
      <c r="C22" s="1">
        <v>79</v>
      </c>
      <c r="D22" s="1">
        <v>1</v>
      </c>
      <c r="E22" s="29">
        <f t="shared" si="0"/>
        <v>1.2658227848101266E-2</v>
      </c>
    </row>
    <row r="23" spans="1:5">
      <c r="A23" s="1">
        <v>1952</v>
      </c>
      <c r="C23" s="1">
        <v>77</v>
      </c>
      <c r="D23" s="1">
        <v>1</v>
      </c>
      <c r="E23" s="29">
        <f t="shared" si="0"/>
        <v>1.2987012987012988E-2</v>
      </c>
    </row>
    <row r="24" spans="1:5">
      <c r="A24" s="1">
        <v>1953</v>
      </c>
      <c r="C24" s="1">
        <v>82</v>
      </c>
      <c r="D24" s="1">
        <v>1</v>
      </c>
      <c r="E24" s="29">
        <f t="shared" si="0"/>
        <v>1.2195121951219513E-2</v>
      </c>
    </row>
    <row r="25" spans="1:5">
      <c r="A25" s="1">
        <v>1954</v>
      </c>
      <c r="C25" s="1">
        <v>83</v>
      </c>
      <c r="D25" s="1">
        <v>1</v>
      </c>
      <c r="E25" s="29">
        <f t="shared" si="0"/>
        <v>1.2048192771084338E-2</v>
      </c>
    </row>
    <row r="26" spans="1:5">
      <c r="A26" s="1">
        <v>1955</v>
      </c>
      <c r="C26" s="1">
        <v>95</v>
      </c>
      <c r="D26" s="1">
        <v>1</v>
      </c>
      <c r="E26" s="29">
        <f t="shared" si="0"/>
        <v>1.0526315789473684E-2</v>
      </c>
    </row>
    <row r="27" spans="1:5">
      <c r="A27" s="1">
        <v>1956</v>
      </c>
      <c r="C27" s="1">
        <v>98</v>
      </c>
      <c r="D27" s="1">
        <v>1</v>
      </c>
      <c r="E27" s="29">
        <f t="shared" si="0"/>
        <v>1.020408163265306E-2</v>
      </c>
    </row>
    <row r="28" spans="1:5">
      <c r="A28" s="1">
        <v>1957</v>
      </c>
      <c r="C28" s="1">
        <v>107</v>
      </c>
      <c r="D28" s="1">
        <v>1</v>
      </c>
      <c r="E28" s="29">
        <f t="shared" si="0"/>
        <v>9.3457943925233638E-3</v>
      </c>
    </row>
    <row r="29" spans="1:5">
      <c r="A29" s="1">
        <v>1958</v>
      </c>
      <c r="C29" s="1">
        <v>103</v>
      </c>
      <c r="D29" s="1">
        <v>0</v>
      </c>
      <c r="E29" s="29">
        <f t="shared" si="0"/>
        <v>0</v>
      </c>
    </row>
    <row r="30" spans="1:5">
      <c r="A30" s="1">
        <v>1959</v>
      </c>
      <c r="C30" s="1">
        <v>97</v>
      </c>
      <c r="D30" s="1">
        <v>0</v>
      </c>
      <c r="E30" s="29">
        <f t="shared" si="0"/>
        <v>0</v>
      </c>
    </row>
    <row r="31" spans="1:5">
      <c r="A31" s="1">
        <v>1960</v>
      </c>
      <c r="C31" s="1">
        <v>99</v>
      </c>
      <c r="D31" s="1">
        <v>0</v>
      </c>
      <c r="E31" s="29">
        <f t="shared" si="0"/>
        <v>0</v>
      </c>
    </row>
    <row r="32" spans="1:5">
      <c r="A32" s="1">
        <v>1961</v>
      </c>
      <c r="C32" s="1">
        <v>103</v>
      </c>
      <c r="D32" s="1">
        <v>1</v>
      </c>
      <c r="E32" s="29">
        <f t="shared" si="0"/>
        <v>9.7087378640776691E-3</v>
      </c>
    </row>
    <row r="33" spans="1:5">
      <c r="A33" s="1">
        <v>1962</v>
      </c>
      <c r="C33" s="1">
        <v>93</v>
      </c>
      <c r="D33" s="1">
        <v>1</v>
      </c>
      <c r="E33" s="29">
        <f t="shared" si="0"/>
        <v>1.0752688172043012E-2</v>
      </c>
    </row>
    <row r="34" spans="1:5">
      <c r="A34" s="1">
        <v>1963</v>
      </c>
      <c r="C34" s="1">
        <v>96</v>
      </c>
      <c r="D34" s="1">
        <v>1</v>
      </c>
      <c r="E34" s="29">
        <f t="shared" si="0"/>
        <v>1.0416666666666666E-2</v>
      </c>
    </row>
    <row r="35" spans="1:5">
      <c r="A35" s="1">
        <v>1964</v>
      </c>
      <c r="C35" s="1">
        <v>88</v>
      </c>
      <c r="D35" s="1">
        <v>1</v>
      </c>
      <c r="E35" s="29">
        <f t="shared" si="0"/>
        <v>1.1363636363636364E-2</v>
      </c>
    </row>
    <row r="36" spans="1:5">
      <c r="A36" s="1">
        <v>1965</v>
      </c>
      <c r="C36" s="1">
        <v>95</v>
      </c>
      <c r="D36" s="1">
        <v>1</v>
      </c>
      <c r="E36" s="29">
        <f t="shared" si="0"/>
        <v>1.0526315789473684E-2</v>
      </c>
    </row>
    <row r="37" spans="1:5">
      <c r="A37" s="1">
        <v>1966</v>
      </c>
      <c r="C37" s="1">
        <v>104</v>
      </c>
      <c r="D37" s="1">
        <v>3</v>
      </c>
      <c r="E37" s="29">
        <f t="shared" si="0"/>
        <v>2.8846153846153848E-2</v>
      </c>
    </row>
    <row r="38" spans="1:5">
      <c r="A38" s="1">
        <v>1967</v>
      </c>
      <c r="C38" s="1">
        <v>145</v>
      </c>
      <c r="D38" s="1">
        <v>5</v>
      </c>
      <c r="E38" s="29">
        <f t="shared" si="0"/>
        <v>3.4482758620689655E-2</v>
      </c>
    </row>
    <row r="39" spans="1:5">
      <c r="A39" s="1">
        <v>1968</v>
      </c>
      <c r="C39" s="1">
        <v>188</v>
      </c>
      <c r="D39" s="1">
        <v>8</v>
      </c>
      <c r="E39" s="29">
        <f t="shared" si="0"/>
        <v>4.2553191489361701E-2</v>
      </c>
    </row>
    <row r="40" spans="1:5">
      <c r="A40" s="1">
        <v>1969</v>
      </c>
      <c r="C40" s="1">
        <v>246</v>
      </c>
      <c r="D40" s="1">
        <v>13</v>
      </c>
      <c r="E40" s="29">
        <f t="shared" si="0"/>
        <v>5.2845528455284556E-2</v>
      </c>
    </row>
    <row r="41" spans="1:5">
      <c r="A41" s="1">
        <v>1970</v>
      </c>
      <c r="C41" s="1">
        <v>545</v>
      </c>
      <c r="D41" s="1">
        <v>45</v>
      </c>
      <c r="E41" s="29">
        <f t="shared" si="0"/>
        <v>8.2568807339449546E-2</v>
      </c>
    </row>
    <row r="42" spans="1:5">
      <c r="A42" s="1">
        <v>1971</v>
      </c>
      <c r="C42" s="1">
        <v>713</v>
      </c>
      <c r="D42" s="1">
        <v>59</v>
      </c>
      <c r="E42" s="29">
        <f t="shared" si="0"/>
        <v>8.2748948106591863E-2</v>
      </c>
    </row>
    <row r="43" spans="1:5">
      <c r="A43" s="1">
        <v>1972</v>
      </c>
      <c r="C43" s="1">
        <v>660</v>
      </c>
      <c r="D43" s="1">
        <v>61</v>
      </c>
      <c r="E43" s="29">
        <f t="shared" si="0"/>
        <v>9.2424242424242423E-2</v>
      </c>
    </row>
    <row r="44" spans="1:5">
      <c r="A44" s="1">
        <v>1973</v>
      </c>
      <c r="C44" s="1">
        <v>625</v>
      </c>
      <c r="D44" s="1">
        <v>71</v>
      </c>
      <c r="E44" s="29">
        <f t="shared" si="0"/>
        <v>0.11360000000000001</v>
      </c>
    </row>
    <row r="45" spans="1:5">
      <c r="A45" s="1">
        <v>1974</v>
      </c>
      <c r="C45" s="1">
        <v>681</v>
      </c>
      <c r="D45" s="1">
        <v>98</v>
      </c>
      <c r="E45" s="29">
        <f t="shared" si="0"/>
        <v>0.14390602055800295</v>
      </c>
    </row>
    <row r="46" spans="1:5">
      <c r="A46" s="1">
        <v>1975</v>
      </c>
      <c r="C46" s="1">
        <v>714</v>
      </c>
      <c r="D46" s="1">
        <v>114</v>
      </c>
      <c r="E46" s="29">
        <f t="shared" si="0"/>
        <v>0.15966386554621848</v>
      </c>
    </row>
    <row r="47" spans="1:5">
      <c r="A47" s="1">
        <v>1976</v>
      </c>
      <c r="C47" s="1">
        <v>794</v>
      </c>
      <c r="D47" s="1">
        <v>158</v>
      </c>
      <c r="E47" s="29">
        <f t="shared" si="0"/>
        <v>0.19899244332493704</v>
      </c>
    </row>
    <row r="48" spans="1:5">
      <c r="A48" s="1">
        <v>1977</v>
      </c>
      <c r="C48" s="1">
        <v>833</v>
      </c>
      <c r="D48" s="1">
        <v>187</v>
      </c>
      <c r="E48" s="29">
        <f t="shared" si="0"/>
        <v>0.22448979591836735</v>
      </c>
    </row>
    <row r="49" spans="1:6">
      <c r="A49" s="11">
        <v>1978</v>
      </c>
      <c r="C49" s="1">
        <v>798</v>
      </c>
      <c r="D49" s="1">
        <v>170</v>
      </c>
      <c r="E49" s="29">
        <f t="shared" si="0"/>
        <v>0.21303258145363407</v>
      </c>
    </row>
    <row r="50" spans="1:6">
      <c r="A50" s="11">
        <v>1979</v>
      </c>
      <c r="C50" s="1">
        <v>830</v>
      </c>
      <c r="D50" s="1">
        <v>188</v>
      </c>
      <c r="E50" s="29">
        <f t="shared" si="0"/>
        <v>0.22650602409638554</v>
      </c>
    </row>
    <row r="51" spans="1:6">
      <c r="A51" s="11">
        <v>1980</v>
      </c>
      <c r="C51" s="1">
        <v>856</v>
      </c>
      <c r="D51" s="1">
        <v>215</v>
      </c>
      <c r="E51" s="29">
        <f t="shared" si="0"/>
        <v>0.25116822429906543</v>
      </c>
    </row>
    <row r="52" spans="1:6">
      <c r="A52" s="11">
        <v>1981</v>
      </c>
      <c r="C52" s="1">
        <v>890</v>
      </c>
      <c r="D52" s="1">
        <v>248</v>
      </c>
      <c r="E52" s="29">
        <f t="shared" si="0"/>
        <v>0.27865168539325841</v>
      </c>
    </row>
    <row r="53" spans="1:6">
      <c r="A53" s="11">
        <v>1982</v>
      </c>
      <c r="C53" s="1">
        <v>880</v>
      </c>
      <c r="D53" s="1">
        <v>286</v>
      </c>
      <c r="E53" s="29">
        <f t="shared" si="0"/>
        <v>0.32500000000000001</v>
      </c>
    </row>
    <row r="54" spans="1:6">
      <c r="A54" s="11">
        <v>1983</v>
      </c>
      <c r="C54" s="1">
        <v>872</v>
      </c>
      <c r="D54" s="1">
        <v>300</v>
      </c>
      <c r="E54" s="29">
        <f t="shared" si="0"/>
        <v>0.34403669724770641</v>
      </c>
      <c r="F54" s="33"/>
    </row>
    <row r="55" spans="1:6">
      <c r="A55" s="11">
        <v>1984</v>
      </c>
      <c r="C55" s="1">
        <v>866</v>
      </c>
      <c r="D55" s="1">
        <v>304</v>
      </c>
      <c r="E55" s="29">
        <f t="shared" si="0"/>
        <v>0.3510392609699769</v>
      </c>
      <c r="F55" s="33"/>
    </row>
    <row r="56" spans="1:6">
      <c r="A56" s="11">
        <v>1985</v>
      </c>
      <c r="C56" s="1">
        <v>819</v>
      </c>
      <c r="D56" s="1">
        <v>304</v>
      </c>
      <c r="E56" s="29">
        <f t="shared" si="0"/>
        <v>0.3711843711843712</v>
      </c>
      <c r="F56" s="33"/>
    </row>
    <row r="57" spans="1:6">
      <c r="A57" s="11">
        <v>1986</v>
      </c>
      <c r="C57" s="1">
        <v>781</v>
      </c>
      <c r="D57" s="1">
        <v>291</v>
      </c>
      <c r="E57" s="29">
        <f t="shared" si="0"/>
        <v>0.37259923175416132</v>
      </c>
      <c r="F57" s="33"/>
    </row>
    <row r="58" spans="1:6">
      <c r="A58" s="11">
        <v>1987</v>
      </c>
      <c r="C58" s="1">
        <v>735</v>
      </c>
      <c r="D58" s="1">
        <v>286</v>
      </c>
      <c r="E58" s="29">
        <f t="shared" si="0"/>
        <v>0.38911564625850342</v>
      </c>
      <c r="F58" s="33"/>
    </row>
    <row r="59" spans="1:6">
      <c r="A59" s="11">
        <v>1988</v>
      </c>
      <c r="C59" s="1">
        <v>706</v>
      </c>
      <c r="D59" s="1">
        <v>297</v>
      </c>
      <c r="E59" s="29">
        <f t="shared" si="0"/>
        <v>0.4206798866855524</v>
      </c>
      <c r="F59" s="33"/>
    </row>
    <row r="60" spans="1:6">
      <c r="A60" s="11">
        <v>1989</v>
      </c>
      <c r="C60" s="1">
        <v>661</v>
      </c>
      <c r="D60" s="1">
        <v>286</v>
      </c>
      <c r="E60" s="29">
        <f t="shared" si="0"/>
        <v>0.43267776096822996</v>
      </c>
      <c r="F60" s="33"/>
    </row>
    <row r="61" spans="1:6">
      <c r="A61" s="11">
        <v>1990</v>
      </c>
      <c r="C61" s="1">
        <v>720</v>
      </c>
      <c r="D61" s="1">
        <v>335</v>
      </c>
      <c r="E61" s="29">
        <f t="shared" si="0"/>
        <v>0.46527777777777779</v>
      </c>
      <c r="F61" s="33"/>
    </row>
    <row r="62" spans="1:6">
      <c r="A62" s="11">
        <v>1991</v>
      </c>
      <c r="C62" s="1">
        <v>756</v>
      </c>
      <c r="D62" s="1">
        <v>347</v>
      </c>
      <c r="E62" s="29">
        <f t="shared" si="0"/>
        <v>0.45899470899470901</v>
      </c>
      <c r="F62" s="33"/>
    </row>
    <row r="63" spans="1:6">
      <c r="A63" s="11">
        <v>1992</v>
      </c>
      <c r="C63" s="1">
        <v>839</v>
      </c>
      <c r="D63" s="1">
        <v>436</v>
      </c>
      <c r="E63" s="29">
        <f t="shared" si="0"/>
        <v>0.51966626936829563</v>
      </c>
      <c r="F63" s="33"/>
    </row>
    <row r="64" spans="1:6">
      <c r="A64" s="11">
        <v>1993</v>
      </c>
      <c r="C64" s="1">
        <v>921</v>
      </c>
      <c r="D64" s="1">
        <v>496</v>
      </c>
      <c r="E64" s="29">
        <f t="shared" si="0"/>
        <v>0.53854505971769817</v>
      </c>
      <c r="F64" s="33"/>
    </row>
    <row r="65" spans="1:6">
      <c r="A65" s="11">
        <v>1994</v>
      </c>
      <c r="C65" s="1">
        <v>992</v>
      </c>
      <c r="D65" s="1">
        <v>537</v>
      </c>
      <c r="E65" s="29">
        <f t="shared" si="0"/>
        <v>0.54133064516129037</v>
      </c>
      <c r="F65" s="33"/>
    </row>
    <row r="66" spans="1:6">
      <c r="A66" s="11">
        <v>1995</v>
      </c>
      <c r="B66" s="1">
        <v>44.7</v>
      </c>
      <c r="C66" s="1">
        <v>1035</v>
      </c>
      <c r="D66" s="1">
        <v>563</v>
      </c>
      <c r="E66" s="29">
        <f t="shared" si="0"/>
        <v>0.54396135265700485</v>
      </c>
      <c r="F66" s="33"/>
    </row>
    <row r="67" spans="1:6">
      <c r="A67" s="11">
        <v>1996</v>
      </c>
      <c r="B67" s="1">
        <v>46.9</v>
      </c>
      <c r="C67" s="1">
        <v>1086</v>
      </c>
      <c r="D67" s="1">
        <v>616</v>
      </c>
      <c r="E67" s="29">
        <f t="shared" si="0"/>
        <v>0.56721915285451197</v>
      </c>
      <c r="F67" s="33"/>
    </row>
    <row r="68" spans="1:6">
      <c r="A68" s="11">
        <v>1997</v>
      </c>
      <c r="B68" s="1">
        <v>46.9</v>
      </c>
      <c r="C68" s="1">
        <v>1132</v>
      </c>
      <c r="D68" s="1">
        <v>633</v>
      </c>
      <c r="E68" s="29">
        <f t="shared" si="0"/>
        <v>0.55918727915194344</v>
      </c>
      <c r="F68" s="33"/>
    </row>
    <row r="69" spans="1:6">
      <c r="A69" s="11">
        <v>1998</v>
      </c>
      <c r="B69" s="1">
        <v>52.8</v>
      </c>
      <c r="C69" s="1">
        <v>1152</v>
      </c>
      <c r="D69" s="1">
        <v>665</v>
      </c>
      <c r="E69" s="29">
        <f t="shared" ref="E69:E87" si="1">D69/C69</f>
        <v>0.57725694444444442</v>
      </c>
      <c r="F69" s="33"/>
    </row>
    <row r="70" spans="1:6">
      <c r="A70" s="11">
        <v>1999</v>
      </c>
      <c r="B70" s="1">
        <v>54.4</v>
      </c>
      <c r="C70" s="1">
        <v>1161</v>
      </c>
      <c r="D70" s="1">
        <v>692</v>
      </c>
      <c r="E70" s="29">
        <f t="shared" si="1"/>
        <v>0.59603789836347976</v>
      </c>
      <c r="F70" s="33"/>
    </row>
    <row r="71" spans="1:6">
      <c r="A71" s="11">
        <v>2000</v>
      </c>
      <c r="B71" s="1">
        <v>58.2</v>
      </c>
      <c r="C71" s="1">
        <v>1115</v>
      </c>
      <c r="D71" s="1">
        <v>695</v>
      </c>
      <c r="E71" s="29">
        <f t="shared" si="1"/>
        <v>0.62331838565022424</v>
      </c>
      <c r="F71" s="33"/>
    </row>
    <row r="72" spans="1:6">
      <c r="A72" s="11">
        <v>2001</v>
      </c>
      <c r="B72" s="1">
        <v>61.7</v>
      </c>
      <c r="C72" s="1">
        <v>1195</v>
      </c>
      <c r="D72" s="1">
        <v>755</v>
      </c>
      <c r="E72" s="29">
        <f t="shared" si="1"/>
        <v>0.63179916317991636</v>
      </c>
      <c r="F72" s="33"/>
    </row>
    <row r="73" spans="1:6">
      <c r="A73" s="1">
        <v>2002</v>
      </c>
      <c r="B73" s="1">
        <v>62.8</v>
      </c>
      <c r="C73" s="1">
        <v>1272</v>
      </c>
      <c r="D73" s="1">
        <v>854</v>
      </c>
      <c r="E73" s="29">
        <f t="shared" si="1"/>
        <v>0.67138364779874216</v>
      </c>
      <c r="F73" s="33"/>
    </row>
    <row r="74" spans="1:6">
      <c r="A74" s="1">
        <v>2003</v>
      </c>
      <c r="B74" s="1">
        <v>62.4</v>
      </c>
      <c r="C74" s="1">
        <v>1255</v>
      </c>
      <c r="D74" s="1">
        <v>869</v>
      </c>
      <c r="E74" s="29">
        <f t="shared" si="1"/>
        <v>0.69243027888446218</v>
      </c>
      <c r="F74" s="33"/>
    </row>
    <row r="75" spans="1:6">
      <c r="A75" s="1">
        <v>2004</v>
      </c>
      <c r="B75" s="1">
        <v>63.8</v>
      </c>
      <c r="C75" s="1">
        <v>1256</v>
      </c>
      <c r="D75" s="1">
        <v>869</v>
      </c>
      <c r="E75" s="29">
        <f t="shared" si="1"/>
        <v>0.69187898089171973</v>
      </c>
      <c r="F75" s="33"/>
    </row>
    <row r="76" spans="1:6">
      <c r="A76" s="1">
        <v>2005</v>
      </c>
      <c r="B76" s="1">
        <v>65.400000000000006</v>
      </c>
      <c r="C76" s="1">
        <v>1255</v>
      </c>
      <c r="D76" s="1">
        <v>908</v>
      </c>
      <c r="E76" s="29">
        <f t="shared" si="1"/>
        <v>0.72350597609561751</v>
      </c>
      <c r="F76" s="33"/>
    </row>
    <row r="77" spans="1:6">
      <c r="A77" s="1">
        <v>2006</v>
      </c>
      <c r="B77" s="1">
        <v>65.5</v>
      </c>
      <c r="C77" s="1">
        <v>1269</v>
      </c>
      <c r="D77" s="1">
        <v>955</v>
      </c>
      <c r="E77" s="29">
        <f t="shared" si="1"/>
        <v>0.75256107171000786</v>
      </c>
      <c r="F77" s="33"/>
    </row>
    <row r="78" spans="1:6">
      <c r="A78" s="1">
        <v>2007</v>
      </c>
      <c r="B78" s="1">
        <v>66.3</v>
      </c>
      <c r="C78" s="1">
        <v>1279</v>
      </c>
      <c r="D78" s="1">
        <v>969</v>
      </c>
      <c r="E78" s="29">
        <f t="shared" si="1"/>
        <v>0.75762314308053169</v>
      </c>
      <c r="F78" s="33"/>
    </row>
    <row r="79" spans="1:6">
      <c r="A79" s="1">
        <v>2008</v>
      </c>
      <c r="B79" s="1">
        <v>66.400000000000006</v>
      </c>
      <c r="C79" s="1">
        <v>1284</v>
      </c>
      <c r="D79" s="1">
        <v>962</v>
      </c>
      <c r="E79" s="29">
        <f t="shared" si="1"/>
        <v>0.74922118380062308</v>
      </c>
      <c r="F79" s="33"/>
    </row>
    <row r="80" spans="1:6">
      <c r="A80" s="1">
        <v>2009</v>
      </c>
      <c r="B80" s="1">
        <v>66.2</v>
      </c>
      <c r="C80" s="1">
        <v>1285</v>
      </c>
      <c r="D80" s="1">
        <v>943</v>
      </c>
      <c r="E80" s="29">
        <f t="shared" si="1"/>
        <v>0.73385214007782096</v>
      </c>
      <c r="F80" s="33"/>
    </row>
    <row r="81" spans="1:6">
      <c r="A81" s="1">
        <v>2010</v>
      </c>
      <c r="B81" s="1">
        <v>68.3</v>
      </c>
      <c r="C81" s="1">
        <v>1303</v>
      </c>
      <c r="D81" s="1">
        <v>983</v>
      </c>
      <c r="E81" s="29">
        <f t="shared" si="1"/>
        <v>0.75441289332310058</v>
      </c>
      <c r="F81" s="33"/>
    </row>
    <row r="82" spans="1:6">
      <c r="A82" s="1">
        <v>2011</v>
      </c>
      <c r="C82" s="1">
        <v>1351</v>
      </c>
      <c r="D82" s="1">
        <v>1026</v>
      </c>
      <c r="E82" s="29">
        <f t="shared" si="1"/>
        <v>0.75943745373797189</v>
      </c>
      <c r="F82" s="33"/>
    </row>
    <row r="83" spans="1:6">
      <c r="A83" s="1">
        <v>2012</v>
      </c>
      <c r="C83" s="1">
        <v>1437</v>
      </c>
      <c r="D83" s="1">
        <v>1088</v>
      </c>
      <c r="E83" s="29">
        <f t="shared" si="1"/>
        <v>0.75713291579679887</v>
      </c>
      <c r="F83" s="33"/>
    </row>
    <row r="84" spans="1:6">
      <c r="A84" s="1">
        <v>2013</v>
      </c>
      <c r="C84" s="1">
        <v>1541</v>
      </c>
      <c r="D84" s="1">
        <v>1173</v>
      </c>
      <c r="E84" s="29">
        <f t="shared" si="1"/>
        <v>0.76119402985074625</v>
      </c>
      <c r="F84" s="33"/>
    </row>
    <row r="85" spans="1:6">
      <c r="A85" s="1">
        <v>2014</v>
      </c>
      <c r="C85" s="1">
        <v>1548</v>
      </c>
      <c r="D85" s="1">
        <v>1174</v>
      </c>
      <c r="E85" s="29">
        <f t="shared" si="1"/>
        <v>0.75839793281653745</v>
      </c>
      <c r="F85" s="30">
        <v>0.4</v>
      </c>
    </row>
    <row r="86" spans="1:6">
      <c r="A86" s="1">
        <v>2015</v>
      </c>
      <c r="C86" s="1">
        <v>1558</v>
      </c>
      <c r="D86" s="1">
        <v>1182</v>
      </c>
      <c r="E86" s="29">
        <f t="shared" si="1"/>
        <v>0.75866495507060339</v>
      </c>
      <c r="F86" s="33"/>
    </row>
    <row r="87" spans="1:6">
      <c r="A87" s="1">
        <v>2016</v>
      </c>
      <c r="C87" s="1">
        <v>1602</v>
      </c>
      <c r="D87" s="1">
        <v>1233</v>
      </c>
      <c r="E87" s="29">
        <f t="shared" si="1"/>
        <v>0.7696629213483146</v>
      </c>
      <c r="F87" s="33"/>
    </row>
    <row r="88" spans="1:6">
      <c r="A88" s="1">
        <v>2017</v>
      </c>
      <c r="F88" s="33"/>
    </row>
    <row r="89" spans="1:6">
      <c r="A89" s="1">
        <v>2018</v>
      </c>
      <c r="F89" s="30">
        <v>0.49</v>
      </c>
    </row>
    <row r="90" spans="1:6">
      <c r="A90" s="1">
        <v>2019</v>
      </c>
      <c r="F90" s="33"/>
    </row>
    <row r="91" spans="1:6">
      <c r="A91" s="1">
        <v>2020</v>
      </c>
      <c r="F91" s="33"/>
    </row>
    <row r="92" spans="1:6">
      <c r="A92" s="1">
        <v>2021</v>
      </c>
      <c r="F92" s="33"/>
    </row>
    <row r="93" spans="1:6">
      <c r="A93" s="1">
        <v>2022</v>
      </c>
      <c r="F93" s="33"/>
    </row>
    <row r="94" spans="1:6">
      <c r="A94" s="1">
        <v>2023</v>
      </c>
      <c r="F94" s="30">
        <v>0.5</v>
      </c>
    </row>
    <row r="95" spans="1:6">
      <c r="A95" s="1">
        <v>2024</v>
      </c>
      <c r="B95" s="15">
        <v>76</v>
      </c>
      <c r="F95" s="33"/>
    </row>
  </sheetData>
  <mergeCells count="3">
    <mergeCell ref="A1:A3"/>
    <mergeCell ref="C2:E2"/>
    <mergeCell ref="B1:F1"/>
  </mergeCells>
  <hyperlinks>
    <hyperlink ref="B2" r:id="rId1" xr:uid="{00000000-0004-0000-0400-000000000000}"/>
    <hyperlink ref="C2:E2" r:id="rId2" display="Ghent Total Students" xr:uid="{00000000-0004-0000-0400-000001000000}"/>
    <hyperlink ref="B95" r:id="rId3" display="https://www.uliege.be/cms/c_17265003/fr/les-femmes-et-les-hommes-a-l-uliege" xr:uid="{F1DFE119-E0EF-4EEC-8733-846198A0527B}"/>
    <hyperlink ref="F85" r:id="rId4" display="https://www.colvet.es/files/portalcontenidos/documentos/document-2022-02-09t112347.069.pdf" xr:uid="{A8158819-7539-412C-ABAE-086A0917938E}"/>
    <hyperlink ref="F89" r:id="rId5" display="https://www.fve.org/cms/wp-content/uploads/FVE_Survey_2018_WEB.pdf" xr:uid="{079E2621-C4B4-445D-A004-C1E251D62CD7}"/>
    <hyperlink ref="F94" r:id="rId6" display="https://fve.org/cms/wp-content/uploads/FVE-Survey-2023_updated-v3.pdf" xr:uid="{C5811AAD-287B-4D24-9C47-7B3D6871B032}"/>
  </hyperlinks>
  <pageMargins left="0.7" right="0.7" top="0.75" bottom="0.75" header="0.3" footer="0.3"/>
  <pageSetup orientation="portrait" r:id="rId7"/>
  <drawing r:id="rId8"/>
  <legacyDrawing r:id="rId9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59"/>
  <sheetViews>
    <sheetView workbookViewId="0">
      <pane xSplit="1" ySplit="3" topLeftCell="B19" activePane="bottomRight" state="frozen"/>
      <selection pane="topRight" activeCell="B1" sqref="B1"/>
      <selection pane="bottomLeft" activeCell="A4" sqref="A4"/>
      <selection pane="bottomRight" activeCell="D35" sqref="D35:D55"/>
    </sheetView>
  </sheetViews>
  <sheetFormatPr defaultRowHeight="14.4"/>
  <cols>
    <col min="1" max="1" width="5" style="1" customWidth="1"/>
    <col min="2" max="8" width="8.88671875" style="1"/>
    <col min="9" max="9" width="10.109375" style="1" bestFit="1" customWidth="1"/>
    <col min="10" max="11" width="8.88671875" style="1"/>
  </cols>
  <sheetData>
    <row r="1" spans="1:11">
      <c r="A1" s="1" t="s">
        <v>0</v>
      </c>
      <c r="B1" s="53" t="s">
        <v>39</v>
      </c>
      <c r="C1" s="53"/>
      <c r="D1" s="53"/>
      <c r="E1" s="53"/>
      <c r="F1" s="53"/>
      <c r="G1" s="53"/>
      <c r="H1" s="53"/>
      <c r="I1" s="53"/>
      <c r="J1" s="53"/>
      <c r="K1" s="53"/>
    </row>
    <row r="2" spans="1:11">
      <c r="B2" s="53" t="s">
        <v>23</v>
      </c>
      <c r="C2" s="53"/>
      <c r="D2" s="53"/>
      <c r="E2" s="53" t="s">
        <v>40</v>
      </c>
      <c r="F2" s="53"/>
      <c r="G2" s="53"/>
      <c r="H2" s="53" t="s">
        <v>16</v>
      </c>
      <c r="I2" s="53"/>
      <c r="J2" s="53"/>
      <c r="K2" s="1" t="s">
        <v>41</v>
      </c>
    </row>
    <row r="3" spans="1:11">
      <c r="B3" s="1" t="s">
        <v>42</v>
      </c>
      <c r="C3" s="1" t="s">
        <v>43</v>
      </c>
      <c r="D3" s="1" t="s">
        <v>44</v>
      </c>
      <c r="E3" s="1" t="s">
        <v>34</v>
      </c>
      <c r="F3" s="1" t="s">
        <v>35</v>
      </c>
      <c r="G3" s="15" t="s">
        <v>33</v>
      </c>
      <c r="H3" s="31" t="s">
        <v>34</v>
      </c>
      <c r="I3" s="31" t="s">
        <v>35</v>
      </c>
      <c r="J3" s="1" t="s">
        <v>33</v>
      </c>
      <c r="K3" s="1" t="s">
        <v>33</v>
      </c>
    </row>
    <row r="4" spans="1:11">
      <c r="A4" s="1">
        <v>1969</v>
      </c>
      <c r="G4" s="29">
        <v>0.05</v>
      </c>
    </row>
    <row r="5" spans="1:11">
      <c r="A5" s="1">
        <v>1970</v>
      </c>
      <c r="D5" s="22"/>
      <c r="G5" s="29">
        <v>0.06</v>
      </c>
    </row>
    <row r="6" spans="1:11">
      <c r="A6" s="1">
        <v>1971</v>
      </c>
      <c r="G6" s="29">
        <v>7.0000000000000007E-2</v>
      </c>
    </row>
    <row r="7" spans="1:11">
      <c r="A7" s="1">
        <v>1972</v>
      </c>
      <c r="G7" s="29">
        <v>7.0000000000000007E-2</v>
      </c>
    </row>
    <row r="8" spans="1:11">
      <c r="A8" s="1">
        <v>1973</v>
      </c>
      <c r="G8" s="29">
        <v>0.11</v>
      </c>
    </row>
    <row r="9" spans="1:11">
      <c r="A9" s="1">
        <v>1974</v>
      </c>
      <c r="G9" s="29">
        <v>0.11</v>
      </c>
    </row>
    <row r="10" spans="1:11">
      <c r="A10" s="1">
        <v>1975</v>
      </c>
      <c r="G10" s="29">
        <v>0.12</v>
      </c>
    </row>
    <row r="11" spans="1:11">
      <c r="A11" s="1">
        <v>1976</v>
      </c>
      <c r="G11" s="29">
        <v>0.14000000000000001</v>
      </c>
    </row>
    <row r="12" spans="1:11">
      <c r="A12" s="1">
        <v>1977</v>
      </c>
      <c r="G12" s="29">
        <v>0.18</v>
      </c>
    </row>
    <row r="13" spans="1:11">
      <c r="A13" s="11">
        <v>1978</v>
      </c>
      <c r="G13" s="29">
        <v>0.19</v>
      </c>
    </row>
    <row r="14" spans="1:11">
      <c r="A14" s="11">
        <v>1979</v>
      </c>
      <c r="G14" s="29">
        <v>0.19</v>
      </c>
    </row>
    <row r="15" spans="1:11">
      <c r="A15" s="11">
        <v>1980</v>
      </c>
      <c r="G15" s="29">
        <v>0.20499999999999999</v>
      </c>
    </row>
    <row r="16" spans="1:11">
      <c r="A16" s="11">
        <v>1981</v>
      </c>
      <c r="G16" s="29">
        <v>0.23</v>
      </c>
    </row>
    <row r="17" spans="1:10">
      <c r="A17" s="11">
        <v>1982</v>
      </c>
      <c r="G17" s="29">
        <v>0.23</v>
      </c>
    </row>
    <row r="18" spans="1:10">
      <c r="A18" s="11">
        <v>1983</v>
      </c>
      <c r="G18" s="29">
        <v>0.26</v>
      </c>
    </row>
    <row r="19" spans="1:10">
      <c r="A19" s="11">
        <v>1984</v>
      </c>
      <c r="G19" s="29">
        <v>0.25</v>
      </c>
    </row>
    <row r="20" spans="1:10">
      <c r="A20" s="11">
        <v>1985</v>
      </c>
      <c r="G20" s="29">
        <v>0.28000000000000003</v>
      </c>
    </row>
    <row r="21" spans="1:10">
      <c r="A21" s="11">
        <v>1986</v>
      </c>
      <c r="G21" s="29">
        <v>0.3</v>
      </c>
    </row>
    <row r="22" spans="1:10">
      <c r="A22" s="11">
        <v>1987</v>
      </c>
      <c r="G22" s="29">
        <v>0.3</v>
      </c>
    </row>
    <row r="23" spans="1:10">
      <c r="A23" s="11">
        <v>1988</v>
      </c>
      <c r="G23" s="29">
        <v>0.31</v>
      </c>
    </row>
    <row r="24" spans="1:10">
      <c r="A24" s="11">
        <v>1989</v>
      </c>
      <c r="G24" s="29">
        <v>0.35</v>
      </c>
    </row>
    <row r="25" spans="1:10">
      <c r="A25" s="11">
        <v>1990</v>
      </c>
      <c r="G25" s="29">
        <v>0.35</v>
      </c>
    </row>
    <row r="26" spans="1:10">
      <c r="A26" s="11">
        <v>1991</v>
      </c>
      <c r="D26" s="29"/>
      <c r="G26" s="29">
        <v>0.35</v>
      </c>
      <c r="H26" s="32">
        <v>12076</v>
      </c>
      <c r="I26" s="32">
        <v>5015</v>
      </c>
      <c r="J26" s="15">
        <v>41.5</v>
      </c>
    </row>
    <row r="27" spans="1:10">
      <c r="A27" s="11">
        <v>1992</v>
      </c>
      <c r="D27" s="29"/>
      <c r="G27" s="29">
        <v>0.37</v>
      </c>
    </row>
    <row r="28" spans="1:10">
      <c r="A28" s="11">
        <v>1993</v>
      </c>
      <c r="D28" s="29"/>
      <c r="G28" s="29">
        <v>0.39</v>
      </c>
    </row>
    <row r="29" spans="1:10">
      <c r="A29" s="11">
        <v>1994</v>
      </c>
      <c r="D29" s="29"/>
      <c r="G29" s="29">
        <v>0.41</v>
      </c>
    </row>
    <row r="30" spans="1:10">
      <c r="A30" s="11">
        <v>1995</v>
      </c>
      <c r="D30" s="29"/>
      <c r="G30" s="29">
        <v>0.44</v>
      </c>
    </row>
    <row r="31" spans="1:10">
      <c r="A31" s="11">
        <v>1996</v>
      </c>
      <c r="D31" s="29"/>
      <c r="G31" s="29">
        <v>0.42</v>
      </c>
    </row>
    <row r="32" spans="1:10">
      <c r="A32" s="11">
        <v>1997</v>
      </c>
      <c r="D32" s="29"/>
      <c r="G32" s="29">
        <v>0.47</v>
      </c>
    </row>
    <row r="33" spans="1:11">
      <c r="A33" s="11">
        <v>1998</v>
      </c>
      <c r="D33" s="29"/>
      <c r="G33" s="29">
        <v>0.46</v>
      </c>
      <c r="J33" s="29"/>
    </row>
    <row r="34" spans="1:11">
      <c r="A34" s="11">
        <v>1999</v>
      </c>
      <c r="D34" s="29"/>
      <c r="G34" s="29">
        <v>0.48</v>
      </c>
      <c r="J34" s="29"/>
    </row>
    <row r="35" spans="1:11">
      <c r="A35" s="11">
        <v>2000</v>
      </c>
      <c r="B35" s="15">
        <v>37656</v>
      </c>
      <c r="D35" s="30">
        <v>0.316</v>
      </c>
      <c r="G35" s="29">
        <v>0.5</v>
      </c>
      <c r="J35" s="29"/>
    </row>
    <row r="36" spans="1:11">
      <c r="A36" s="11">
        <v>2001</v>
      </c>
      <c r="D36" s="29"/>
      <c r="E36" s="16">
        <v>3280</v>
      </c>
      <c r="F36" s="15">
        <v>1754</v>
      </c>
      <c r="G36" s="29">
        <f>F36/E36</f>
        <v>0.53475609756097564</v>
      </c>
      <c r="J36" s="29">
        <v>0.53300000000000003</v>
      </c>
    </row>
    <row r="37" spans="1:11">
      <c r="A37" s="1">
        <v>2002</v>
      </c>
      <c r="D37" s="29"/>
      <c r="G37" s="29">
        <v>0.5</v>
      </c>
      <c r="J37" s="29"/>
    </row>
    <row r="38" spans="1:11">
      <c r="A38" s="1">
        <v>2003</v>
      </c>
      <c r="D38" s="29"/>
      <c r="G38" s="29">
        <v>0.53</v>
      </c>
      <c r="J38" s="29"/>
    </row>
    <row r="39" spans="1:11">
      <c r="A39" s="1">
        <v>2004</v>
      </c>
      <c r="D39" s="29"/>
      <c r="G39" s="29">
        <v>0.56000000000000005</v>
      </c>
      <c r="J39" s="29"/>
    </row>
    <row r="40" spans="1:11">
      <c r="A40" s="1">
        <v>2005</v>
      </c>
      <c r="D40" s="29"/>
      <c r="G40" s="29">
        <v>0.52</v>
      </c>
      <c r="J40" s="29"/>
    </row>
    <row r="41" spans="1:11">
      <c r="A41" s="1">
        <v>2006</v>
      </c>
      <c r="D41" s="29"/>
      <c r="G41" s="29">
        <v>0.55000000000000004</v>
      </c>
      <c r="J41" s="29"/>
    </row>
    <row r="42" spans="1:11">
      <c r="A42" s="1">
        <v>2007</v>
      </c>
      <c r="D42" s="29"/>
      <c r="G42" s="29">
        <v>0.56000000000000005</v>
      </c>
      <c r="J42" s="29"/>
    </row>
    <row r="43" spans="1:11">
      <c r="A43" s="1">
        <v>2008</v>
      </c>
      <c r="D43" s="29"/>
      <c r="G43" s="29">
        <v>0.54</v>
      </c>
      <c r="J43" s="29"/>
    </row>
    <row r="44" spans="1:11">
      <c r="A44" s="1">
        <v>2009</v>
      </c>
      <c r="D44" s="29"/>
      <c r="G44" s="29">
        <v>0.55000000000000004</v>
      </c>
      <c r="J44" s="29"/>
    </row>
    <row r="45" spans="1:11">
      <c r="A45" s="1">
        <v>2010</v>
      </c>
      <c r="B45" s="15">
        <v>81142</v>
      </c>
      <c r="D45" s="30">
        <v>0.45</v>
      </c>
      <c r="G45" s="29">
        <v>0.56000000000000005</v>
      </c>
      <c r="J45" s="29"/>
    </row>
    <row r="46" spans="1:11">
      <c r="A46" s="1">
        <v>2011</v>
      </c>
      <c r="D46" s="29"/>
      <c r="E46">
        <v>6675</v>
      </c>
      <c r="G46" s="30">
        <v>0.56100000000000005</v>
      </c>
      <c r="J46" s="29">
        <v>0.57499999999999996</v>
      </c>
    </row>
    <row r="47" spans="1:11">
      <c r="A47" s="1">
        <v>2012</v>
      </c>
      <c r="D47" s="29"/>
      <c r="G47" s="29">
        <v>0.56999999999999995</v>
      </c>
      <c r="J47" s="29"/>
      <c r="K47" s="22">
        <v>0.55000000000000004</v>
      </c>
    </row>
    <row r="48" spans="1:11">
      <c r="A48" s="1">
        <v>2013</v>
      </c>
      <c r="D48" s="29"/>
      <c r="G48" s="29"/>
      <c r="J48" s="29"/>
    </row>
    <row r="49" spans="1:11">
      <c r="A49" s="1">
        <v>2014</v>
      </c>
      <c r="D49" s="29"/>
      <c r="G49" s="29"/>
      <c r="J49" s="29"/>
      <c r="K49" s="22">
        <v>0.6</v>
      </c>
    </row>
    <row r="50" spans="1:11">
      <c r="A50" s="1">
        <v>2015</v>
      </c>
      <c r="D50" s="29"/>
      <c r="G50" s="29"/>
      <c r="J50" s="29"/>
      <c r="K50" s="22">
        <v>0.6</v>
      </c>
    </row>
    <row r="51" spans="1:11">
      <c r="A51" s="1">
        <v>2016</v>
      </c>
      <c r="D51" s="29"/>
      <c r="G51" s="29"/>
      <c r="J51" s="29"/>
    </row>
    <row r="52" spans="1:11">
      <c r="A52" s="1">
        <v>2017</v>
      </c>
      <c r="B52" s="1">
        <f>C52+56697</f>
        <v>111292</v>
      </c>
      <c r="C52" s="15">
        <v>54595</v>
      </c>
      <c r="D52" s="29">
        <f>C52/B52</f>
        <v>0.49055637422276532</v>
      </c>
      <c r="G52" s="29"/>
      <c r="J52" s="29"/>
    </row>
    <row r="53" spans="1:11">
      <c r="A53" s="1">
        <v>2018</v>
      </c>
      <c r="B53" s="1">
        <f>C53+59979</f>
        <v>120860</v>
      </c>
      <c r="C53" s="15">
        <v>60881</v>
      </c>
      <c r="D53" s="29">
        <f t="shared" ref="D53:D55" si="0">C53/B53</f>
        <v>0.50373159026973358</v>
      </c>
      <c r="G53" s="29"/>
      <c r="J53" s="29"/>
    </row>
    <row r="54" spans="1:11">
      <c r="A54" s="1">
        <v>2019</v>
      </c>
      <c r="B54" s="1">
        <f>C54+63899</f>
        <v>133319</v>
      </c>
      <c r="C54" s="15">
        <v>69420</v>
      </c>
      <c r="D54" s="29">
        <f t="shared" si="0"/>
        <v>0.52070597589240841</v>
      </c>
      <c r="E54" s="16">
        <v>8000</v>
      </c>
      <c r="F54" s="3"/>
      <c r="G54" s="30">
        <v>0.64</v>
      </c>
      <c r="H54" s="32"/>
      <c r="I54" s="32"/>
      <c r="J54" s="30"/>
    </row>
    <row r="55" spans="1:11">
      <c r="A55" s="1">
        <v>2020</v>
      </c>
      <c r="B55" s="1">
        <f>C55+67583</f>
        <v>145689</v>
      </c>
      <c r="C55" s="15">
        <v>78106</v>
      </c>
      <c r="D55" s="29">
        <f t="shared" si="0"/>
        <v>0.53611460027867586</v>
      </c>
      <c r="G55" s="29"/>
      <c r="J55" s="29"/>
    </row>
    <row r="56" spans="1:11">
      <c r="A56" s="1">
        <v>2021</v>
      </c>
      <c r="G56" s="29"/>
      <c r="J56" s="29"/>
    </row>
    <row r="57" spans="1:11">
      <c r="G57" s="29"/>
      <c r="J57" s="29"/>
    </row>
    <row r="58" spans="1:11">
      <c r="G58" s="29"/>
      <c r="J58" s="29"/>
    </row>
    <row r="59" spans="1:11">
      <c r="G59" s="29"/>
      <c r="J59" s="29"/>
    </row>
  </sheetData>
  <mergeCells count="4">
    <mergeCell ref="B1:K1"/>
    <mergeCell ref="B2:D2"/>
    <mergeCell ref="E2:G2"/>
    <mergeCell ref="H2:J2"/>
  </mergeCells>
  <hyperlinks>
    <hyperlink ref="D35" r:id="rId1" display="http://epsm.nescon.medicina.ufmg.br/epsm/Estudos_Pesquisa/Mercado  de trabalho das profissoes de nivel superior no Brasil (Rel.Final).pdf" xr:uid="{00000000-0004-0000-0500-000000000000}"/>
    <hyperlink ref="D45" r:id="rId2" display="http://epsm.nescon.medicina.ufmg.br/epsm/Estudos_Pesquisa/Mercado  de trabalho das profissoes de nivel superior no Brasil (Rel.Final).pdf" xr:uid="{00000000-0004-0000-0500-000001000000}"/>
    <hyperlink ref="B45" r:id="rId3" display="http://epsm.nescon.medicina.ufmg.br/epsm/Estudos_Pesquisa/Mercado  de trabalho das profissoes de nivel superior no Brasil (Rel.Final).pdf" xr:uid="{00000000-0004-0000-0500-000002000000}"/>
    <hyperlink ref="B35" r:id="rId4" display="http://epsm.nescon.medicina.ufmg.br/epsm/Estudos_Pesquisa/Mercado  de trabalho das profissoes de nivel superior no Brasil (Rel.Final).pdf" xr:uid="{00000000-0004-0000-0500-000003000000}"/>
    <hyperlink ref="K49" r:id="rId5" display="https://www.crmv-pr.org.br/uploads/revista/arquivos/20160307140058.pdf" xr:uid="{00000000-0004-0000-0500-000004000000}"/>
    <hyperlink ref="K50" r:id="rId6" display="https://www.crmv-pr.org.br/uploads/revista/arquivos/20160307140058.pdf" xr:uid="{00000000-0004-0000-0500-000005000000}"/>
    <hyperlink ref="G54" r:id="rId7" display="https://www.cfmv.gov.br/mulheres-ocupam-espaco-crescente-na-medicina-veterinaria-e-na-zootecnia/comunicacao/noticias/2018/03/08/" xr:uid="{00000000-0004-0000-0500-000006000000}"/>
    <hyperlink ref="E54" r:id="rId8" display="https://www.cfmv.gov.br/mulheres-ocupam-espaco-crescente-na-medicina-veterinaria-e-na-zootecnia/comunicacao/noticias/2018/03/08/" xr:uid="{00000000-0004-0000-0500-000007000000}"/>
    <hyperlink ref="C52" r:id="rId9" display="https://www.cfmv.gov.br/censo/transparencia/2017-2020/2020/12/11/" xr:uid="{00000000-0004-0000-0500-000008000000}"/>
    <hyperlink ref="C53" r:id="rId10" display="https://www.cfmv.gov.br/censo/transparencia/2017-2020/2020/12/11/" xr:uid="{00000000-0004-0000-0500-000009000000}"/>
    <hyperlink ref="C54" r:id="rId11" display="https://www.cfmv.gov.br/censo/transparencia/2017-2020/2020/12/11/" xr:uid="{00000000-0004-0000-0500-00000A000000}"/>
    <hyperlink ref="C55" r:id="rId12" display="https://www.cfmv.gov.br/censo/transparencia/2017-2020/2020/12/11/" xr:uid="{00000000-0004-0000-0500-00000B000000}"/>
    <hyperlink ref="K47" r:id="rId13" display="https://d.docs.live.net/Downloads/33549-Texto do artigo-170600-1-10-20170721.pdf" xr:uid="{00000000-0004-0000-0500-00000C000000}"/>
    <hyperlink ref="E36" r:id="rId14" display="https://www.cfmv.gov.br/mulheres-ocupam-espaco-crescente-na-medicina-veterinaria-e-na-zootecnia/comunicacao/noticias/2018/03/08/" xr:uid="{00000000-0004-0000-0500-00000D000000}"/>
    <hyperlink ref="F36" r:id="rId15" display="https://www.cfmv.gov.br/mulheres-ocupam-espaco-crescente-na-medicina-veterinaria-e-na-zootecnia/comunicacao/noticias/2018/03/08/" xr:uid="{00000000-0004-0000-0500-00000E000000}"/>
    <hyperlink ref="G3" r:id="rId16" xr:uid="{00000000-0004-0000-0500-00000F000000}"/>
    <hyperlink ref="H26" r:id="rId17" display="https://certidao.cfmv.gov.br/revistas/edicao58.pdf" xr:uid="{00000000-0004-0000-0500-000010000000}"/>
    <hyperlink ref="I26" r:id="rId18" display="https://certidao.cfmv.gov.br/revistas/edicao58.pdf" xr:uid="{00000000-0004-0000-0500-000011000000}"/>
    <hyperlink ref="J26" r:id="rId19" display="https://certidao.cfmv.gov.br/revistas/edicao58.pdf" xr:uid="{00000000-0004-0000-0500-000012000000}"/>
    <hyperlink ref="G46" r:id="rId20" display="https://certidao.cfmv.gov.br/revistas/edicao58.pdf" xr:uid="{00000000-0004-0000-0500-000013000000}"/>
  </hyperlinks>
  <pageMargins left="0.7" right="0.7" top="0.75" bottom="0.75" header="0.3" footer="0.3"/>
  <drawing r:id="rId21"/>
  <legacyDrawing r:id="rId2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3"/>
  <sheetViews>
    <sheetView workbookViewId="0">
      <pane xSplit="1" ySplit="3" topLeftCell="B16" activePane="bottomRight" state="frozen"/>
      <selection pane="topRight" activeCell="B1" sqref="B1"/>
      <selection pane="bottomLeft" activeCell="A4" sqref="A4"/>
      <selection pane="bottomRight" activeCell="O31" sqref="O31"/>
    </sheetView>
  </sheetViews>
  <sheetFormatPr defaultRowHeight="14.4"/>
  <cols>
    <col min="1" max="1" width="6.88671875" customWidth="1"/>
    <col min="2" max="9" width="8.88671875" style="1"/>
  </cols>
  <sheetData>
    <row r="1" spans="1:9">
      <c r="A1" s="55" t="s">
        <v>0</v>
      </c>
      <c r="B1" s="54" t="s">
        <v>45</v>
      </c>
      <c r="C1" s="54"/>
      <c r="D1" s="54"/>
      <c r="E1" s="54"/>
      <c r="F1" s="54"/>
      <c r="G1" s="54"/>
      <c r="H1" s="54"/>
      <c r="I1" s="54"/>
    </row>
    <row r="2" spans="1:9">
      <c r="A2" s="55"/>
      <c r="B2" s="53" t="s">
        <v>23</v>
      </c>
      <c r="C2" s="53"/>
      <c r="D2" s="53"/>
      <c r="E2" s="53"/>
      <c r="F2" s="12" t="s">
        <v>46</v>
      </c>
      <c r="G2" s="12" t="s">
        <v>47</v>
      </c>
      <c r="H2" s="53" t="s">
        <v>48</v>
      </c>
      <c r="I2" s="53"/>
    </row>
    <row r="3" spans="1:9">
      <c r="A3" s="55"/>
      <c r="B3" s="1" t="s">
        <v>49</v>
      </c>
      <c r="C3" s="1" t="s">
        <v>50</v>
      </c>
      <c r="D3" s="1" t="s">
        <v>27</v>
      </c>
      <c r="E3" s="1" t="s">
        <v>51</v>
      </c>
      <c r="F3" s="1" t="s">
        <v>33</v>
      </c>
      <c r="G3" s="1" t="s">
        <v>27</v>
      </c>
      <c r="H3" s="1" t="s">
        <v>52</v>
      </c>
      <c r="I3" s="1" t="s">
        <v>53</v>
      </c>
    </row>
    <row r="4" spans="1:9">
      <c r="A4" s="11">
        <v>1983</v>
      </c>
      <c r="F4" s="21">
        <v>0.53600000000000003</v>
      </c>
    </row>
    <row r="5" spans="1:9">
      <c r="A5" s="11">
        <v>1984</v>
      </c>
    </row>
    <row r="6" spans="1:9">
      <c r="A6" s="11">
        <v>1985</v>
      </c>
    </row>
    <row r="7" spans="1:9">
      <c r="A7" s="11">
        <v>1986</v>
      </c>
    </row>
    <row r="8" spans="1:9">
      <c r="A8" s="11">
        <v>1987</v>
      </c>
    </row>
    <row r="9" spans="1:9">
      <c r="A9" s="11">
        <v>1988</v>
      </c>
    </row>
    <row r="10" spans="1:9">
      <c r="A10" s="11">
        <v>1989</v>
      </c>
    </row>
    <row r="11" spans="1:9">
      <c r="A11" s="11">
        <v>1990</v>
      </c>
    </row>
    <row r="12" spans="1:9">
      <c r="A12" s="11">
        <v>1991</v>
      </c>
    </row>
    <row r="13" spans="1:9">
      <c r="A13" s="11">
        <v>1992</v>
      </c>
    </row>
    <row r="14" spans="1:9">
      <c r="A14" s="11">
        <v>1993</v>
      </c>
    </row>
    <row r="15" spans="1:9">
      <c r="A15" s="11">
        <v>1994</v>
      </c>
    </row>
    <row r="16" spans="1:9">
      <c r="A16" s="11">
        <v>1995</v>
      </c>
    </row>
    <row r="17" spans="1:9">
      <c r="A17" s="11">
        <v>1996</v>
      </c>
    </row>
    <row r="18" spans="1:9">
      <c r="A18" s="11">
        <v>1997</v>
      </c>
    </row>
    <row r="19" spans="1:9">
      <c r="A19" s="11">
        <v>1998</v>
      </c>
      <c r="G19" s="22">
        <v>0.71</v>
      </c>
    </row>
    <row r="20" spans="1:9">
      <c r="A20" s="11">
        <v>1999</v>
      </c>
    </row>
    <row r="21" spans="1:9">
      <c r="A21" s="11">
        <v>2000</v>
      </c>
    </row>
    <row r="22" spans="1:9">
      <c r="A22" s="11">
        <v>2001</v>
      </c>
    </row>
    <row r="23" spans="1:9">
      <c r="A23" s="1">
        <v>2002</v>
      </c>
    </row>
    <row r="24" spans="1:9">
      <c r="A24" s="1">
        <v>2003</v>
      </c>
      <c r="D24" s="15">
        <v>43</v>
      </c>
      <c r="F24" s="15">
        <v>80</v>
      </c>
    </row>
    <row r="25" spans="1:9">
      <c r="A25" s="1">
        <v>2004</v>
      </c>
    </row>
    <row r="26" spans="1:9">
      <c r="A26" s="1">
        <v>2005</v>
      </c>
    </row>
    <row r="27" spans="1:9">
      <c r="A27" s="1">
        <v>2006</v>
      </c>
    </row>
    <row r="28" spans="1:9">
      <c r="A28" s="1">
        <v>2007</v>
      </c>
      <c r="D28" s="15">
        <v>51</v>
      </c>
    </row>
    <row r="29" spans="1:9">
      <c r="A29" s="1">
        <v>2008</v>
      </c>
    </row>
    <row r="30" spans="1:9">
      <c r="A30" s="1">
        <v>2009</v>
      </c>
    </row>
    <row r="31" spans="1:9">
      <c r="A31" s="1">
        <v>2010</v>
      </c>
    </row>
    <row r="32" spans="1:9">
      <c r="A32" s="1">
        <v>2011</v>
      </c>
      <c r="H32" s="15">
        <v>88</v>
      </c>
      <c r="I32" s="15">
        <v>57</v>
      </c>
    </row>
    <row r="33" spans="1:7">
      <c r="A33" s="1">
        <v>2012</v>
      </c>
    </row>
    <row r="34" spans="1:7">
      <c r="A34" s="1">
        <v>2013</v>
      </c>
    </row>
    <row r="35" spans="1:7">
      <c r="A35" s="1">
        <v>2014</v>
      </c>
    </row>
    <row r="36" spans="1:7">
      <c r="A36" s="1">
        <v>2015</v>
      </c>
    </row>
    <row r="37" spans="1:7">
      <c r="A37" s="1">
        <v>2016</v>
      </c>
    </row>
    <row r="38" spans="1:7">
      <c r="A38" s="1">
        <v>2017</v>
      </c>
      <c r="B38" s="3">
        <v>14345</v>
      </c>
      <c r="C38" s="3">
        <v>8018</v>
      </c>
      <c r="D38" s="1">
        <f>(C38/B38)*100</f>
        <v>55.894039735099334</v>
      </c>
      <c r="E38" s="9">
        <f>(D38/B38)</f>
        <v>3.8964126688810969E-3</v>
      </c>
      <c r="F38" s="3"/>
      <c r="G38" s="3"/>
    </row>
    <row r="39" spans="1:7">
      <c r="A39" s="1">
        <v>2018</v>
      </c>
      <c r="B39" s="3">
        <v>12517</v>
      </c>
      <c r="C39" s="1">
        <f t="shared" ref="C39:C41" si="0">(D39*B39)/100</f>
        <v>7259.86</v>
      </c>
      <c r="D39" s="1">
        <v>58</v>
      </c>
      <c r="E39" s="9">
        <f>(D39/B39)</f>
        <v>4.6336981704881361E-3</v>
      </c>
    </row>
    <row r="40" spans="1:7">
      <c r="A40" s="1">
        <v>2019</v>
      </c>
      <c r="B40" s="3">
        <v>12886</v>
      </c>
      <c r="C40" s="1">
        <f t="shared" si="0"/>
        <v>8118.18</v>
      </c>
      <c r="D40" s="1">
        <v>63</v>
      </c>
      <c r="E40" s="9">
        <f t="shared" ref="E40:E42" si="1">(D40/B40)</f>
        <v>4.8890268508458793E-3</v>
      </c>
    </row>
    <row r="41" spans="1:7">
      <c r="A41" s="1">
        <v>2020</v>
      </c>
      <c r="B41" s="3">
        <v>12921</v>
      </c>
      <c r="C41" s="1">
        <f t="shared" si="0"/>
        <v>7881.81</v>
      </c>
      <c r="D41" s="1">
        <v>61</v>
      </c>
      <c r="E41" s="9">
        <f t="shared" si="1"/>
        <v>4.7209968268709856E-3</v>
      </c>
    </row>
    <row r="42" spans="1:7">
      <c r="A42" s="1">
        <v>2021</v>
      </c>
      <c r="B42" s="3">
        <v>15118</v>
      </c>
      <c r="C42" s="1">
        <f>(D42*B42)/100</f>
        <v>9373.16</v>
      </c>
      <c r="D42" s="1">
        <v>62</v>
      </c>
      <c r="E42" s="9">
        <f t="shared" si="1"/>
        <v>4.1010715703135338E-3</v>
      </c>
    </row>
    <row r="43" spans="1:7">
      <c r="A43" s="1"/>
    </row>
  </sheetData>
  <mergeCells count="4">
    <mergeCell ref="A1:A3"/>
    <mergeCell ref="B1:I1"/>
    <mergeCell ref="B2:E2"/>
    <mergeCell ref="H2:I2"/>
  </mergeCells>
  <hyperlinks>
    <hyperlink ref="B1:D1" r:id="rId1" display="Canada" xr:uid="{00000000-0004-0000-0600-000000000000}"/>
    <hyperlink ref="H32" r:id="rId2" display="https://www.lelezard.com/communique-722642.html" xr:uid="{00000000-0004-0000-0600-000001000000}"/>
    <hyperlink ref="I32" r:id="rId3" display="https://www.lelezard.com/communique-722642.html" xr:uid="{00000000-0004-0000-0600-000002000000}"/>
    <hyperlink ref="G19" r:id="rId4" display="https://www.ncbi.nlm.nih.gov/pmc/articles/PMC1539436/pdf/canvetj00155-0006.pdf" xr:uid="{00000000-0004-0000-0600-000003000000}"/>
    <hyperlink ref="F24" r:id="rId5" display="https://www.ncbi.nlm.nih.gov/pmc/articles/PMC340187/" xr:uid="{00000000-0004-0000-0600-000004000000}"/>
    <hyperlink ref="D24" r:id="rId6" display="https://www.ncbi.nlm.nih.gov/pmc/articles/PMC340187/" xr:uid="{00000000-0004-0000-0600-000005000000}"/>
    <hyperlink ref="F4" r:id="rId7" display="https://veterina.com.hr/?p=65885" xr:uid="{00000000-0004-0000-0600-000006000000}"/>
    <hyperlink ref="D28" r:id="rId8" display="https://pmc.ncbi.nlm.nih.gov/articles/PMC340187/" xr:uid="{00B65C07-5446-499E-BECA-C9C2EB41D696}"/>
  </hyperlinks>
  <pageMargins left="0.7" right="0.7" top="0.75" bottom="0.75" header="0.3" footer="0.3"/>
  <pageSetup orientation="portrait" r:id="rId9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54</vt:i4>
      </vt:variant>
    </vt:vector>
  </HeadingPairs>
  <TitlesOfParts>
    <vt:vector size="54" baseType="lpstr">
      <vt:lpstr>pro</vt:lpstr>
      <vt:lpstr>stu</vt:lpstr>
      <vt:lpstr>dz</vt:lpstr>
      <vt:lpstr>ar</vt:lpstr>
      <vt:lpstr>au</vt:lpstr>
      <vt:lpstr>at</vt:lpstr>
      <vt:lpstr>be</vt:lpstr>
      <vt:lpstr>br</vt:lpstr>
      <vt:lpstr>ca</vt:lpstr>
      <vt:lpstr>cd</vt:lpstr>
      <vt:lpstr>co</vt:lpstr>
      <vt:lpstr>hr</vt:lpstr>
      <vt:lpstr>cz</vt:lpstr>
      <vt:lpstr>dk</vt:lpstr>
      <vt:lpstr>ee</vt:lpstr>
      <vt:lpstr>fi</vt:lpstr>
      <vt:lpstr>fr</vt:lpstr>
      <vt:lpstr>de</vt:lpstr>
      <vt:lpstr>gt</vt:lpstr>
      <vt:lpstr>hu</vt:lpstr>
      <vt:lpstr>is</vt:lpstr>
      <vt:lpstr>ir</vt:lpstr>
      <vt:lpstr>iq</vt:lpstr>
      <vt:lpstr>ie</vt:lpstr>
      <vt:lpstr>it</vt:lpstr>
      <vt:lpstr>jp</vt:lpstr>
      <vt:lpstr>ke</vt:lpstr>
      <vt:lpstr>kg</vt:lpstr>
      <vt:lpstr>lv</vt:lpstr>
      <vt:lpstr>lt</vt:lpstr>
      <vt:lpstr>lx</vt:lpstr>
      <vt:lpstr>mx</vt:lpstr>
      <vt:lpstr>mz</vt:lpstr>
      <vt:lpstr>nl</vt:lpstr>
      <vt:lpstr>nz</vt:lpstr>
      <vt:lpstr>mk</vt:lpstr>
      <vt:lpstr>no</vt:lpstr>
      <vt:lpstr>pl</vt:lpstr>
      <vt:lpstr>pt</vt:lpstr>
      <vt:lpstr>ro</vt:lpstr>
      <vt:lpstr>ru</vt:lpstr>
      <vt:lpstr>rs</vt:lpstr>
      <vt:lpstr>sk</vt:lpstr>
      <vt:lpstr>si</vt:lpstr>
      <vt:lpstr>za</vt:lpstr>
      <vt:lpstr>kr</vt:lpstr>
      <vt:lpstr>es</vt:lpstr>
      <vt:lpstr>se</vt:lpstr>
      <vt:lpstr>ch</vt:lpstr>
      <vt:lpstr>tr</vt:lpstr>
      <vt:lpstr>ug</vt:lpstr>
      <vt:lpstr>gb</vt:lpstr>
      <vt:lpstr>us</vt:lpstr>
      <vt:lpstr>Master Data (old)</vt:lpstr>
    </vt:vector>
  </TitlesOfParts>
  <Manager/>
  <Company>Iowa State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Neil</dc:creator>
  <cp:keywords/>
  <dc:description/>
  <cp:lastModifiedBy>Neil Vezeau</cp:lastModifiedBy>
  <cp:revision/>
  <dcterms:created xsi:type="dcterms:W3CDTF">2021-12-26T16:05:43Z</dcterms:created>
  <dcterms:modified xsi:type="dcterms:W3CDTF">2025-01-31T13:10:13Z</dcterms:modified>
  <cp:category/>
  <cp:contentStatus/>
</cp:coreProperties>
</file>